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lls" sheetId="1" r:id="rId4"/>
    <sheet state="visible" name="Validations" sheetId="2" r:id="rId5"/>
    <sheet state="visible" name="Mispelled" sheetId="3" r:id="rId6"/>
    <sheet state="visible" name="Repartition" sheetId="4" r:id="rId7"/>
    <sheet state="visible" name="SRD" sheetId="5" r:id="rId8"/>
  </sheets>
  <definedNames>
    <definedName hidden="1" localSheetId="0" name="_xlnm._FilterDatabase">Spells!$A$1:$BM$977</definedName>
  </definedNames>
  <calcPr/>
</workbook>
</file>

<file path=xl/sharedStrings.xml><?xml version="1.0" encoding="utf-8"?>
<sst xmlns="http://schemas.openxmlformats.org/spreadsheetml/2006/main" count="12432" uniqueCount="3624">
  <si>
    <t>Spell Name</t>
  </si>
  <si>
    <t>Page</t>
  </si>
  <si>
    <t>Foundry Tag</t>
  </si>
  <si>
    <t>Tag</t>
  </si>
  <si>
    <t>Theme</t>
  </si>
  <si>
    <t>Class</t>
  </si>
  <si>
    <t>Level</t>
  </si>
  <si>
    <t>School</t>
  </si>
  <si>
    <t>School ABRV</t>
  </si>
  <si>
    <t>Description</t>
  </si>
  <si>
    <t>Notes</t>
  </si>
  <si>
    <t>Clarification</t>
  </si>
  <si>
    <t>Table</t>
  </si>
  <si>
    <t>Scaling</t>
  </si>
  <si>
    <t>Flavor</t>
  </si>
  <si>
    <t>Alternative Flavor</t>
  </si>
  <si>
    <t>Quotes</t>
  </si>
  <si>
    <t>Anomaly Effect</t>
  </si>
  <si>
    <t>Damage</t>
  </si>
  <si>
    <t>Damage Type</t>
  </si>
  <si>
    <t>Old Type</t>
  </si>
  <si>
    <t>Condition</t>
  </si>
  <si>
    <t>Saving Throw</t>
  </si>
  <si>
    <t>Success</t>
  </si>
  <si>
    <t>Fail</t>
  </si>
  <si>
    <t>Skill Check</t>
  </si>
  <si>
    <t>Ability Check</t>
  </si>
  <si>
    <t>DC</t>
  </si>
  <si>
    <t>Ritual</t>
  </si>
  <si>
    <t>Techno Magic</t>
  </si>
  <si>
    <t>Casting Time</t>
  </si>
  <si>
    <t>Casting Unit</t>
  </si>
  <si>
    <t>Casting Type</t>
  </si>
  <si>
    <t>Trigger</t>
  </si>
  <si>
    <t>Duration</t>
  </si>
  <si>
    <t>Duration Type</t>
  </si>
  <si>
    <t>Duration Amount</t>
  </si>
  <si>
    <t>Duration Unit</t>
  </si>
  <si>
    <t>Up To</t>
  </si>
  <si>
    <t>Concentration</t>
  </si>
  <si>
    <t>Range</t>
  </si>
  <si>
    <t>Range Type</t>
  </si>
  <si>
    <t>Range Unit</t>
  </si>
  <si>
    <t>Range Distance</t>
  </si>
  <si>
    <t>Area</t>
  </si>
  <si>
    <t>Area Type</t>
  </si>
  <si>
    <t>Area ABRV</t>
  </si>
  <si>
    <t>Area Unit</t>
  </si>
  <si>
    <t>Area Distance</t>
  </si>
  <si>
    <t>Components</t>
  </si>
  <si>
    <t>Components ABVR</t>
  </si>
  <si>
    <t>Component Description</t>
  </si>
  <si>
    <t>Terrain</t>
  </si>
  <si>
    <t>Terrain Effect</t>
  </si>
  <si>
    <t>Cost</t>
  </si>
  <si>
    <t>Acquisition Note</t>
  </si>
  <si>
    <t>Permit</t>
  </si>
  <si>
    <t>Blood Pact</t>
  </si>
  <si>
    <t>Blood Pact Effect</t>
  </si>
  <si>
    <t>Arcane Strain</t>
  </si>
  <si>
    <t>References SRD</t>
  </si>
  <si>
    <t>Runes of Inconsequence</t>
  </si>
  <si>
    <t>Mispelled, BETA</t>
  </si>
  <si>
    <t>Sorceror, Bard</t>
  </si>
  <si>
    <t>0-Cantrip</t>
  </si>
  <si>
    <t>Illusion</t>
  </si>
  <si>
    <t>You inscribe a rune onto a piece of paper, document, or surface. The rune hums with unstable magical nonsense, waiting for the next creature to read or open the marked object. When triggered, the rune unleashes a harmless but dramatic effect that startles, annoys, or mildly entertains.
The effect is randomly determined by rolling a d6:
The rune fades after being triggered. A creature that succeeds a DC 13 Arcana check while inspecting the document can spot the rune before triggering it.</t>
  </si>
  <si>
    <t>d6 | Harmless Effect
---|----------------
1  | A burst of confetti and a trumpet fanfare plays.
2  | The reader hears a magical raspberry blown directly into their ear.
3  | A tiny banner pops out: “Gotcha!”
4  | The paper insults the reader in a refined accent.
5  | Glitter explodes everywhere. It sticks.
6  | A small illusory bird flaps out and poops ghost ink on them.</t>
  </si>
  <si>
    <t xml:space="preserve">
You can place one additional rune per spellcasting modifier (minimum of 1), but only one rune may be triggered at a time, and all runes share the same effect for the day.</t>
  </si>
  <si>
    <t>Action</t>
  </si>
  <si>
    <t>Instantaneous</t>
  </si>
  <si>
    <t>Touch</t>
  </si>
  <si>
    <t>Somatic, Verbal</t>
  </si>
  <si>
    <t>Ashen Breath</t>
  </si>
  <si>
    <t/>
  </si>
  <si>
    <t>Sorceror</t>
  </si>
  <si>
    <t>Evocation</t>
  </si>
  <si>
    <t>You exhale a puff of grayish smoke, which spreads in a small cone before quickly vanishing. Creatures in the area must make a Constitution saving throw or briefly choke on the acrid air. On a failed save, a creature cannot take reactions until the start of its next turn. This effect does not work against creatures that do not need to breathe.</t>
  </si>
  <si>
    <t>Self</t>
  </si>
  <si>
    <t xml:space="preserve"> (5-feet cone)</t>
  </si>
  <si>
    <t>Somatic, Material</t>
  </si>
  <si>
    <t>a pinch of ash</t>
  </si>
  <si>
    <t>Blink and You Missed It</t>
  </si>
  <si>
    <t>Teleportation</t>
  </si>
  <si>
    <t>Sorceror, Wizard</t>
  </si>
  <si>
    <t>Transmutation</t>
  </si>
  <si>
    <t>You momentarily sync out of step with the immediate flow of time, creating a minor delay in perception.
Until the start of your next turn:
- Creatures that would notice you must make an Intelligence saving throw or fail to recall any details about your presence until you interact with them directly.
- If you attack or speak, the effect immediately ends for that creature.</t>
  </si>
  <si>
    <t>1 rounds</t>
  </si>
  <si>
    <t xml:space="preserve"> (10-feet radius)</t>
  </si>
  <si>
    <t>Ceiling Watcher</t>
  </si>
  <si>
    <t>Bard, Cleric</t>
  </si>
  <si>
    <t>A barely visible eye-like shape appears on a ceiling, wall, or corner of a room. The illusion remains for the duration but does not actually perceive anything. Creatures unfamiliar with the spell must make a Wisdom (Perception) check to determine that it is not real. If they fail, they instinctively avoid looking at it or standing beneath it.</t>
  </si>
  <si>
    <t>1 minutes</t>
  </si>
  <si>
    <t>20 feet</t>
  </si>
  <si>
    <t>Somatic, Verbal, Material</t>
  </si>
  <si>
    <t>a reflective surface</t>
  </si>
  <si>
    <t>Cinder Veil</t>
  </si>
  <si>
    <t>Cleric, Sorceror</t>
  </si>
  <si>
    <t>A faint shimmer of embers rises around you, warding off the cold. Until the start of your next turn, you ignore the first 5 cold damage you would take. If you are in an area of magical darkness, the veil glows faintly, revealing your silhouette to creatures within 5 feet.</t>
  </si>
  <si>
    <t>5 feet</t>
  </si>
  <si>
    <t>a burnt match</t>
  </si>
  <si>
    <t>Clockless Chess</t>
  </si>
  <si>
    <t>Bard, Wizard</t>
  </si>
  <si>
    <t>Conjuration</t>
  </si>
  <si>
    <t>Summons an enchanted chessboard where the pieces move themselves. Unfortunately, the game always ends in a stalemate.</t>
  </si>
  <si>
    <t>10 feet</t>
  </si>
  <si>
    <t>Somatic</t>
  </si>
  <si>
    <t>Conjure Mild Inconvenience</t>
  </si>
  <si>
    <t>Cleric</t>
  </si>
  <si>
    <t>You summon a trivial but deeply irritating inconvenience to plague a creature or small area within range. No damage is dealt, and no serious harm is inflicted—just mild frustration.
Roll a d10 and consult the Chaos Table below to determine the exact annoyance:</t>
  </si>
  <si>
    <t>Clarifications:- The inconvenience is purely cosmetic, causing no damage or severe disadvantage.- The DM can creatively adjust minor details based on the narrative scenario.</t>
  </si>
  <si>
    <t>| d10 | Minor Annoyance (Chaos Table)                                               |
|-----|-----------------------------------------------------------------------------|
| 1   | A sock disappears from the target’s foot, never to be found again.          |
| 2   | A sudden, unbearable itch appears exactly where the target can't reach.      |
| 3   | The target’s shoelaces immediately untie themselves repeatedly for 1 minute. |
| 4   | A random book or document the target is holding becomes incorrectly labeled, causing confusion. |
| 5   | The target’s keys or similar small personal item vanish momentarily, reappearing only after thorough searching. |
| 6   | An annoying dripping sound emanates nearby but has no identifiable source.   |
| 7   | The target’s clothes become slightly uncomfortable—too itchy, tight, or loose—for exactly one minute. |
| 8   | A persistent and unexplained humming noise surrounds the target, audible only to them. |
| 9   | Every surface the target touches for the next minute feels oddly sticky.     |
| 10  | A harmless but persistent fly or insect buzzes around the target’s face, impossible to swat or catch. |</t>
  </si>
  <si>
    <t>30 feet</t>
  </si>
  <si>
    <t>Crawling Dread</t>
  </si>
  <si>
    <t>Bard, Cleric, Sorceror</t>
  </si>
  <si>
    <t>You weave a subtle illusion into the mind of a creature within range, causing them to feel an unnatural crawling sensation on their skin. The target must make an Intelligence saving throw. On a failed save, the creature spends its next bonus action, if it has one, brushing at unseen shapes or shifting uncomfortably. This effect ends early if they take damage.</t>
  </si>
  <si>
    <t>a black thread</t>
  </si>
  <si>
    <t>Dead Air</t>
  </si>
  <si>
    <t>You disrupt sound waves in a localized area. Until the start of your next turn, all spoken words within range are slightly distorted, causing messages to come out garbled and difficult to understand. If cast near a radio or intercom, the device crackles with static for one round.</t>
  </si>
  <si>
    <t>Verbal, Material</t>
  </si>
  <si>
    <t>a broken radio knob</t>
  </si>
  <si>
    <t>Dice Storm</t>
  </si>
  <si>
    <t>Mispelled, Damage, BETA</t>
  </si>
  <si>
    <t>Bard</t>
  </si>
  <si>
    <t>You call upon the fractured laws of probability, summoning a swirling rain of polyhedral objects—tiny magical dice—within a 10-foot radius centered on you. The clattering projectiles slam into everything nearby.
Each creature of your choice in the area must make a Dexterity saving throw or take 2d6 impact damage. On a successful save, they take half damage. The damage is nonlethal unless otherwise specified.
Chaos Surge:
Immediately after casting, roll a d20. On a natural 20, the dice manifest as larger and denser projectiles (e.g., d20s the size of coconuts). Choose one of the following critical effects, or let the DM improvise:- The target is knocked prone.- One object in the area is crushed or broken.- A random magical effect is triggered (see Wild Magic surge table).- The area becomes difficult terrain until the end of your next turn (covered in slippery dice).- You regain 1 hit point (the dice land just right to boost your morale).</t>
  </si>
  <si>
    <t xml:space="preserve">
The spell’s damage increases as you gain levels:
- 5th level: 3d6
- 11th level: 4d6
- 17th level: 5d6
At 11th level and above, the storm includes d12s and d20s. Damage remains nonlethal, but now causes loud, disorienting clatter (creatures have disadvantage on Stealth checks until the end of their next turn).</t>
  </si>
  <si>
    <t>Originally cataloged under “d1.ce” by A.S.T.R.A.L., this anomaly manifested during a failed probability containment test. The storm is still considered a Class-1 hazard in casinos, board rooms, and office game nights.</t>
  </si>
  <si>
    <t>Radius/10 ft</t>
  </si>
  <si>
    <t>Directional Sense</t>
  </si>
  <si>
    <t>Utility, Terrain, BETA</t>
  </si>
  <si>
    <t>Druid</t>
  </si>
  <si>
    <t>You focus your senses, allowing the pulse of magic to resonate through the terrain around you. This pulse reveals the optimal path forward, guiding your movements with precision. Whether in dense forests, city streets, or endless hallways, the flow of magic sharpens your awareness of the shortest and safest route.- Effect:- For the duration of the spell, you gain the ability to automatically find the shortest path to your desired destination within range. This can be a physical route, avoiding obstacles like walls or difficult terrain, or identifying pathways hidden or obscured by illusion magic.- You do not become disoriented or confused by labyrinths, mazes, or other disorienting environments.</t>
  </si>
  <si>
    <t>- 5th Level: You can now detect multiple routes (such as secondary exits or alternate pathways) and choose the safest or most efficient.
- 11th Level: The range of the spell increases to 120 feet, and you gain the ability to perceive hidden or magical paths, such as secret doors or enchanted routes.</t>
  </si>
  <si>
    <t>The flow of energy pulses through the stone beneath your feet, and your senses expand beyond your immediate surroundings. As the pulse of magic spreads outward, the shifting walls of a labyrinth reveal their true layout, and you are guided with an unnatural certainty toward your destination.</t>
  </si>
  <si>
    <t>10 minutes</t>
  </si>
  <si>
    <t>Verbal, Somatic, Terrain</t>
  </si>
  <si>
    <t>Endless Hallways</t>
  </si>
  <si>
    <t>Dirge Pulse</t>
  </si>
  <si>
    <t>Healing</t>
  </si>
  <si>
    <t>Cleric, Wizard</t>
  </si>
  <si>
    <t>Necromancy</t>
  </si>
  <si>
    <t>You release a low, resonant tone that only the dying can hear. Any creature within range that is at 0 hit points and making death saving throws automatically stabilizes if it succeeds on its next death saving throw. If an undead creature is within range, it takes 1 cognitive damage as the resonance disrupts its form.</t>
  </si>
  <si>
    <t>Verbal, Somatic</t>
  </si>
  <si>
    <t>Doppler Sound</t>
  </si>
  <si>
    <t>Divination</t>
  </si>
  <si>
    <t>You attune yourself to the subtle shifts in the air, using the ambient sounds of the environment to perceive the movement of creatures around you. Through the echoes in the terrain, you sense the direction and speed of any creature moving within range.- Effect:- You can detect the direction and speed of any creature within 60 feet that is moving. This allows you to sense their general movement, such as whether they are approaching, retreating, or moving laterally.- You cannot detect the exact position, but you can pinpoint the movement relative to your position.</t>
  </si>
  <si>
    <t>- 5th Level: You can detect the number of creatures moving, as well as their general size.
- 11th Level: The range of detection extends to 120 feet, and you can now detect creatures that are attempting to hide or move stealthily, though you do not discern exact details about their hiding place.</t>
  </si>
  <si>
    <t>As you focus on the sounds around you, the once-faint hum of the environment sharpens into something more defined. The echoes in the subway tiles vibrate with subtle patterns, giving you an almost instinctual understanding of what is moving around you, where they are headed, and how fast they are traveling.</t>
  </si>
  <si>
    <t>60feet</t>
  </si>
  <si>
    <t>Subway Tiles</t>
  </si>
  <si>
    <t>Drifting Echo</t>
  </si>
  <si>
    <t>You release a thin pulse of sound, inaudible to the living, but receptive to echoes of the past.
For the duration, you can hear vague, distorted murmurs of events that occurred in the area within the past hour. These sounds are indistinct and fragmented but may provide clues about recent conversations, movement, or disturbances.
The clarity of the echo depends on an Intelligence (Investigation) check made against your spell save DC:</t>
  </si>
  <si>
    <t>Verbal, Somatic, Material</t>
  </si>
  <si>
    <t>a broken tuning fork</t>
  </si>
  <si>
    <t>Dripping Hour</t>
  </si>
  <si>
    <t>Time fractures briefly around a small object of your choice within range. A flickering afterimage of the object appears where it was exactly one second ago, causing momentary confusion. A creature interacting with the object must succeed on an Intelligence saving throw or be unable to distinguish which version is real until the start of your next turn.</t>
  </si>
  <si>
    <t>Dust Veil</t>
  </si>
  <si>
    <t>A sudden gust of dust rises from the ground, swirling around you in a blinding veil. The particles obscure your form, making it harder for enemies to land a blow.- Effect:- When you are attacked, you can use your reaction to impose disadvantage on the attack roll against you for the duration of the round.- The dust is drawn from the terrain, and the effect is strongest in areas where the environment is gritty or decaying (such as crumbling concrete).</t>
  </si>
  <si>
    <t>- 5th Level: The dust cloud lasts for 2 rounds instead of 1.
- 11th Level: The radius of the cloud increases to cover a 10-foot area around you, granting disadvantage on all attack rolls against creatures within the area.</t>
  </si>
  <si>
    <t>As you step, the ground beneath you cracks and a cloud of dust erupts into the air, swirling around your form in a cloud of obscurity. The air feels thick with sand as your enemies struggle to focus through the haze, their vision distorted by the fine particles swirling in every direction.</t>
  </si>
  <si>
    <t>Crumbling Concrete</t>
  </si>
  <si>
    <t>Echo of the Lost</t>
  </si>
  <si>
    <t>You briefly attune yourself to lingering impressions of the past. You hear a single whispered sentence in a language you understand, spoken by a creature that was in the area within the past 24 hours. The sentence is random, chosen by the DM, and may or may not be useful. If no creature was in the area within that time, you instead hear a distant, meaningless murmur.</t>
  </si>
  <si>
    <t>| DC Range       | Effect Description                                                                 |
|----------------|--------------------------------------------------------------------------------------|
| 10 or lower    | Incoherent murmurs, difficult to interpret.                                         |
| 11–15          | Disjointed words or partial sentences.                                              |
| 16+            | A full phrase or clear statement relevant to the past event.                        |</t>
  </si>
  <si>
    <t>15 feet</t>
  </si>
  <si>
    <t>a piece of charred bone</t>
  </si>
  <si>
    <t>Echo of the Overheard</t>
  </si>
  <si>
    <t>By attuning to the residual vibrations in the air, you briefly hear a snippet of a conversation that took place in the area within the last 10 minutes. The words are often out of context, distorted, or incomplete, requiring interpretation.</t>
  </si>
  <si>
    <t>a bent paperclip</t>
  </si>
  <si>
    <t>Echoing Stomp</t>
  </si>
  <si>
    <t>Damage, Terrain, BETA</t>
  </si>
  <si>
    <t>You stomp your foot with great force, sending a shockwave reverberating through the wooden floor beneath you. The sound echoes with a force that temporarily disrupts your enemies.
- Effect:
- All creatures within a 10-foot radius must make a Constitution saving throw.
- On a failed save, creatures lose their reaction until the start of their next turn, stunned by the reverberation of the stomp.
- Creatures that fail the saving throw also take 1d6 sonic damage as the shockwave disrupts their senses.</t>
  </si>
  <si>
    <t>- 5th Level: The radius of the shockwave increases to 15 feet.
- 11th Level: The damage increases to 2d6 sonic damage.</t>
  </si>
  <si>
    <t>You stamp your foot firmly, and the floor trembles as the shockwave ripples outward, vibrating through the wood like the crack of thunder. The deafening echo unsettles your foes, leaving them dazed and vulnerable, as the ground beneath them seems to tremble with your power.</t>
  </si>
  <si>
    <t>Instant</t>
  </si>
  <si>
    <t>10 feetradius</t>
  </si>
  <si>
    <t>Wooden Floor</t>
  </si>
  <si>
    <t>Eclipse Touch</t>
  </si>
  <si>
    <t>Abjuration</t>
  </si>
  <si>
    <t>You trace an arcane sigil over a creature’s skin, leaving behind a barely perceptible shimmer. The next time the target takes chiaric damage before the start of your next turn, the damage is reduced by 1d4.</t>
  </si>
  <si>
    <t>Erased Footsteps</t>
  </si>
  <si>
    <t>You alter the way a surface registers footprints. For the duration, a touched floor, rug, or dirt path erases any traces of movement within a 5-foot radius. Creatures attempting to track someone through this area must make a Wisdom (Survival) check against your spell save DC.</t>
  </si>
  <si>
    <t>Expired Authority</t>
  </si>
  <si>
    <t>Enchantment</t>
  </si>
  <si>
    <t>For a fleeting moment, a creature within range instinctively hesitates, doubting its own authority. If the target is attempting to enforce a rule, issue a command, or exert influence over another creature, it must succeed on a Charisma saving throw or momentarily second-guess itself, delaying its action until the start of its next turn.</t>
  </si>
  <si>
    <t>Fabricated Memory</t>
  </si>
  <si>
    <t>Bard, Warlock</t>
  </si>
  <si>
    <t>By momentarily altering a minor cognitive detail, you cause a creature to misremember something trivial. It might forget setting its keys down, misplace an item it was just holding, or recall an insignificant interaction that never happened. The effect is fleeting, lasting only a few seconds before the mind corrects itself.</t>
  </si>
  <si>
    <t>Faint Heartbeat</t>
  </si>
  <si>
    <t>You attune your senses to the fading echoes of life. You become aware of the heartbeat of any creature within range, even if they are hidden or invisible, as long as they are not undead or a construct. You do not learn their exact location, only their presence.</t>
  </si>
  <si>
    <t>Fascination</t>
  </si>
  <si>
    <t>Sexual</t>
  </si>
  <si>
    <t>A subdermal neurological impulse is implanted in the target’s cognitive prioritization center, making them incapable of focusing on anything but the caster.
The target must make a Wisdom saving throw. On a failed save:
- The affected target follows the caster wherever they go, unable to take their eyes off them.
- If attacked, the target enters a berserk fury, attacking anyone who obstructs their pursuit of the caster (+1 to hit, -1 AC).
- The target may repeat the saving throw at the end of each of its turns, ending the effect on a success.</t>
  </si>
  <si>
    <t>12 feet</t>
  </si>
  <si>
    <t>a biometric signature of the target</t>
  </si>
  <si>
    <t>Faulty Wiring</t>
  </si>
  <si>
    <t>You send a small jolt of paranormal static into an electronic device or light source. A radio emits garbled voices, a neon sign flickers erratically, or a speaker lets out a burst of unintelligible noise. If cast on a security camera, it glitches for one round, distorting any footage.</t>
  </si>
  <si>
    <t>a frayed copper wire</t>
  </si>
  <si>
    <t>Filing Error</t>
  </si>
  <si>
    <t>Wizard</t>
  </si>
  <si>
    <t>For an instant, a piece of paper, card, or document within range appears misfiled, smudged, or incorrectly labeled. Any creature attempting to reference it must make an Intelligence (Investigation) check against your spell save DC to notice the anomaly. The effect fades once examined closely.</t>
  </si>
  <si>
    <t>Flickering Veil</t>
  </si>
  <si>
    <t>You momentarily distort your presence, causing your form to flicker like a mirage. Until the start of your next turn, attack rolls against you have disadvantage if the attacker relies on sight. If you move on your turn, you leave behind a faint afterimage that vanishes after 1 round.</t>
  </si>
  <si>
    <t>Ghost Slap</t>
  </si>
  <si>
    <t>A haptic force field momentarily materializes, delivering a sharp, percussive impact to a target. The sensation is startling but harmless, designed to elicit attention, dominance, or playful reprimand.
- If the target fails a Wisdom saving throw, they experience a moment of flustered distraction, causing disadvantage on their next attack roll or ability check.
- If the target is affected by Ghost Slap, it has disadvantage on the next saving throw against a Necromancy spell cast before the end of your next turn.
- Frequently used in advanced social dominance training protocols and high-end recreational services.</t>
  </si>
  <si>
    <t>Glassheart</t>
  </si>
  <si>
    <t>As your attacker lands a devastating blow, your form momentarily fractures like glass. The critical hit is reduced to a normal hit, but you take an additional 1d4 cognitive damage from the strain.</t>
  </si>
  <si>
    <t>(5th, 11th, and 17th level), the cognitive damage increases by 1d4.</t>
  </si>
  <si>
    <t>Reaction</t>
  </si>
  <si>
    <t>when an enemy rolls a critical hit against you</t>
  </si>
  <si>
    <t>Glitch Step</t>
  </si>
  <si>
    <t>With a sudden shift in perception, you instinctively navigate the reality around you, stepping through the digital distortion of space.- Effect:- You teleport up to 5 feet to an unoccupied space you can see.- The movement is instantaneous and silent, as if the very architecture of the world is bending around you.- This effect can be used to bypass difficult terrain or to avoid attacks of opportunity, but only for the distance specified.</t>
  </si>
  <si>
    <t>- 5th Level: You can teleport up to 10 feet.
- 11th Level: You can teleport up to 15 feet, and you can teleport through obstacles like thin walls or doors that are not solid.</t>
  </si>
  <si>
    <t>As your foot leaves the ground, the world around you briefly flickers, as if a digital surface has been hacked. For an instant, the space around you glitches, and you are teleported to a new position, slipping through the cracks of reality itself. You reappear with an eerie, unnatural smoothness, like a bug in a program.</t>
  </si>
  <si>
    <t>Flickering Digital Surface</t>
  </si>
  <si>
    <t>Grasp of the Unseen</t>
  </si>
  <si>
    <t>Wizard, Sorceror</t>
  </si>
  <si>
    <t>A spectral, invisible hand momentarily grips an object or creature within range.
- If the target is a creature, it must succeed on a Strength saving throw against your spell save DC or have its speed reduced to 0 until the start of its next turn.
- If the target is an unattended object, you can pull it 10 feet toward you or away from you.
The hand disappears immediately after the effect occurs.</t>
  </si>
  <si>
    <t>Gutterwake</t>
  </si>
  <si>
    <t>You awaken the filth of the streets. Puddles ripple, dust rises, and refuse shifts unnaturally in a 15-foot cone originating from you. Creatures within range must succeed on a Dexterity saving throw or be briefly disoriented by the sudden movement, causing them to have disadvantage on the next opportunity attack they make before the end of their next turn. If cast in an area with significant debris or liquid, you can instead create a fleeting image or pattern in the grime, which lasts for 1 minute.</t>
  </si>
  <si>
    <t>Hesitation Protocol</t>
  </si>
  <si>
    <t>An unseen force invokes bureaucratic inertia, subtly clouding a creature’s resolve. The target must make a Wisdom saving throw. On a failed save, it briefly questions its course of action, subtracting 1d4 from its attack roll.</t>
  </si>
  <si>
    <t>when a creature targets you with an attack</t>
  </si>
  <si>
    <t>Hollow Gaze</t>
  </si>
  <si>
    <t>Your eyes darken as you channel a sliver of the void’s presence. One creature of your choice within range must succeed on a Wisdom saving throw or feel an unnatural chill creeping over them. Until the start of your next turn, the creature has disadvantage on Wisdom (Perception) checks, and if it is concentrating on a spell, it must make a concentration check against your spell save DC.</t>
  </si>
  <si>
    <t>Hollow Stare</t>
  </si>
  <si>
    <t>Your gaze locks onto a creature, unnervingly hollow, as though reality has forgotten how to render your features.
- The target makes a Charisma saving throw.
- On a failure, they experience a momentary existential lapse, losing 1d4 Intelligence (minimum 1) until the end of their next turn.
- If they fail by 5 or more, their next spoken sentence is misheard by all creatures except the caster, as if reality "mistranscribed" it.</t>
  </si>
  <si>
    <t>- If the target fails by 10 or more, a random piece of their personal history erases itself from reality, leaving a lingering feeling of unease but no memory of what was lost.</t>
  </si>
  <si>
    <t>Insulated Surge</t>
  </si>
  <si>
    <t>Buff, Terrain, BETA</t>
  </si>
  <si>
    <t>The magical properties of rubberized flooring wrap around you, providing an insulating shield against electrical energy.- Effect:- For the duration of the spell, you gain resistance to electric damage, reducing any electric damage you take by half.- This resistance applies to any electric damage dealt to you from sources such as spells, traps, or environmental effects.</t>
  </si>
  <si>
    <t>- 5th Level: The spell’s duration increases to 1 minute, allowing you to maintain the resistance for longer.
- 11th Level: You gain advantage on saving throws against lightning-based effects while the spell is active.</t>
  </si>
  <si>
    <t>The floor beneath you vibrates with a subtle hum as the air around you shimmers. With a swift motion, you tap into the insulating magic of the rubberized surface beneath, creating a protective barrier that shields you from incoming electric currents. The warmth of the shield pulses around you, and for the duration, any lightning strikes are absorbed by the magical field, leaving you unharmed.</t>
  </si>
  <si>
    <t>Rubberized Flooring</t>
  </si>
  <si>
    <t>Jagged Step</t>
  </si>
  <si>
    <t>You propel a jagged shard of wood or stone from the ground beneath you, causing it to strike nearby enemies.- Effect:- You create a jagged splinter from the broken tiles or surrounding terrain, hurling it at a target within 5 feet of you.
- Each creature within 5 feet of you must make a Dexterity saving throw. On a failed save, a creature takes 1d6 tearing damage from the jagged splinter.
- On a successful save, the creature takes half damage (round down).
- The spell also creates a minor dangerous terrain effect, causing any creatures in the affected area to take 1 point of tearing damage if they step within the 5-foot radius until the start of your next turn.</t>
  </si>
  <si>
    <t>- 5th Level: The radius increases to 10 feet, and the damage increases to 2d6 tearing damage.
- 11th Level: The spell’s radius increases to 15 feet, and the jagged splinters also cause creatures who fail the saving throw to be slowed (speed halved) until the end of their next turn.</t>
  </si>
  <si>
    <t>You stomp your foot firmly on the cracked tiles, your body drawing on the surrounding debris, and with a sudden flick of your wrist, you summon the jagged shard of wood, rock, or broken tile to strike out at those nearby. The sharp splinter of the earth rattles, leaving a dangerous trail in its wake, and for a moment, the ground beneath you seems alive with jagged intent.</t>
  </si>
  <si>
    <t>5feet</t>
  </si>
  <si>
    <t>Broken Tiles</t>
  </si>
  <si>
    <t>Lantern of the Forgotten</t>
  </si>
  <si>
    <t>Cleric, Warlock</t>
  </si>
  <si>
    <t>You conjure a spectral lantern hovering at your shoulder, flickering with an eerie, bluish glow. The lantern sheds dim light in a 30-foot radius, but only the caster and hollow creatures can see it. If an hollow creature enters the light, it must make a Wisdom saving throw or become unable to willingly move out of the light’s radius for 1 minute. A creature that succeeds on the save is immune to this effect for 24 hours.</t>
  </si>
  <si>
    <t>Self (30-feet radius)</t>
  </si>
  <si>
    <t>Log</t>
  </si>
  <si>
    <t>Creates a single, perfectly ordinary log within 50 feet of the caster. Despite its unremarkable appearance, the log radiates a strange aura of importance. Roll on the Log Essence Table to determine its wood type and subtle vibe.
The caster may sit on it, wield it as an improvised weapon (1d4 impact), or simply admire its pure log-ness.</t>
  </si>
  <si>
    <t>| d8 | Log Essence                       |
|----|----------------------------------|
| 1  | Oak – Solid, dependable, mildly judgmental.            |
| 2  | Pine – Smells great but sheds needles constantly.       |
| 3  | Birch – Pale, elegant, oddly smooth to the touch.       |
| 4  | Mahogany – Impossibly classy. You feel underdressed.    |
| 5  | Driftwood – Damp, salty, and whispers ancient secrets.  |
| 6  | Petrified – Heavy, stone-like, cold and eternal.        |
| 7  | Hollow – Echoes slightly when tapped. Creepy.           |
| 8  | Fierywood – Warm to the touch. Never burns.             |</t>
  </si>
  <si>
    <t>50 feet</t>
  </si>
  <si>
    <t>Verbal</t>
  </si>
  <si>
    <t>Lurking Gloom</t>
  </si>
  <si>
    <t>Warlock</t>
  </si>
  <si>
    <t>You conjure a flicker of clinging darkness that momentarily lingers in the air. One creature of your choice within range must succeed on a Constitution saving throw or feel a wave of unnatural cold, reducing its passive Perception by 5 until the end of its next turn. If cast in dim light or darkness, the effect is automatically successful.</t>
  </si>
  <si>
    <t>Mage Sand</t>
  </si>
  <si>
    <t>Mispelled</t>
  </si>
  <si>
    <t>The caster conjures a small pile of golden sand in their palm. It has no magical properties but remains permanently damp. Scholars have debated its significance for centuries, yet it remains as pointless as ever. Additional Effects: nan</t>
  </si>
  <si>
    <t>Permanent</t>
  </si>
  <si>
    <t>Material, Verbal</t>
  </si>
  <si>
    <t>A scrap of parchment with gibberish</t>
  </si>
  <si>
    <t>Mystic Mussel</t>
  </si>
  <si>
    <t>Mispelled, Rework, BETA</t>
  </si>
  <si>
    <t>You conjure a small, ancient mussel in your hand—enchanted, annoyed, and tightly sealed shut. If anyone tries to pry it open, it vanishes with a faint salty pop, leaving behind only a briny scent.
If spoken to gently and respectfully, the mussel may whisper a cryptic phrase in an ancient tongue or forgotten accent. These utterances are rarely useful and often nonsense, though occasionally they align with bizarre truths.
Once conjured, the mussel lasts for 1 minute or until it disappears. It may be placed on surfaces, used as a very passive familiar, or simply admired.</t>
  </si>
  <si>
    <t>| d6 | Whispered Phrase                          |
|----|-------------------------------------------|
| 1  | The seventh bell tolls sideways.          |
| 2  | Ask the chimney, it remembers.            |
| 3  | You were almost someone else.             |
| 4  | Don’t trust the paperclip.                |
| 5  | Salt forgets, but pepper never forgives.  |
| 6  | It’s already behind you.                  |</t>
  </si>
  <si>
    <t>Material, Somatic, Verbal</t>
  </si>
  <si>
    <t>Magnetic Grip</t>
  </si>
  <si>
    <t>Debuff, Terrain, BETA</t>
  </si>
  <si>
    <t>Your feet become magnetized, securing you firmly to steel surfaces, providing enhanced stability against physical manipulation.- Effect:- You gain advantage on Strength saving throws and Strength (Athletics) checks to resist being shoved or knocked prone.- While the spell is active, you cannot be moved against your will by physical means unless the creature pushing you succeeds on a Strength (Athletics) check against your Strength saving throw DC.- The magnetic effect only works on steel or similarly magnetic surfaces (e.g., metal floors, steel grates, etc.).</t>
  </si>
  <si>
    <t>- 5th Level: The spell grants advantage on all Dexterity saving throws to avoid falling prone or being knocked over by environmental hazards.
- 11th Level: The spell lasts for 10 minutes, and the magnetism spreads to nearby metal objects, allowing you to pull or manipulate small metal items within 10 feet of you as part of the spell’s effect.</t>
  </si>
  <si>
    <t>You feel the ground beneath you hum as the magic takes hold. A faint magnetic pull runs through the soles of your feet, anchoring you to the steel beneath you. You brace yourself, standing firm against the force trying to knock you over, as you become one with the steel underfoot. The pull grows stronger with every movement, keeping you solidly in place.</t>
  </si>
  <si>
    <t>Steel Plates</t>
  </si>
  <si>
    <t>Misfiled Presence</t>
  </si>
  <si>
    <t>For a brief moment, reality forgets you. You become difficult to track—mundane security cameras blur your image, paperwork listing your location misprints, and witnesses second-guess seeing you. You do not become invisible, but creatures attempting to recall details about you must succeed on an Intelligence (Investigation) check against your spell save DC.</t>
  </si>
  <si>
    <t>Missing Ledger</t>
  </si>
  <si>
    <t>You cause a single nonmagical item no larger than a book to appear misplaced or absent to those unfamiliar with it. For the duration, creatures other than you must succeed on an Intelligence (Investigation) check against your spell save DC to notice the object. This effect ends if the item is touched directly.</t>
  </si>
  <si>
    <t>Momentum Shockwave</t>
  </si>
  <si>
    <t>You slam your foot down onto the ground, sending a controlled shockwave rippling through the asphalt, knocking foes back and disrupting their balance.- Saving Throw: Each creature within 5 feet of you must make a Strength saving throw.- On a failed save, the creature is pushed 5 feet away from you.- On a successful save, the creature remains unaffected by the shockwave.- Additionally, any creature that fails the saving throw takes 1d6 sound damage as the shockwave disturbs their equilibrium.</t>
  </si>
  <si>
    <t>- 5th Level: The push distance increases to 10 feet, and the damage increases to 2d6.- 11th Level: The push distance increases to 15 feet, and the damage increases to 3d6. The radius of the shockwave also increases to 10 feet.</t>
  </si>
  <si>
    <t>You slam your foot onto the solid asphalt beneath you, a tremor spreading out in all directions. The ground rumbles briefly before an invisible wave of force ripples outward, sending those nearby stumbling backward, unbalanced by the shock. The sound of the wave echoes briefly in the air, leaving a brief ringing in the ears of those it affects.</t>
  </si>
  <si>
    <t>Self (5feet radius)</t>
  </si>
  <si>
    <t>Asphalt</t>
  </si>
  <si>
    <t>Mothlight</t>
  </si>
  <si>
    <t>A small, glowing orb resembling a moth flutters within range, pulsing dim light in a 10-foot radius. The orb moves slowly (10 feet per round) in a direction of your choice. If it enters a creature’s space, the creature must make a Constitution saving throw or be briefly mesmerized, reducing its movement speed by half until the start of its next turn.</t>
  </si>
  <si>
    <t>a moth’s wing</t>
  </si>
  <si>
    <t>Opulent Glare</t>
  </si>
  <si>
    <t>You cause a dazzling flash of light to reflect off a nearby surface, like polished marble, momentarily blinding and disorienting any ranged attacker.- Saving Throw: Each creature within a 30-foot radius who makes a ranged attack on their turn must make a Constitution saving throw.- On a failed save, the creature suffers disadvantage on their next ranged attack.- On a successful save, they are unaffected by the dazzling light.</t>
  </si>
  <si>
    <t>- 5th Level: The radius of the effect increases to 40 feet, and the disadvantage lasts for 1 additional round.
- 11th Level: The radius of the effect increases to 50 feet, and creatures that fail their saving throw are also blinded until the end of their next turn.</t>
  </si>
  <si>
    <t>The marble gleams brightly in the light as you invoke the magic, reflecting the sunlight or torchlight in an intense flash. The sudden burst causes ranged attackers to squint, their aim faltering as the brilliance momentarily overwhelms their senses. Those who fail to resist the burst of light find themselves momentarily disoriented, struggling to regain focus before releasing their projectile.</t>
  </si>
  <si>
    <t>30feet</t>
  </si>
  <si>
    <t>Marble</t>
  </si>
  <si>
    <t>Oxidized Strike</t>
  </si>
  <si>
    <t>You channel the corrosive forces of decay into your strike, touching a creature’s armor or weapon with a touch imbued with necrotic energy. The target suffers both chiaric damage and the physical degradation of their gear.- Melee spell attack: Make a melee spell attack against a target. On a hit, the target takes 1d6 chiaric damage.- Armor Degradation: If the target is wearing armor, their AC is reduced by 1 for 1 minute due to rust and corrosion weakening their armor. This reduction stacks with other effects.- Weapon Degradation: If the target is wielding a weapon, it becomes slightly dulled, imposing disadvantage on attack rolls with that weapon until it is repaired or restored.</t>
  </si>
  <si>
    <t>- 5th level: The damage increases to 2d6 necrotic damage, and the AC reduction lasts for 10 minutes.- 11th level: The damage increases to 3d6 necrotic damage, and the AC reduction is applied to all armor worn by the target, including shields.</t>
  </si>
  <si>
    <t>As you reach out with a swipe or strike, you feel the cold, creeping touch of decay course through your hand, an invisible corrosive aura eating away at the target’s defenses. Where you touch, rust and rot spread in an instant, weakening armor and weapon alike. Your victim recoils as the rust spreads across their equipment, their movements becoming sluggish and uncertain.</t>
  </si>
  <si>
    <t>Melee</t>
  </si>
  <si>
    <t>Rusted Panel</t>
  </si>
  <si>
    <t>Pale Effigy</t>
  </si>
  <si>
    <t>You create a faint, distorted trace of someone who recently handled an object. A ghostly outline of their hands or footprints lingers faintly, fading slowly over the duration. This effect does not reveal the person’s identity but may suggest their presence.</t>
  </si>
  <si>
    <t>1 hours</t>
  </si>
  <si>
    <t>a strand of hair or a fingerprint</t>
  </si>
  <si>
    <t>Paper Trail</t>
  </si>
  <si>
    <t>You gain vague insight into the bureaucratic history of an object or document you touch. If it was ever officially filed, cataloged, or stamped, you receive a faint impression of where and when. This does not reveal detailed information but might hint at ownership, classification, or if it has been misplaced.</t>
  </si>
  <si>
    <t>a government-issued form</t>
  </si>
  <si>
    <t>Poltergust</t>
  </si>
  <si>
    <t>BETA</t>
  </si>
  <si>
    <t>You gesture subtly, and a phantasmal breeze whispers through an area you can see within range. Curtains billow, candles flicker, papers shift, and cold air brushes the skin. Though entirely illusory, the sensation feels real—enough to distract, unnerve, or suggest a presence unseen.- The wind cannot cause harm or move objects heavier than 5 lbs.- Creatures within the area instinctively glance around. If they are unaware of you or expecting stealth, you may gain advantage on your next Charisma (Deception or Performance) or Dexterity (Stealth) check against them before the end of your next turn.
This 0-Cantrip is often used to haunt, mislead, or emphasize one’s words, and is popular among illusionists, tricksters, and dramatists alike.</t>
  </si>
  <si>
    <t>Pummel Stone</t>
  </si>
  <si>
    <t>You summon a chunk of stone or brick from the earth beneath you, hurling it toward a target with magical force. The rocky projectile strikes with an explosive impact.- Ranged spell attack: Make a ranged spell attack against a target. On a hit, the target takes 1d8 impact damage from the stone.- The target must make a Strength saving throw (DC equals your spellcasting ability modifier) or be knocked prone by the force of the impact.
- 5th level: The damage increases to 2d8 impact, and the range of the spell increases to 60 feet.- 11th level: The spell deals 3d8 impact damage, and the target is stunned until the end of their next turn on a failed saving throw.</t>
  </si>
  <si>
    <t>- 5th level: The damage increases to 2d8 bludgeoning, and the range of the spell increases to 60 feet.- 11th level: The spell deals 3d8 impact damage, and the target is stunned until the end of their next turn on a failed saving throw.</t>
  </si>
  <si>
    <t>You kneel, tapping the earth beneath you, and with a surge of magical force, rip a jagged brick or cobblestone from the ground. With a swift motion, you hurl it at your foe, the stone sailing through the air with unnatural speed and power. The target is struck with the weight and force of the earth itself.</t>
  </si>
  <si>
    <t>Brick &amp; Cobblestone</t>
  </si>
  <si>
    <t>Radiant Shine</t>
  </si>
  <si>
    <t>You call upon divine radiance to flare from the gilded surface of the marble beneath you. The bright light sears those standing within its glow, casting shadows in the wake of its divine fury.- Creatures within 10 feet of the gilded marble or any surface you choose to target must make a Constitution saving throw or take 1d6 chiaric damage.- Creatures that fail their saving throw are also blinded until the end of their next turn, as the radiant light temporarily overwhelms their vision.</t>
  </si>
  <si>
    <t>- 5th level: The damage increases to 2d6 radiant, and the radius of the effect expands to 15 feet.- 11th level: The radius increases to 20 feet, and creatures that fail the saving throw are also paralyzed until the end of their next turn.</t>
  </si>
  <si>
    <t>You place the gold-plated coin on the floor, and radiant beams burst from the gilded marble surface, creating an intense, divine shine that floods the area. Enemies caught in its glow feel the burning light sear their skin, and their vision is blinded by the brilliance.</t>
  </si>
  <si>
    <t>Gilded Marble</t>
  </si>
  <si>
    <t>Rail Arc</t>
  </si>
  <si>
    <t>You channel a burst of static energy through nearby metal tracks, causing them to discharge a violent arc of electricity. The electric current surges through the rails, shocking any creature in proximity.- Creatures within 10 feet of any metal track or rail you target must make a Dexterity saving throw or take 1d6 electric damage.- If the target is wearing metal armor or wielding metal weapons, they take an additional 1d6 electric damage due to the conductive properties of the metal.</t>
  </si>
  <si>
    <t>You press your palm to the rail and a crackling surge of electricity courses through the metal, causing the nearby train tracks to hum with power. A jolt of lightning arcs from the tracks, discharging across the area and shocking any creatures foolish enough to be standing nearby. The sound of crackling energy fills the air as static builds.</t>
  </si>
  <si>
    <t>Train Tracks</t>
  </si>
  <si>
    <t>Redacted Statement</t>
  </si>
  <si>
    <t>You distort a single spoken word, causing it to be completely omitted from a sentence. This does not change meaning but leaves an obvious gap, as if the speaker momentarily forgot the word or it was intentionally censored. If used against a spellcaster, their spell is unaffected, but they experience a brief moment of dissonance.</t>
  </si>
  <si>
    <t>when a creature attempts to speak within 30 feet of you</t>
  </si>
  <si>
    <t>Resonant Clang</t>
  </si>
  <si>
    <t>You focus the sound of your steps and amplify the resonant clatter of metal beneath you, creating a sharp, ringing clang that reverberates through the environment. The disruptive noise causes nearby creatures to lose focus and become disoriented.- Creatures within a 15-foot radius of the source must make a Constitution saving throw or take 1d6 sound damage and have disadvantage on Perception checks for the next minute as they struggle to recover from the ringing.- The sound effects can be heard clearly through solid objects, and creatures within range must make a second saving throw if they are engaged in any concentration spells or abilities. On a failure, their concentration is broken.</t>
  </si>
  <si>
    <t>- 5th level: The radius increases to 30 feet, and the creatures now also suffer disadvantage on attack rolls until the end of their next turn, as their hearing and focus are affected by the noise.- 11th level: Creatures that fail their saving throw are also stunned for 1 round, as the sonic shockwave disorients them even further.</t>
  </si>
  <si>
    <t>You slam your feet against the metal grating, and the amplified clang reverberates across the battlefield. The sound is so intense it rattles the bones of your enemies, disorienting their senses and clouding their judgment. The metallic hum lingers in the air as they struggle to regain their composure.</t>
  </si>
  <si>
    <t>15feet</t>
  </si>
  <si>
    <t>Metal Grating</t>
  </si>
  <si>
    <t>Reverb Cloak</t>
  </si>
  <si>
    <t>You attune your presence to the resonating echoes of the surrounding environment, causing your form to distort and flicker like a ripple in sound. In places with reflective or hollow surfaces, such as concrete tunnels or other echoing terrains, your form becomes harder to focus on, creating confusion and uncertainty.- The first attack against you each round has disadvantage, as your form fluctuates within the echoes, making it difficult for enemies to track your exact location.- While the spell lasts, you gain advantage on Stealth checks to hide in areas with echoing acoustics, such as tunnels, caves, or large, noisy chambers.</t>
  </si>
  <si>
    <t>- 5th level: The spell now grants advantage on saving throws against any abilities that would reveal your position or detect your presence, such as Divination or perception-based effects.- 11th level: Creatures within 10 feet of you that make an attack roll against you also take 1d4 sonic damage as they are disoriented by the reverberations.</t>
  </si>
  <si>
    <t>The sound around you warps, bending and distorting with each subtle movement. The rhythmic pulse of your steps creates ripples in the air, making it difficult for enemies to pinpoint you amidst the shifting echoes of the walls. In the oppressive silence of the concrete tunnels, your presence is felt, but never fully seen, and your enemies are left chasing after fleeting sounds, unaware of your true location.</t>
  </si>
  <si>
    <t>Concrete Tunnels</t>
  </si>
  <si>
    <t>Rhythmic Movement</t>
  </si>
  <si>
    <t>The natural flow of the parquet wood beneath you guides your movements as you flicker momentarily between positions, destabilizing your form and reappearing in a more advantageous stance.- You gain advantage on your next Dexterity (Acrobatics) check or melee attack roll made before the end of your next turn.- If you are within 5 feet of a surface or object (like a wall or ledge), you can use your bonus action to teleport up to 10 feet in any direction within range. This teleportation does not provoke opportunity attacks.</t>
  </si>
  <si>
    <t>- At 5th level: The range of your teleportation increases to 15 feet.- At 11th level: You can also gain advantage on the first saving throw made against being restrained, paralyzed, or stunned during the turn the spell is cast.</t>
  </si>
  <si>
    <t>As you channel the natural flow of the parquet wood underfoot, you feel your body sync with the rhythm of the world around you. With a sudden flicker, your position changes, leaving only a brief blur behind before you land in a new, more favorable spot. The pulse of the earth beneath you supports your every movement, creating a seamless blend of natural agility and supernatural grace.</t>
  </si>
  <si>
    <t>Parquet Wood</t>
  </si>
  <si>
    <t>Sanguine Ink</t>
  </si>
  <si>
    <t>You conjure a thin line of crimson ink, written in your own blood, onto a surface within reach. The writing is in a language you know and can be as fine or elaborate as desired. You can erase the writing at will, but others cannot remove it by mundane means. The ink dries immediately and cannot be smudged. If used on a creature’s skin, it fades naturally in 24 hours.</t>
  </si>
  <si>
    <t>a drop of your own blood</t>
  </si>
  <si>
    <t>Scorned Mark</t>
  </si>
  <si>
    <t>You inscribe an invisible sigil onto a creature or surface—an anomalous imprint that flickers just outside visible light. The mark is imperceptible to normal senses but can be perceived by you, and by others under the effects of an attunement protocol (such as *Reveal Transmission*, *Trace Anomaly*, or *See the Unseen*).  
You may choose one of the following effects for the mark:  
- It emits a subtle warmth or chill to those who touch it.  
- It causes a sense of unease or dread when handled.  
- It makes the marked object feel subtly *wrong* to the attuned.  
If placed on a creature, the mark persists until the duration ends or the target takes chiaric damage (1 HP or more). The sigil has no impact on gameplay unless revealed, but its presence may trigger paranormal sensors, bureaucratic alarms, or ritual interactions.</t>
  </si>
  <si>
    <t>A.S.T.R.A.L. monitoring stations can flag this anomaly for review if detected.</t>
  </si>
  <si>
    <t>a drop of ink or blood</t>
  </si>
  <si>
    <t>Seduce Hollows</t>
  </si>
  <si>
    <t>Sexual, BETA</t>
  </si>
  <si>
    <t>A binding ritual forces one or more undead entities into total compliance with the caster’s physical or emotional desires.
- The undead must make a Charisma saving throw. On a failed save, they cannot resist the caster’s commands for the duration.
- If forced into pleasurable acts, they take 1d6 chiaric damage per instance of forced compliance.
- This spell is illegal under A.S.T.R.A.L. anomaly regulations and has severe ethical consequences.</t>
  </si>
  <si>
    <t>24 hours</t>
  </si>
  <si>
    <t>10 yards</t>
  </si>
  <si>
    <t>a drop of vitae from both caster and target</t>
  </si>
  <si>
    <t>Severed Whisper</t>
  </si>
  <si>
    <t>You invoke the name of something lost to time, letting its voice slip through your own. A creature of your choice within range hears a whisper from the void. It must make a Wisdom saving throw or become momentarily overwhelmed, causing it to miss the next verbal component it attempts to use before the start of your next turn. If the target does not cast spells, it instead hesitates, reducing its speed by 10 feet for one round.</t>
  </si>
  <si>
    <t>True Name Etching</t>
  </si>
  <si>
    <t>Shadow of an Elevator</t>
  </si>
  <si>
    <t>You subtly confuse the layout of a building. While active, any creature unfamiliar with the location might experience a brief moment of directional uncertainty—walking to an office they’ve used for years only to find a storage closet, or stepping onto an elevator that momentarily appears to be missing a button. The effect does not create actual spatial distortions but causes minor lapses in familiarity.</t>
  </si>
  <si>
    <t>a floor directory sign</t>
  </si>
  <si>
    <t>Shatter Step</t>
  </si>
  <si>
    <t>You focus a controlled vibration into the glass floor beneath you, causing a sudden concussive burst that shatters the surface. The shockwave ripples outward, damaging those within range.- Adjacent creatures (within 5 feet) must make a Constitution saving throw. On a failed save, they take 1d6 sonic damage and are deafened until the end of their next turn. On a successful save, they take half damage and are not deafened.- You suffer no ill effects from the glass beneath you, and you remain unharmed.</t>
  </si>
  <si>
    <t>- At 5th level: The radius of the blast increases to 10 feet.- At 11th level: The damage increases to 2d6.- At 17th level: The deafening effect lasts for 1 minute and can be dispelled by a creature using a Heal or Lesser Restoration spell.</t>
  </si>
  <si>
    <t>The druid channels the earth’s natural vibrations through the glass floor, using it as a conduit for explosive energy. The floor shatters like glass under the force of a wave, sending concussive shockwaves into any creature unlucky enough to be nearby. The spell’s precise vibration control makes it an effective tool for both damaging enemies and disrupting their balance, while the unique use of sound as a weapon provides an eerie, almost supernatural quality to the druid’s powers.</t>
  </si>
  <si>
    <t>Glass Floor</t>
  </si>
  <si>
    <t>Shifting Hallway</t>
  </si>
  <si>
    <t>You subtly alter the perception of an indoor corridor or room, causing it to appear slightly longer, shorter, or misaligned. A creature attempting to navigate the affected area must make an Intelligence (Investigation) check against your spell save DC or briefly hesitate, treating the terrain as difficult for one round.</t>
  </si>
  <si>
    <t>a broken door handle</t>
  </si>
  <si>
    <t>Sibilant Murmurs</t>
  </si>
  <si>
    <t>Bard, Wizard, Warlock</t>
  </si>
  <si>
    <t>You whisper a fleeting phrase laced with unsettling intent, audible only to one creature within range. The target must succeed on a Wisdom saving throw or hear your voice echoing around them, causing mild disorientation. On a failed save, the creature has disadvantage on its next attack roll or ability check before the start of your next turn.</t>
  </si>
  <si>
    <t>a small silver wire</t>
  </si>
  <si>
    <t>Slick Shift</t>
  </si>
  <si>
    <t>You move with the fluid grace of linoleum, your steps slick and effortless. Your body adapts to the environment, allowing you to glide over the floor, avoiding interference from foes.- You can take the Disengage action as a bonus action on this turn.- You cannot provoke opportunity attacks from creatures during this round.
While under the effects of Slick Shift, your movement feels smooth, and you can maneuver without interruption, easily slipping past those who would otherwise hinder your progress.</t>
  </si>
  <si>
    <t>- At 5th level: You can also move through difficult terrain without extra movement cost during the duration.- At 11th level: You gain advantage on Acrobatics checks to avoid being grappled or restrained while moving over slippery surfaces.- At 17th level: The spell duration extends to 1 minute.</t>
  </si>
  <si>
    <t>A druid whose connection to nature extends even to the man-made, finds that smooth, slippery surfaces enhance their innate agility. They become one with the fluidity of their environment, gracefully dodging and flowing with the world around them. The smoothness of linoleum beneath their feet, while mundane to others, is an avenue for their effortless escape from danger, as they shift with the ease of water slipping through their fingers.</t>
  </si>
  <si>
    <t>Linoleum</t>
  </si>
  <si>
    <t>Slitherword</t>
  </si>
  <si>
    <t>You speak with a voice that does not belong to you—layered, shifting, and wrong.
One creature of your choice within range must make a Wisdom saving throw. On a failed save:
- The creature flinches involuntarily, disrupting its focus.
- If it takes an action on its next turn, it must spend its bonus action first, if available.
- If it has no bonus action to use, its speed is reduced by 10 feet instead.
 A creature that succeeds on its saving throw is immune to this effect for 24 hours.</t>
  </si>
  <si>
    <t>Solid Footing</t>
  </si>
  <si>
    <t>You draw strength from the stability of concrete beneath your feet, solidifying your posture and ensuring that you cannot be easily moved. Your connection to the earth gives you exceptional resistance to being pushed or knocked down.
You gain advantage on Strength and Dexterity saving throws made to resist knockback or any effects that would push, pull, or topple you. This effect lasts until the start of your next turn.</t>
  </si>
  <si>
    <t xml:space="preserve">
When you reach higher levels, the ability strengthens:- 5th level: You can now resist grapples and restraining effects with advantage as well.- 11th level: You also gain resistance to forced movement, such as telekinetic pushes or teleportation effects that seek to reposition you.</t>
  </si>
  <si>
    <t>A druid attuned to the urban landscape or the resilience of built environments uses concrete’s unyielding nature to channel an innate stability. They sense the deep foundation of the ground beneath them, drawing on its permanence to stand firm against any attempt to disrupt their position. The caster’s posture straightens as if they themselves have become part of the unmovable structure around them, ready to resist whatever forces attempt to unseat them.</t>
  </si>
  <si>
    <t>Concrete</t>
  </si>
  <si>
    <t>Soothing Pulse</t>
  </si>
  <si>
    <t>The soothing comfort of velvet carpet emanates from your being, gently reinforcing your body and spirit. The calming energy wraps around you, providing minor restorative benefits and a sense of calm resilience.
You gain 1d4 temporary hit points, which last until you take a short or long rest. This temporary hit points cannot stack and are replenished with each casting of the spell.</t>
  </si>
  <si>
    <t>- At 5th level: The temporary hit points increase to 2d4.- At 11th level: The effect of the spell extends to allies within 10 feet of you, granting them 1d4 temporary hit points as well.- At 17th level: The temporary hit points increase to 3d4, and the duration is extended to 1 hour instead of just being until your next rest.</t>
  </si>
  <si>
    <t>A druid who has learned to embrace the comfort of natural softness manifests a calming aura as they attune to the environment around them. The soothing nature of soft, plush materials like velvet becomes a channel for their connection to comfort, warmth, and rejuvenation. As they breathe in deeply, the tension in their body releases, replaced by a quiet, resilient strength, echoing the peaceful tranquility of the soft carpet beneath their feet.</t>
  </si>
  <si>
    <t>Velvet Carpet</t>
  </si>
  <si>
    <t>Splinter Dart</t>
  </si>
  <si>
    <t>Drawing upon the natural flow of the wooden environment around you, you call forth a sharpened splinter from the very floor or nearby wooden structures, launching it with precision and agility.
You make a ranged spell attack against one creature within 20 feet. On a hit, the target takes 1d6 tearing damage as a splinter of wood embeds itself in their body.</t>
  </si>
  <si>
    <t xml:space="preserve">
The spell’s damage increases when you reach higher levels:
- 5th level: 2d6
- 11th level: 3d6
- 17th level: 4d6</t>
  </si>
  <si>
    <t>Urban druids who specialize in interior architecture and sustainable urban environments often rely on wooden elements to channel their magic. When they cast this spell, small creaks and pulses of energy resonate through the wooden beams, and the floor beneath them seems to bend slightly before a sudden burst of sharp wooden projectiles is released.</t>
  </si>
  <si>
    <t>20feet</t>
  </si>
  <si>
    <t>Warped Wood</t>
  </si>
  <si>
    <t>Cauterize Through Time</t>
  </si>
  <si>
    <t>Warlock, Sorceror</t>
  </si>
  <si>
    <t>You snap your fingers through folded chronology, sending a burning ripple backward into a wound that never had time to close.
Choose one creature within range. Make a ranged spell attack. On a hit, the target takes 1d6 pyric damage (a combination of radiant and fire), and must succeed on a Constitution saving throw or suffer Disadvantage on their next Concentration check before the end of your next turn.</t>
  </si>
  <si>
    <t xml:space="preserve">
• 5th level – 2d6 damage
• 11th level – 3d6 damage
• 17th level – 4d6 damage</t>
  </si>
  <si>
    <t>Splintered Reflection</t>
  </si>
  <si>
    <t>Your form fractures for a brief moment, as though seen through a cracked mirror. Until the start of your next turn, you can choose to roll a d4 and subtract the result from the first melee or ranged attack roll made against you. The attacker sees multiple afterimages of you shifting slightly out of sync.</t>
  </si>
  <si>
    <t>Static Discharge</t>
  </si>
  <si>
    <t>Harnessing the ambient static energy in the surroundings, you gather a charge from the office carpet, the fibers crackling with electric potential. With a sudden release, you unleash a crackling arc of lightning toward a target.
Make a Dexterity saving throw against your spell save DC. On a failed save, the target takes 1d6 electric damage. If the target is wearing metal armor or has metal equipment, the damage increases by 1, making the strike particularly painful.</t>
  </si>
  <si>
    <t xml:space="preserve">
The damage increases when you reach higher levels:- 5th level: 2d6- 11th level: 3d6- 17th level: 4d6</t>
  </si>
  <si>
    <t>In modern environments, especially in offices or warehouses, druids attuned to urban ecosystems often make use of mundane, overlooked energy sources like the static charge from carpets, furniture, and other everyday objects. The caster feels the tiny crackles of static energy building around them, their hand briefly glowing with arcane power before they release the lightning-like spark at their target, often surprising the unprepared.</t>
  </si>
  <si>
    <t>Office Carpet</t>
  </si>
  <si>
    <t>Static Field</t>
  </si>
  <si>
    <t>By reaching toward an exposed maintenance grate or metallic conduit, you unleash a sharp surge of static electricity, discharging the built-up current into nearby enemies.
Choose one creature within 10 feet of you that is standing on or adjacent to metal flooring, a grate, conduit, or similar surface. That creature must succeed on a Constitution saving throw or take 1d4 electric damage and lose its reaction until the start of its next turn.</t>
  </si>
  <si>
    <t xml:space="preserve">
The spell’s damage increases when you reach higher levels:- 5th level: 2d4- 11th level: 3d4- 17th level: 4d4</t>
  </si>
  <si>
    <t>Urban druids and infrastructure witches have long known how to manipulate the invisible flows of static that build beneath cities. A quick gesture, a whispered word, and the ambient hum becomes a stinging pulse. It doesn’t stop hearts—but it might stop someone from drawing steel.
The faint smell of ozone and dust lingers in the air after the spell discharges.</t>
  </si>
  <si>
    <t>10feet</t>
  </si>
  <si>
    <t>Maintenance Grating</t>
  </si>
  <si>
    <t>Static Veil</t>
  </si>
  <si>
    <t>A faint hum distorts reality around you. Until the start of your next turn, any attempt to record or broadcast your presence via analog or digital devices produces static, blurred imagery, or flickering distortions. This does not prevent direct observation, but any recorded footage will appear corrupted or unusable.</t>
  </si>
  <si>
    <t>Stillness of the Grave</t>
  </si>
  <si>
    <t>You slow your breathing and still your pulse, imitating the lifeless calm of a corpse. Until the spell ends, you appear dead to mundane inspection, such as touch or sight. A creature that physically examines you must succeed on a DC 15 Wisdom (Medicine) check to determine that you are still alive. This effect does not suppress your ability to move or speak, but any voluntary action ends the spell immediately.</t>
  </si>
  <si>
    <t>Surefooted Leap</t>
  </si>
  <si>
    <t>You attune your balance and momentum to the structural rhythm of your surroundings—metal beams, concrete ledges, scaffolding, and rooftop catwalks. For the briefest moment, the world feels designed for your movement.
Until the start of your next turn, your long jump distance is doubled, and you do not need a 10-foot run-up to make a long jump.
This movement ignores difficult terrain caused by uneven platforms, narrow ledges, or slippery surfaces, as long as they are part of a constructed or elevated structure (e.g., catwalks, fire escapes, scaffolding, or city rooftop obstacles).</t>
  </si>
  <si>
    <t>Surefooted Leap is commonly used by urban druids, parkour enthusiasts, and rooftop messengers trained by nature itself. They move not like people, but like whispers on the wind—navigating a city’s skeleton with the grace of a climbing vine or the leap of a fox from rusted girder to bent pipe.
When this spell is cast, there’s a moment where gravity seems to wait—just long enough for you to leap farther than you should.</t>
  </si>
  <si>
    <t>Catwalk</t>
  </si>
  <si>
    <t>Tremor Sign</t>
  </si>
  <si>
    <t>You tap the ground, sending a ripple of energy through the surface. A creature standing on solid ground within range must succeed on a Dexterity saving throw or momentarily lose balance, forcing it to make its next attack roll or Dexterity check with disadvantage. If the terrain is loose or unstable, the effect is automatically successful.</t>
  </si>
  <si>
    <t>a piece of cracked stone</t>
  </si>
  <si>
    <t>Tweak/Goose</t>
  </si>
  <si>
    <t>A pulse of low-frequency nerve stimulation targets a muscle group or sensitive area, triggering a sharp jolt of sensation akin to a goosebump-inducing touch.
- The target must succeed on a Constitution saving throw or experience an involuntary twitch, shiver, or sharp intake of breath, losing their next reaction.
This spell is often misused in underground establishments, enhancing paid experiences or delivering unexpected sensations.</t>
  </si>
  <si>
    <t>Veilborn Glimmer</t>
  </si>
  <si>
    <t>Your body shimmers with ethereal light, briefly phasing between reality and the unknown. For the duration, you can dim or brighten your own appearance at will, causing yourself to glow faintly (shedding dim light in a 5-foot radius) or become shadowed (light sources within 10 feet of you appear dimmer). This effect ends if you fall unconscious or dismiss it as a bonus action.</t>
  </si>
  <si>
    <t>Verdant Renewal</t>
  </si>
  <si>
    <t>You touch a patch of resilient green—be it moss growing through cracked pavement or ivy clinging to concrete—and draw strength from its quiet persistence.
Upon casting this spell, a subtle green glow briefly pulses around your feet and chest. For the next minute:- You gain resistance to poison damage.- You have advantage on Constitution saving throws made to resist or recover from exhaustion.
This effect represents the restorative essence of hardy flora—clinging life that thrives in adversity, even in forgotten corners of the city.</t>
  </si>
  <si>
    <t>Verdant Renewal is a hallmark 0-Cantrip of druids who walk the forgotten arteries of modern sprawl—those who find nature not in forests, but in the weeds in gutters, moss in subways, and roots beneath asphalt. These druids believe resilience is nature’s truest gift—and draw upon it to steady their own breath in moments of fatigue and illness.</t>
  </si>
  <si>
    <t>Moss-Covered Pavement</t>
  </si>
  <si>
    <t>Tile Pulse</t>
  </si>
  <si>
    <t>You attune yourself to the fractured lifeblood of the city—cracks in pavement, broken tiles, and splintered stone—awakening the pulse beneath the ground.
You stomp or strike the ground, and a violent pulse of force erupts outward from a fractured surface within range. The magic seeks instability, targeting seams and breaks to launch razor-sharp shards in all directions.
Choose a point on the ground within 30 feet that contains fractured terrain (e.g., cracked concrete, shattered tile, weathered brick). All creatures within 5 feet of that point must succeed on a Constitution saving throw or take 1d6 impact damage as they are struck by magically propelled debris. On a success, they take no damage.</t>
  </si>
  <si>
    <t>Veined Stone</t>
  </si>
  <si>
    <t>Wardrobe Malfunction</t>
  </si>
  <si>
    <t>Bard, Sorceror, Warlock</t>
  </si>
  <si>
    <t>You remotely manipulate the fastenings of a creature’s outfit—zippers slip, laces untie, clasps flick open or shut, or corsets snap with whispered precision.
- You may don or doff any simple clothing as a bonus action, including on a willing creature within range.
- If cast on an unwilling creature, they must succeed on a Dexterity saving throw or have part of their clothing shift, loosen, or fall apart (purely cosmetic, unless specified).
- Subtle castings require a Wisdom (Insight) check against your spell save DC to notice the alteration.
At Higher Tiers:
- If the caster is level 5 or higher, the spell can affect light armor.
- At level 10, it can affect medium or heavy armor, but doing so requires a Strength (Athletics) check (DC 15) to undo or resecure the armor manually.</t>
  </si>
  <si>
    <t>Scaling (At Higher Levels):
The spell’s damage increases when you reach higher levels:- 5th level: 2d6- 11th level: 3d6- 17th level: 4d6</t>
  </si>
  <si>
    <t>Druids of the Concrete Vein speak of the city’s pulse as if it were a living thing. Where others see decay, they find breath. Vital Pulse is their heartbeat—an echo of nature breaking through the scars of civilization.</t>
  </si>
  <si>
    <t>Bonus Action</t>
  </si>
  <si>
    <t>Wisp of the Forgotten</t>
  </si>
  <si>
    <t>You conjure a faint, ghostly whisper from beyond the veil, carrying an unintelligible but haunting message to a creature within range. The target must succeed on a Wisdom saving throw or become unnerved until the start of its next turn, giving it disadvantage on the next Wisdom (Perception) check or initiative roll it makes. If the creature is already frightened, it takes cognitive damage equal to your spellcasting ability modifier.</t>
  </si>
  <si>
    <t>Silhouette Link</t>
  </si>
  <si>
    <t>A nearly invisible strand of shadow stretches between you and a creature within range. For the duration, you always know the direction of the target as long as they remain within range. The thread vanishes if the target moves behind total cover or crosses a body of water wider than 5 feet.</t>
  </si>
  <si>
    <t>60 feet</t>
  </si>
  <si>
    <t>Bullet Trace</t>
  </si>
  <si>
    <t>Firearm, Tracking, BETA</t>
  </si>
  <si>
    <t>Ranger</t>
  </si>
  <si>
    <t>1st-level</t>
  </si>
  <si>
    <t>When you hit a creature with a ranged firearm attack, you mark the target with an invisible tracer. While marked, you always know the exact location of the target within 500 feet and ignore half-cover penalties when attacking the marked creature.</t>
  </si>
  <si>
    <t>up to 10 minutes</t>
  </si>
  <si>
    <t>Civic Transit</t>
  </si>
  <si>
    <t>Teleportation, BETA, Transport</t>
  </si>
  <si>
    <t>Bard, Wizard, Druid</t>
  </si>
  <si>
    <t>You phase into an invisible transit line used by forgotten city workers. Instantly, you appear at any known bus stop, train station, or parking garage within range.</t>
  </si>
  <si>
    <t>At higher level you take 1 more people</t>
  </si>
  <si>
    <t>Self (1 mile)</t>
  </si>
  <si>
    <t>a transit ticket or keycard</t>
  </si>
  <si>
    <t>Coitus Compulsum</t>
  </si>
  <si>
    <t>Mispelled, Sexual, BETA</t>
  </si>
  <si>
    <t>Bard, Sorceror</t>
  </si>
  <si>
    <t>You overwhelm a creature with powerful urges of lust and romance. The target must succeed on a Charisma saving throw or become compelled by you for the duration, deeply distracted by intimate thoughts and feelings.
Roll 1d6 immediately upon casting to determine a specific additional effect:
Roleplay Potential:
- This spell can cause considerable confusion and social chaos in delicate or diplomatic settings.
- Cultures sensitive to romantic propriety might ban or heavily regulate its use.</t>
  </si>
  <si>
    <t>| d6 | Random Effect (Love or Lust?)                                                                                             |
|----|---------------------------------------------------------------------------------------------------------------------------|
| 1  | The target falls hopelessly in love with the nearest inanimate object, becoming protective and affectionate toward it.    |
| 2  | The target becomes incredibly awkward for 1 hour, imposing disadvantage on all Charisma checks and saves.                 |
| 3  | The target is overcome by romantic impulse and spontaneously proposes marriage to you.                                    |
| 4  | The target gains a +2 bonus to AC due to heightened adrenaline but is unable to attack any creature they find attractive. |
| 5  | The target takes 1d4 psychic damage from embarrassment as they recall every humiliating moment of their romantic past.    |
| 6  | A whimsical Cupid-like being appears, openly judging and criticizing the target’s romantic choices for 1 minute.          |</t>
  </si>
  <si>
    <t>An incomplete footnote in a partially corrupted A.S.T.R.A.L. record vaguely describes a “linguistic corruption phenomenon” causing test subjects to irreversibly blur intimacy, enchantment, and compulsion. The rest of the archive is suspiciously absent.</t>
  </si>
  <si>
    <t>Compelled</t>
  </si>
  <si>
    <t>when an enemy attacks</t>
  </si>
  <si>
    <t>a rose petal dipped in honey</t>
  </si>
  <si>
    <t>Pleasure Numbing</t>
  </si>
  <si>
    <t>Data Scramble</t>
  </si>
  <si>
    <t>BETA, Grid, Technology, Security</t>
  </si>
  <si>
    <t>Wizard, Druid</t>
  </si>
  <si>
    <t>Touching a digital device, you cause its stored data to become incomprehensible, garbled, or distorted. Any attempt to retrieve or access the data requires an Intelligence saving throw against your spell save DC. On a failure, the data remains unreadable for the duration.</t>
  </si>
  <si>
    <t>Using this spell on government or corporate systems may trigger counter-security measures.</t>
  </si>
  <si>
    <t>Detect Broadcasts</t>
  </si>
  <si>
    <t>BETA, Technology, Communication, Utility</t>
  </si>
  <si>
    <t>Bard, Wizard, Sorceror</t>
  </si>
  <si>
    <t>You convert arcane energy into an analog signal, allowing you to transmit a spoken message or magical effect through radio waves, telegraph lines, or wired technology. Spells like *Ciphered Message* and *Ghost Broadcast* can be cast across vast distances if a signal relay exists.</t>
  </si>
  <si>
    <t xml:space="preserve"> | Encryption Level | BDR |
 |------------------------|------|
 | Basic encryption  | 10  |
 | Corporate-grade | 15  |
 | Military-grade  | 18  |
 | Eldritch interference | 22  |</t>
  </si>
  <si>
    <t>Repeated use may cause phantom transmissions—garbled messages from entities who should not be listening.</t>
  </si>
  <si>
    <t>Self (30 feet)</t>
  </si>
  <si>
    <t>a copper wire earpiece</t>
  </si>
  <si>
    <t>Suspension of Disbelief</t>
  </si>
  <si>
    <t>Mispelled, Utility, BETA</t>
  </si>
  <si>
    <t>Wizard, Paladin, Sorceror</t>
  </si>
  <si>
    <t>You briefly attune to the narrative fabric of reality, gaining an uncanny sensitivity to dramatic structure, clichés, and meta-patterns. For the duration, you can sense the presence of common story tropes in characters, environments, and events within range.
You can detect things like:
- When a villain is about to monologue
- If a side character radiates “tragic backstory energy”
- Whether a room feels “too conveniently empty”
- If an ancient prophecy is about to become relevant
- When someone is definitely about to betray the party
This insight is incredibly annoying to others. NPCs may roll Insight to feel disturbed by your overly convenient genre awareness.
Meta Mechanic (once per casting):
If the DM becomes visibly annoyed by your observations—subtly or overtly—you may “break the fourth wall.” When this happens:
- You may ask the DM one question about the current narrative, twist, or character.
- The DM must answer, but may do so cryptically.
- Your character forgets the answer consciously, but retains it subconsciously.
- The player gains one “narrative gut feeling” that can be invoked at any time for advantage on a single Insight, Perception, or Investigation check.
This ability can only be triggered once per casting.</t>
  </si>
  <si>
    <t>Roleplay Guidance:- You might instinctively distrust someone because they “look like a redemption arc.”- You might refuse to read scrolls because “reading aloud always triggers curses.”- You might whisper “he’s the real villain” the moment you meet the king.</t>
  </si>
  <si>
    <t>Unique Offering</t>
  </si>
  <si>
    <t>You offered your past as part of the bargain—and now it isn’t entirely yours anymore.
Effect:
After the next long rest, the DM may change one detail about your character’s backstory.
You are aware that something has changed, but you don’t know what.
This change:
- Is permanent (unless changed again by future rests or spells)
- Can be minor or major (a name, a location, a relationship, a memory)
- This change is canon and ripples into the world.
- You can sense that something changed, but not what unless you investigate it.
You might feel déjà vu, confusion, strange memories, inconsistencies, or subtle emotional dissonance—but reality accepts the change without question.</t>
  </si>
  <si>
    <t>Revelation of the Flesh</t>
  </si>
  <si>
    <t>Cleric, Paladin, Druid</t>
  </si>
  <si>
    <t>You place your hand on a willing creature and channel a diagnostic pulse of divinatory energy. For a brief moment, their body becomes transparent to your senses, revealing hidden disruptions or irregularities within.
You detect the presence of any internal affliction, including:
- Natural or magical diseases
- Poisons or chemical imbalances
- Curses with a biological or physiological component
- Arcane mutations or lingering experimental side effects
You immediately learn the type of affliction present (e.g., “necrotic infection,” “alchemical toxin,” or “soul-linked corruption”). You do not learn the exact name or nature of the condition unless you succeed on a DC 13 Intelligence (Medicine or Arcana) check.
Creatures without any detectable affliction feel nothing. Afflicted creatures may feel a brief sting, or other harmless somatic response depending on the nature of their condition.</t>
  </si>
  <si>
    <t>a sliver of clear quartz</t>
  </si>
  <si>
    <t>Wanton Assessment</t>
  </si>
  <si>
    <t>You brush your fingers gently across the target’s skin, and for a moment, their body opens itself to your senses—like a lover whispering its deepest discomforts.
You detect any sexual or intimacy-related ailments currently affecting the creature, whether physical, psychological, emotional, or arcane. This includes but is not limited to:
- Venereal diseases, mundane or magical
- Hormonal imbalances, arousal anomalies, arcane sterility
- Psychological blocks, trauma-induced aversions, or compulsions
- Magically-induced attractions, false bonds, or enchantments
- Anomalous intimacy curses (e.g., “can’t touch anyone,” “always fall in love,” etc.)
Each issue is revealed in poetic, metaphorical terms, such as:
“The heart is sealed with wax,” or “There is a hunger with no source.”
With a DC 12 Wisdom (Medicine or Insight) check, you may interpret one affliction literally.
An afflicted creature feels a brief sensation of heat or shiver, depending on the nature of the ailment. Some report hearing a whisper from within themselves.</t>
  </si>
  <si>
    <t>Some psychological conditions may emerge for the first time only after this spell is cast. These effects often manifest as soft compulsions or disturbing dreams.</t>
  </si>
  <si>
    <t>a drop of honey</t>
  </si>
  <si>
    <t>Truth Between the Sheets</t>
  </si>
  <si>
    <t>Bard, Wizard, Paladin</t>
  </si>
  <si>
    <t>You exhale a slow, intoxicating breath, sending whispers of carnal truth and romantic echoes drifting into the target’s aura. The magic doesn’t extract facts—it invites revelation.
A silken mirage unfolds, where the subject’s soul steps forward, cloaked in glimmering honesty. Faces, forms, emotions, and gestures emerge from the haze—some familiar, some unknown—each representing a truth they’ve always carried.
The spell may reveal one or more of the following aspects, depending on your focus:
Gender Identity: The target's inner identity manifests briefly as a mirage, affirming their true self. This may reveal identities such as Male, Female, Nonbinary, Transgender, Cisgender, Two-Spirit, Genderfluid, Agender, or something uniquely personal and beyond typical categories.
Romantic Inclination: You awaken a subtle echo within the target’s spirit, reflecting their romantic nature. This might indicate whether they identify as Hyper-Romantic, Romantic, Demi-Romantic, Grayromantic, Aromantic, or something entirely undefined.
Sexual Orientation: A fleeting, sensory dreamscape gently unfolds around the target, reflecting their deepest attractions. They may acknowledge, embrace, or gently dismiss these visions. The spell doesn't impose new desires; it simply illuminates those already present.
Position Preference: A subtle sensation reveals the subject's preferred intimacy position, such as Top, Bottom, Versatile, Vers-Top, Vers-Bottom, Side, or an unclassified, uniquely personal preference.
Fetish Affinity: A delicate hum pulses into the subject’s subconscious, drawing forth hidden motifs of pleasure—those they cherish, those they deny, and those that whisper only in dreams. This may reveal affinities such as Bondage, Impact Play, Sensory Deprivation, Exhibitionism, Voyeurism, Power Exchange, Pet Play, or something undocumented by common texts.
Kink Role Alignment: A soft whisper coils through the subject’s awareness, coaxing insight into their innate position within dominance-submission dynamics. They may momentarily experience themselves in a state of control, surrender, or fluidity. Whether they resist, acknowledge, or embrace this vision, the spell merely opens a door—it does not push them through it.
The experience is not invasive—it is affirming, deeply personal, and laced with quiet reverence. The subject may resist this unveiling with a Wisdom saving throw; on a success, the vision remains fragmented, and only a vague sense of their essence slips through.
This spell does not coerce. It does not judge. It simply illuminates what was already burning softly beneath the surface.</t>
  </si>
  <si>
    <t>This spell respects the target's autonomy and does not alter or coerce identities or preferences; it merely reveals truths already held.
Always ensure sensitive handling of these revelations at your table, prioritizing player comfort and respectful roleplay.</t>
  </si>
  <si>
    <t>a shard of polished obsidian kissed once, a rose petal burned to ash, and a silk ribbon tied and untied around a drop of honeyed wine</t>
  </si>
  <si>
    <t>Faded Beauty</t>
  </si>
  <si>
    <t>Taunt the Fruit Boots</t>
  </si>
  <si>
    <t>Bard, Ranger</t>
  </si>
  <si>
    <t>You channel your arcane energy into pure style and physics-defying balance. As part of the spell, you perform an absolutely sick trick on a skateboard (or any similar personal transport device). The trick defies gravity, logic, and taste. Everyone nearby feels its impact.
Roll a Performance (Charisma) check. Choose one of the following based on the result:- 15 or higher: A nearby crowd gathers. If 5 or more creatures visibly react with awe (DM’s discretion), you gain advantage on all Charisma checks and Charisma saving throws until your next long rest.- 10–14: The trick works, but only a few bystanders notice. You gain advantage on your next Charisma ability check.- Below 10: You still land it… barely. No benefit, but you avoid humiliation.
This spell grants no combat bonuses and immediately ends if cast in combat.</t>
  </si>
  <si>
    <t>- NPC reactions can be determined by a group Insight check or DM fiat.- Impressing elite socialites, hardened criminals, or nobles may require a higher Performance DC.</t>
  </si>
  <si>
    <t>120 feet</t>
  </si>
  <si>
    <t>A skateboard</t>
  </si>
  <si>
    <t>Emergency Resuscitation Protocol</t>
  </si>
  <si>
    <t>Healing, BETA</t>
  </si>
  <si>
    <t>Cleric, Wizard, Paladin</t>
  </si>
  <si>
    <t>You stabilize a dying creature and restore 1d4 + your spellcasting modifier hit points. If the target was unconscious, they wake up disoriented and suffer disadvantage on all rolls for 1 round.</t>
  </si>
  <si>
    <t>a paramedical-grade defibrillator, registered to an emergency response ID</t>
  </si>
  <si>
    <t>Payment can be in credits or a direct transfer of life force (aging the caster by 1 year instead of paying the fee).</t>
  </si>
  <si>
    <t>Using lifespan instead of credits inflicts Minor Arcane Strain.</t>
  </si>
  <si>
    <t>Encrypted Command</t>
  </si>
  <si>
    <t>You speak a single-word command, encoded in an arcane cipher that only the intended target can comprehend. To all other creatures, the word sounds like distorted static, arcane distortion, or nonsensical muttering. The target must succeed on a Wisdom saving throw or follow the command on their next turn, as if affected by the Command spell.
If the target succeeds on their saving throw, they immediately sense that an attempt was made to magically influence their will, though they do not inherently know who cast the spell.
Observers may recognize that a spell was cast but cannot understand the word. A creature within 30 feet who hears the utterance can attempt a DC 13 Arcana or Insight check to discern the nature of the magic, but not the command itself.</t>
  </si>
  <si>
    <t>When cast using a spell slot of 3nd level or higher, the spell becomes entirely undetectable to anyone except the caster and target—leaving no sound, no visual components, and no magical trace behind.</t>
  </si>
  <si>
    <t>Eternal Memo</t>
  </si>
  <si>
    <t>Wizard, Cleric</t>
  </si>
  <si>
    <t>You inscribe a message, signature, or contract onto a non-living object, embedding it permanently into reality. It cannot be erased, burned, or defaced except by a reality altering spell or anomaly.</t>
  </si>
  <si>
    <t>a paper receipt</t>
  </si>
  <si>
    <t>Gourds and Wharfs</t>
  </si>
  <si>
    <t>Bard, Druid, Paladin</t>
  </si>
  <si>
    <t>You summon a whimsical assortment of decorative gourds accompanied by a miniature wooden dock at a point within range. The purpose of this spell is unclear, lost to time, yet oddly charming.
Roll a d6 to determine the precise effect:</t>
  </si>
  <si>
    <t>| d6 | Summon Result                                                                 |
|----|-------------------------------------------------------------------------------|
| 1  | A harmless pile of decorative gourds appears.                                |
| 2  | Gourds appear and burst into harmless, colorful sparks.                      |
| 3  | A small wooden dock appears precisely 10 feet away from the target point.    |
| 4  | A small wooden dock appears with a tiny boat gently bobbing at its side.     |
| 5  | A talking scarecrow briefly appears, makes an obscure remark, and vanishes.  |
| 6  | A single, massive pumpkin (large enough to provide half-cover) appears.      |</t>
  </si>
  <si>
    <t>At Higher Levels (Scaling):
When cast using a higher-level spell slot, the conjured objects become larger and potentially more practical:
Spell Slot Level
Enhanced Effect
2nd-level
The dock or gourds are large enough to serve as half-cover.
3rd-level
You summon an actual wooden pier segment or a large pumpkin capable of sheltering one medium-sized creature.
4th-level or higher
You conjure a fully functional pier and rowboat, or an enormous pumpkin capable of sheltering several creatures comfortably.</t>
  </si>
  <si>
    <t>A partially burned A.S.T.R.A.L. manuscript mentions a long-abandoned festival involving pumpkins, piers, and confusing folk traditions. The context is lost, leaving only playful chaos.</t>
  </si>
  <si>
    <t>Somatic, Material, Verbal</t>
  </si>
  <si>
    <t>a pumpkin seed or small piece of driftwood</t>
  </si>
  <si>
    <t>Induced Arousal</t>
  </si>
  <si>
    <t>Sexual, Utility, BETA</t>
  </si>
  <si>
    <t>You magically activate the target’s autonomic nervous system, forcing an intense physiological response. This includes rapid heartbeat, dilated pupils, flushed skin, heightened tactile sensitivity, and minor muscular tension. The effect is entirely physical and does not confer emotional intent or mental compulsion.
While affected, the creature has:
- Disadvantage on Stealth checks (too twitchy/sweaty)
- Advantage on checks involving heightened senses (Perception based on touch, taste, hearing)
- Disadvantage on concentration checks due to overstimulation
- Creatures immune to being charmed or who do not have nervous systems are unaffected.</t>
  </si>
  <si>
    <t>Optional Roleplay Effects:
The response may resemble nervousness, excitement, or panic depending on context. Social misinterpretations are common and potentially useful (or disastrous).
Notes for Tables:
- Reflavor it for espionage, interrogation, or psychic interference if you want to avoid overtly sexual interpretation.
- Mechanically, it behaves like a stimulant-overload or magic caffeine shot — sensory boost, motor disruption.</t>
  </si>
  <si>
    <t>1 turn + 1 rounds/level</t>
  </si>
  <si>
    <t>a biometric stimulant patch</t>
  </si>
  <si>
    <t>Inkbound Familiar</t>
  </si>
  <si>
    <t>BETA, Alteration</t>
  </si>
  <si>
    <t>You etch a familiar into your skin as a living tattoo. The familiar takes the form of shifting ink etched into your skin and cannot leave your body or manifest physically. The familiar is alive in magical essence but exists only as a moving design on your flesh.
While the familiar is inkbound, you gain the following benefits:- You can see and hear through the familiar as long as it is on a visible part of your body (such as your arm, hand, or face). While using its senses, you are deaf and blind to your own surroundings.- You can communicate telepathically with the familiar while it remains tattooed on you and is conscious.- When you cast a spell with a range of touch, the familiar can deliver the spell through you if the body part bearing the tattoo is used to make contact with the target.- The familiar cannot attack, interact with objects, or move independently from your body. It can crawl across your skin, shifting its location and appearance, but it cannot leave your surface.- The tattoo cannot be removed by mundane means and persists even if you are polymorphed or disguised. If the tattoo is destroyed or erased by magical means (such as dispel magic or a targeted ritual), the familiar is banished and must be recreated by casting this spell again.
The familiar’s design changes subtly to reflect its emotions or magical stimuli, often revealing moods, warnings, or arcane patterns.
You can only have one inkbound familiar at a time. Attempting to cast this spell again causes the previous tattoo to fade and the familiar to vanish.</t>
  </si>
  <si>
    <t>special tattoo ink, certified and enchanted</t>
  </si>
  <si>
    <t>Requires ink certified by a mystic or black-market tattooist.</t>
  </si>
  <si>
    <t>The Mourner's Kiss</t>
  </si>
  <si>
    <t>Damage, BETA</t>
  </si>
  <si>
    <t>You infuse the Veins of Lament into a kiss, channeling raw pain through the moment of contact. When you touch a creature with your lips (or simulate the act with a somatic gesture), your magic delivers a pulse of internal anguish.
The target must make a Dexterity saving throw. On a failed save, it takes 1d3 chiaric damage plus 3 damage per caster level (maximum 1d3 + 20). On a successful save, the creature takes half damage.
This kiss leaves no visible wound, but the target feels as if something delicate within them cracked.</t>
  </si>
  <si>
    <t>Practiced in secret by jaded lovers, dark poets, and those who trade beauty for brutality, the Kiss of Wounding is both a spell and a statement.</t>
  </si>
  <si>
    <t>Half-damage</t>
  </si>
  <si>
    <t>Grubby Learn-Fists</t>
  </si>
  <si>
    <t>Your hands are suddenly overcome with a thirst for knowledge. They twitch with magical awareness and autonomously seek out tools, books, and unfamiliar objects with unsettling eagerness.
For the duration, your hands gain proficiency with one tool, weapon, or instrument of your choice. If you are already proficient, you instead gain advantage on ability checks using that item.
At the start of each of your turns, make a Wisdom saving throw (DC 10). On a failure, your hands act independently for that round. They might:
- Grab random items
- Gesture wildly
- Drop what you’re holding
- Or attempt to use the new skill without your consent (DM’s choice)
If cast using a spell slot of 2nd level or higher, you may gain one additional proficiency per level above 1st (your hands learn more—but also grow harder to control).</t>
  </si>
  <si>
    <t>If cast using a spell slot of 2nd level or higher, you may gain one additional proficiency per level above 1st (your hands learn more—but also grow harder to control).</t>
  </si>
  <si>
    <t>The spell was banned from several universities after a scroll archive was completely ransacked by enchanted fingers.</t>
  </si>
  <si>
    <t>self</t>
  </si>
  <si>
    <t>Bogbolt</t>
  </si>
  <si>
    <t>Druid, Ranger</t>
  </si>
  <si>
    <t>You conjure and fling a dense glob of swamp muck at a creature within range. The bolt arcs with a disgusting squelch, trailing algae, peat, and mystery goo.
Make a ranged spell attack against a creature. On a hit, the target takes 1d8 impact damage and must succeed on a Charisma saving throw or be coated in stinking mire for 1 minute.
While affected:- The target has disadvantage on Charisma checks involving persuasion, performance, or decorum.- The effect ends early if the creature spends an action to scrape or wash off the muck.</t>
  </si>
  <si>
    <t>This spell is often used less for harm and more for humiliation. The smell lingers longer than the magic.</t>
  </si>
  <si>
    <t>Orb of Let's Not</t>
  </si>
  <si>
    <t>Bard, Sorceror, Paladin</t>
  </si>
  <si>
    <t>You conjure a glowing, humming orb of soft pastel light that floats 5 feet off the ground and emits gentle music and phrases like:- “Let’s not do this.”- “Violence is exhausting.”- “Hugs not hits.”- “Come on, talk it out, champ.”
Each creature of your choice within a 10-foot radius of the sphere must succeed on a Wisdom saving throw or become non-hostile for as long as they remain within the sphere’s area.
They won’t initiate attacks, cast offensive spells, or shout mean things while inside—but they may still pout, sulk, or engage in passive aggression.
The Save DC is equal to: 10 + the creature’s Challenge Rating (rounded down)
This means tougher creatures are less likely to resist the sphere’s charm, because even ancient dragons want to be understood.
While active:- The sphere follows its original position and cannot be moved.- Creatures who exit and re-enter must re-roll their save.- Creatures who are damaged immediately shake off the effect.</t>
  </si>
  <si>
    <t>| d6 | The Sphere says...                          |
|----|---------------------------------------------|
| 1  | "Let’s take a deep breath."                 |
| 2  | "I’m hearing a lot of anger right now."     |
| 3  | "Let’s find common ground... maybe brunch?" |
| 4  | "It’s not about winning."                   |
| 5  | "I’m on your side. All of your sides."      |
| 6  | *Plays gentle ukulele chords and sighs*     |</t>
  </si>
  <si>
    <t>10 + the creature’s Challenge Rating (rounded down)</t>
  </si>
  <si>
    <t>up to 1 minutes</t>
  </si>
  <si>
    <t>Material, Somatic</t>
  </si>
  <si>
    <t>A rusted key</t>
  </si>
  <si>
    <t>Overclock</t>
  </si>
  <si>
    <t>Paladin, Ranger, Sorceror</t>
  </si>
  <si>
    <t>The target’s mind and body accelerate beyond normal limits. They gain +10 feet movement speed, advantage on Dexterity (Acrobatics) and Intelligence (Investigation) checks, and can take the Dash action as a bonus action. When the spell ends, the target suffers 1 level of exhaustion.</t>
  </si>
  <si>
    <t>Midnight Admirer</t>
  </si>
  <si>
    <t>You conjure an illusory, impossibly attractive individual tailored to a creature’s preferences—a glowing vision of flirtatious perfection. The phantom makes eye contact, winks, poses, and speaks with a sultry or suave voice. Only the target can hear its words.
When the illusion appears, all creatures within 10 feet of it must make a Charisma saving throw. On a failed save, they are flustered until the start of their next turn, suffering disadvantage on Insight and Charisma (Persuasion or Deception) checks.
The phantom lingers for 1 minute, continuing to flirt—but vanishes immediately if the target accepts a date.
If the target refuses, ignores, or reacts negatively to the offer during the spell’s duration, they immediately gain 1 level of exhaustion as their heart and sleep are cursed with regret, longing, and dramatic dream interludes.
Restless Charm:
If the target accepts the date, the illusion disappears with a delighted gasp—but returns during their next long rest, whisking them away on a surreal magical outing.
- The long rest is interrupted.
- The target returns in the morning emotionally drained, gaining a level of exhaustion.
- Additionally, they suffer disadvantage on Wisdom saving throws until their next long rest, as reality feels disappointingly dull compared to their spectral suitor.
If the target refuses the date, the illusion returns every long rest until they accept, interrupting sleep and causing 1 level of exhaustion each time. The illusion is more dramatic every time it returns.
Upon the 6th refusal the illusion will sip the beauty and vitality from the target incuring in the death of the target.</t>
  </si>
  <si>
    <t>Some scholars argue the phantom is a low-grade romantic fey. Others think it’s just a magical thirst trap with abandonment issues.</t>
  </si>
  <si>
    <t>Phase Step</t>
  </si>
  <si>
    <t>Druid, Sorceror</t>
  </si>
  <si>
    <t>You momentarily shift into a liminal state, allowing you to step through solid objects no thicker than 5 feet. If you would end your movement inside an object, you are ejected to the nearest open space, taking 1d8 impact damage.</t>
  </si>
  <si>
    <t>Red Tape Barrier</t>
  </si>
  <si>
    <t>BETA, Bureaucratic</t>
  </si>
  <si>
    <t>Paladin</t>
  </si>
  <si>
    <t>A shimmering halo of translucent red tape and arcane filing forms around you, swirling with stamps, forms, and glowing sigils marked “PENDING.” The attacker must now navigate a magical bureaucracy in order to strike you effectively.
For the duration, any creature that targets you with an attack must choose one of the following delays:- File a Complaint: The creature takes no action on its next turn, submitting to the magical bureaucracy.- Wait in Line: The creature loses 10 feet of movement for that turn as it’s forced to shuffle through conjured arcane queues.- Ignore Protocol: If the attacker does neither, their attack roll is made at disadvantage.
This effect persists for the spell’s full duration or until you are incapacitated.</t>
  </si>
  <si>
    <t>The spell was originally created by the Department of Magical Compliance to protect mid-level clerks from workplace aggression. It remains surprisingly effective.</t>
  </si>
  <si>
    <t xml:space="preserve">Reaction </t>
  </si>
  <si>
    <t>when attacked</t>
  </si>
  <si>
    <t>Severed Circuit</t>
  </si>
  <si>
    <t>BETA, Debuff</t>
  </si>
  <si>
    <t>Wizard, Sorceror, Paladin</t>
  </si>
  <si>
    <t>You overload the neural pathways or electronic systems of a creature or machine. Choose one creature or construct within range. The target must make an Intelligence saving throw. On a failure, it takes 2d8 electric or cognitive damage (your choice) and is stunned until the end of its next turn.
On a success, it takes half damage and suffers no additional effects.</t>
  </si>
  <si>
    <t xml:space="preserve"> At Higher Levels. When you cast this spell using a spell slot of 2nd level or higher, the damage increases by 1d8 per slot level above 1st.</t>
  </si>
  <si>
    <t>Signal Interference</t>
  </si>
  <si>
    <t>BETA, Communication, Signal</t>
  </si>
  <si>
    <t>Paladin, Ranger, Cleric</t>
  </si>
  <si>
    <t>You generate a localized field of paranormal static that disrupts magical, electronic, and psychic signals within a 30-foot radius.
- Creatures in the area have disadvantage on concentration checks, and telepathic communication is scrambled.
- Technology in the area (including radios, cameras, and other surveillance devices) emits distortion, static, or visual glitches.
- The field is invisible, but anyone inside hears faint overlapping whispers, as though being tuned in and out of existence.</t>
  </si>
  <si>
    <t>20-foot-radius sphere</t>
  </si>
  <si>
    <t>a bent antenna or a broken watch</t>
  </si>
  <si>
    <t>Glossolalia Error</t>
  </si>
  <si>
    <t>BETA, Communication</t>
  </si>
  <si>
    <t>A burst of anomalous interference disrupts speech and incantations. The target must make a Constitution saving throw or be silenced until the end of their next turn. If they were casting a spell, they must make a Concentration check or the spell fails.</t>
  </si>
  <si>
    <t>when a creature within range speaks or casts a spell</t>
  </si>
  <si>
    <t>Sure Disease</t>
  </si>
  <si>
    <t>Druid, Sorceror, Wizard, Paladin</t>
  </si>
  <si>
    <t>You guarantee that your target contracts a non-lethal but incredibly annoying illness. The target must succeed on a Wisdom saving throw or become afflicted for the duration. While afflicted, the target suffers one randomly determined symptom.
Roll a d10 on the Inconvenient Affliction Table to determine the effect:</t>
  </si>
  <si>
    <t>| d10 | Inconvenient Affliction                              |
|-----|------------------------------------------------------|
| 1   | Uncontrollable sneezing. Disadvantage on Stealth checks. |
| 2   | Randomly itchy elbows. Disadvantage on ranged attacks.   |
| 3   | Cannot pronounce the letter "R." Verbal components sound ridiculous. |
| 4   | Burps loudly every time they speak. Disadvantage on Persuasion checks. |
| 5   | Excessive sweating. Must make a DC 10 Dex save to avoid dropping items. |
| 6   | One leg falls asleep. Movement speed is halved.            |
| 7   | Hearing high-pitched ringing. Disadvantage on Perception (hearing). |
| 8   | Sudden lactose intolerance. Food-based spells fail.       |
| 9   | One hand becomes clammy and wet. Disadvantage on sleight of hand. |
| 10  | Mild but persistent nausea. Disadvantage on Constitution saves. |</t>
  </si>
  <si>
    <t xml:space="preserve">
When cast using a spell slot of 2nd level or higher, you may roll twice and apply both afflictions (reroll duplicates).</t>
  </si>
  <si>
    <t>Initially developed as an office prank by a rogue botanist-wizard, this spell became a controlled anomaly after an outbreak of contagious spoonerisms in Sector D.</t>
  </si>
  <si>
    <t>3 days</t>
  </si>
  <si>
    <t>Offering of Self</t>
  </si>
  <si>
    <t>Wall of Farce</t>
  </si>
  <si>
    <t>Mispelled, BETA, Wall</t>
  </si>
  <si>
    <t>Cleric, Bard</t>
  </si>
  <si>
    <t>You conjure an illusory wall up to 5 feet wide, 10 feet tall, and 1 inch thick made entirely of bad visual gags and slapstick nonsense. Rubber chickens, cream pies, banana peels, and invisible panes of glass loop endlessly in magical animation. The wall occasionally emits groan-worthy puns, honking horns, or laugh tracks from nowhere.
The wall is not solid and can be walked through—but creatures who approach it often don’t realize it’s fake.
When a creature comes within 5 feet of the wall for the first time on a turn or starts its turn near it, it must succeed on a Wisdom saving throw or become incapacitated with uncontrollable laughter until the start of its next turn.
A creature that investigates the wall (as an action) may make another Wisdom saving throw. On a success, it sees through the illusion—the wall disappears for that creature only.
The spell ends early if you lose concentration or dismiss it.</t>
  </si>
  <si>
    <t>Originally created by court jesters-turned-clerics as divine protest theater. Still banned in several religious institutions due to a pie-related incident during communion.</t>
  </si>
  <si>
    <t>Whispering Wine</t>
  </si>
  <si>
    <t>Mispelled, Unhinged, Communication, BETA</t>
  </si>
  <si>
    <t>Bard, Cleric, Warlock</t>
  </si>
  <si>
    <t>You conjure a bottle of smooth, dark wine that whispers strange, cryptic advice to anyone who drinks from it. The murmurs are soft, slurred, and often incoherent—but they always sound meaningful… even when they aren’t.
Each time a creature takes a sip (a free object interaction), they must succeed on a Wisdom saving throw or accidentally reveal a personal secret aloud. The secret is chosen by the DM or the player, depending on tone.
The wine’s advice is usually:- Just slightly off-topic- Half-true at best- Or deeply unsettling with no context (“Beware the third fork…”)</t>
  </si>
  <si>
    <t>| d6 | The wine whispers...                        |
|----|---------------------------------------------|
| 1  | “Tell them about the socks.”                |
| 2  | “They already know. It’s too late.”         |
| 3  | “One of them isn’t who they say they are.”  |
| 4  | “Third moon. First hour. The bread arrives.”|
| 5  | “Confess. Confess. Confess.”                |
| 6  | *softly giggles for 6 seconds straight*     |</t>
  </si>
  <si>
    <t xml:space="preserve">
When cast using a 2nd-level slot or higher, you may conjure an additional bottle per level above 1st.</t>
  </si>
  <si>
    <t>Giocrin's Nostalgia</t>
  </si>
  <si>
    <t>Unhinged, Utility, BETA</t>
  </si>
  <si>
    <t>Sorceror, Wizard, Paladin, Warlock</t>
  </si>
  <si>
    <t>You conjure a strange arcane light tied to memory, place, and presence. When casting, choose one of the following:
- Beacon: A soft, haunting light forms at your feet or a space within reach, shedding bright light in a 20-foot radius and dim light for an additional 20 feet. The beacon remains stationary for 30 minutes, unaffected by wind or water.
- Flare: You launch a sudden pulse of colored light straight upward, visible for miles if outdoors. The flare lasts 1 round, providing bright light in a 60-foot radius around its apex before fading instantly.
The light can be any color you choose, and is eerie but not blinding—it does not impair vision or deal damage.</t>
  </si>
  <si>
    <t>Giocrin wandered into forgotten places with a lantern that burned brighter in regret than in darkness. When he vanished, only the flame remained—flickering in places he might have walked, but never did.
The last known caster, Darsil Veil, was found dead beside his burned-out focus. His eyes were empty. His notes described “the whispering ones” and warned: “Some light doesn’t show where we are—it shows what we’ve lost.”
Some believe this spell doesn’t just illuminate—it invites observation from elsewhere.</t>
  </si>
  <si>
    <t>When you cast this spell, roll a d20. On a 15 or higher, the light flickers in an unnatural rhythm. Roll a d6:- 5–6: The light reveals something that was never meant to be seen—a shadow with no source, a door where none should be, or a half-formed memory pressing through reality. This has no mechanical effect, but may provoke an encounter, whisper insight, or alter a future decision (at the DM’s discretion).</t>
  </si>
  <si>
    <t>30 minutes</t>
  </si>
  <si>
    <t>Luhtin's Curious Footing</t>
  </si>
  <si>
    <t>Unhinged, Buff, BETA</t>
  </si>
  <si>
    <t>Cleric, Wizard, Paladin, Warlock</t>
  </si>
  <si>
    <t>You imbue a creature you touch with a current of unstable, arcane energy. Until the spell ends, the target gains a hovering movement equal to its walking speed, allowing it to hover up to 3 feet above any solid or liquid surface.
This does not grant true flight and does not bypass obstacles like walls or ceilings. The creature can safely move across water, traps, pressure plates, caltrops, or other terrain hazards it hovers above.</t>
  </si>
  <si>
    <t>The spell’s origin is lost to time, though fragments of it are inscribed on unstable crystal tablets found beneath Gilded Hollow. The characters change when unobserved, defying translation.
The scholar Luhtin Varr, last seen researching this spell at Hollowwatch, vanished without trace. His workspace was left in perfect order—except for a blank book, placed deliberately open on his desk.
Some believe the spell itself acts as a conduit—not just for energy, but for attention from elsewhere.
Casters often report a faint hum in their bones after using it—one that doesn’t always stop when the spell ends.</t>
  </si>
  <si>
    <t>When you cast this spell, roll a d20. On a 15 or higher, reality ripples faintly, unnoticed by most. Arcane instruments may spike, or nearby liquids may rise slightly into the air for a moment before settling.
This has no mechanical effect but may attract the attention of a localized anomaly or trigger paranormal responses at the DM’s discretion.</t>
  </si>
  <si>
    <t>Rodent of Frost</t>
  </si>
  <si>
    <t>Mispelled, Unhinged, BETA</t>
  </si>
  <si>
    <t>You summon a single, spectral rat formed of condensed frost and arcane chill. It scurries off immediately, following an inexplicable instinct.- The rat automatically seeks the coldest location within a 200-foot radius, regardless of visibility or accessibility.- It can sense cold through barriers, insulation, or seals—even within a hermetically sealed container like a locked freezer.- As it moves, it leaves behind a trail of tiny frost-lined footprints, which last for 1 minute before sublimating.
The rat is entirely uninterested in combat and disappears instantly if initiative is rolled or hostilities begin nearby.</t>
  </si>
  <si>
    <t>It does not squeak. It does not stop. It does not care. It simply… finds the cold.</t>
  </si>
  <si>
    <t>Jealousy</t>
  </si>
  <si>
    <t>You release a subtle psychic disruption field that distorts emotional perception, planting the seed of envy and mistrust in the minds of nearby creatures.
Each creature in range must make a Wisdom saving throw. On a failure, they become emotionally agitated, regarding nearby allies as rivals or threats to their own status or possessions.
While affected:
- They will argue, undermine, or accuse one another verbally, ignoring external threats unless harmed.
- If provoked (e.g., accused, mocked, slighted), they must make a Charisma saving throw or escalate to physical conflict.
- If a conflict becomes violent, roll 1d100. On a roll equal to or lower than your Intelligence modifier × 10, one creature lashes out with lethal intent.
The spell ends early if an affected creature takes damage from an external source or if you end concen</t>
  </si>
  <si>
    <t>In social or investigative scenarios, this spell may cause suspicion, false confessions, or betrayal.</t>
  </si>
  <si>
    <t>6 feet</t>
  </si>
  <si>
    <t>Halo Brand</t>
  </si>
  <si>
    <t>Mark a target with a visible or invisible halo of sanctity or corruption (your choice). The target is affected based on the surrounding terrain:- On Sanctified Ground, they take an additional 1d4 chiaric damage from melee attacks.- On Desecrated Ground, they deal -1 damage with all attacks, and their spells have -1 spell attack.
If the terrain is not consecrated/corrupted, the effect does nothing—but casting Consecrate or Corrupt while this spell is active activates its effects immediately.</t>
  </si>
  <si>
    <t>Drain Cognition</t>
  </si>
  <si>
    <t>You extract fragments of knowledge from the target’s mind. They must make an Intelligence saving throw. On a failure, their spell save DC and Intelligence-based ability checks are reduced by 1d4 for the duration.</t>
  </si>
  <si>
    <t>a spent memory chip</t>
  </si>
  <si>
    <t>Sensor Jam</t>
  </si>
  <si>
    <t>Electronic, Control</t>
  </si>
  <si>
    <t>Ranger, Sorceror</t>
  </si>
  <si>
    <t xml:space="preserve">You overload a single electronic device, electronic entity or cybernetic implant with a focused burst of disruptive energy. Choose one target within range:  
- If it is a surveillance device (camera, sensor, drone), it becomes jammed or distorted, displaying static, looping false footage, or freezing in place for the duration.  
- Creatures relying on electronic optics or enhanced vision have disadvantage on Perception checks and ranged attacks.	
- Devices with hardened shielding or advanced encryption may require a successful Arcana check (DC 15) to affect.  
The spell ends early if the device is destroyed or the caster loses concentration.
</t>
  </si>
  <si>
    <t>Urban Camouflage</t>
  </si>
  <si>
    <t>You blur your form to match concrete, glass, and grime.
- Gain advantage on Dexterity (Stealth) checks in urban terrain.
- Surveillance cameras and motion sensors have disadvantage to detect you.
- You can move through crowds without being noticed unless you make loud noises or attack.</t>
  </si>
  <si>
    <t>Tether Hook</t>
  </si>
  <si>
    <t>You conjure an ethereal tether and anchor it to a visible ledge or wall.
- You may instantly pull yourself up to 20 feet toward the anchor as part of the casting.
- For the spell’s duration, you or an ally may use a bonus action to pull themselves to the same anchor.
- If the anchor is removed or broken, the tether snaps.</t>
  </si>
  <si>
    <t>30 feett</t>
  </si>
  <si>
    <t>a scrap of rope or wire</t>
  </si>
  <si>
    <t>Data Leecher</t>
  </si>
  <si>
    <t>You drain corrupted memory from a machine or creature. Choose one electronic device or creature:
- On a failed Intelligence save, the target loses access to one memory, password, or protocol (chosen by the GM), and you learn it instead.
- Creatures take 1d8 cognitive damage on failure.</t>
  </si>
  <si>
    <t>a paperclip bent into a question mark</t>
  </si>
  <si>
    <t>Industrial Haze</t>
  </si>
  <si>
    <t>Wizard, Warlock</t>
  </si>
  <si>
    <t xml:space="preserve">You summon choking fumes that blur vision.
- A 10-foot-radius sphere becomes heavily obscured.
- Creatures inside must succeed a Constitution save or have disadvantage on attacks and lose reactions for 1 round.
- The area smells faintly of burnt plastic and rust.
</t>
  </si>
  <si>
    <t>a gear dipped in ash</t>
  </si>
  <si>
    <t>Bonechant Bloom</t>
  </si>
  <si>
    <t>Ranger, Warlock</t>
  </si>
  <si>
    <t>You accelerate the growth of parasitic flora hidden in the bones of the land.
- Choose a point on the ground within 30 ft. A twisting vine-bloom erupts in a 10 ft radius.
- Enemies that enter or start their turn there must succeed a Strength save or be restrained until the end of their next turn.
- The vines writhe as if remembering something.</t>
  </si>
  <si>
    <t>a root knot in the shape of a skull</t>
  </si>
  <si>
    <t>Gut Instinct</t>
  </si>
  <si>
    <t>Ranger, Sorceror, Paladin</t>
  </si>
  <si>
    <t>You hyper-sensitize your reflexes to near-animalistic clarity. Until the start of your next turn:
- You gain +2 AC,
- Advantage on your next Dexterity save,
- You can move up to 10 feet as a reaction when targeted by an attack.</t>
  </si>
  <si>
    <t>Flickering Howl</t>
  </si>
  <si>
    <t>Ranger, Bard</t>
  </si>
  <si>
    <t>You mimic the warped cry of something not quite animal, shaking your enemies. All creatures in a 10 ft radius make a Wisdom saving throw.
- On a failure: they are Frightened until the end of their next turn.
- Hollows, Mechanicals, Digitals and Structures have disadvantage on the save.</t>
  </si>
  <si>
    <t>10 ft</t>
  </si>
  <si>
    <t>Lantern of the Pale Path</t>
  </si>
  <si>
    <t>You conjure a ghostly flame in your palm that only illuminates paths unseen.
- Reveals invisible trails, lost tracks, and concealed objects within 30 feet.
- Hidden doors, magically disguised footprints, and secret inscriptions glow faintly.
- The flame does not emit normal light and cannot be seen by others unless they are Under Surveillance.</t>
  </si>
  <si>
    <t>a burned wick</t>
  </si>
  <si>
    <t>Fingerbang</t>
  </si>
  <si>
    <t>Bard, Sorceror, Ranger, Warlock, Wizard</t>
  </si>
  <si>
    <t>You snap your hand into a confident finger gun and unleash a crackling projectile of arcane force shaped like a bullet. Choose one creature within range. Make a ranged spell attack against the target.
- On a hit, the target takes 2d6 ballistic damage.
- The projectile leaves behind a faint trail of cigarette smoke and the smell of ozone.
- If cast while wearing sunglasses or leaning on something cool, you may deal an additional +1 damage (DM discretion, style points encouraged).</t>
  </si>
  <si>
    <t>At Higher Levels.  
When you cast this spell using a spell slot of 2nd level or higher, the damage increases by 1d6 for each slot level above 1st.</t>
  </si>
  <si>
    <t>“Bang.”  
—Last words of Agent V before exiting the parking garage standoff.</t>
  </si>
  <si>
    <t>Electromagnetic Surge</t>
  </si>
  <si>
    <t>2nd-level</t>
  </si>
  <si>
    <t>A sudden burst of static energy surges through a target. The creature must make a Constitution saving throw or take 2d8 electric damage and lose all electronic communication for 1 minute. On a successful save, the target takes half damage and suffers no disruption.</t>
  </si>
  <si>
    <t xml:space="preserve"> At Higher Levels. When cast using a spell slot of 2nd level or higher, the damage increases by 1d8 per level.</t>
  </si>
  <si>
    <t>Fire Colt</t>
  </si>
  <si>
    <t>Paladin, Ranger, Druid</t>
  </si>
  <si>
    <t>You summon a tiny, fiery equine construct—a blazing colt no larger than a medium-sized dog. It snorts embers, kicks up sparks, and serves as both a mount and a living incendiary hazard.
The horse has the following traits:
AC: 14
HP: 20
Speed: 40 ft.
Resistance: Pyric
Size: Small
Ridable by Medium or smaller creatures
Abilities:
- Flaming Charge: As a bonus action, the colt can charge a creature within 30 feet. The target must succeed on a Dexterity saving throw or take 1d6 pyric damage and be pushed 5 feet.
- Explosive Dismissal: When the spell ends (whether voluntarily or involuntarily), the colt explodes in a 10-foot radius. Creatures in the area must make a Dexterity saving throw or take 2d6 pyric damage, or half on a success.
Unstable Nature:
At the start of each of your turns, roll a DC 10 Wisdom saving throw. On a failure, the colt becomes unstable and explodes immediately, ending the spell.</t>
  </si>
  <si>
    <t>The Fire Colt was the unintended side effect of a thaumaturgic containment breach in Lab 4B. Personnel exposed to its presence for over five minutes reported flickering memory gaps and the sensation that the colt had “always been there.” It trots in loops when bored.</t>
  </si>
  <si>
    <t>First Responder Algorithm</t>
  </si>
  <si>
    <t>Healing, Buff, BETA</t>
  </si>
  <si>
    <t>You monitor a creature's vitals in real-time. If they drop to 0 HP during the duration, they immediately stabilize. If they were already unconscious, they awaken at 1 HP at the start of their next turn.</t>
  </si>
  <si>
    <t>Algorithmic stabilizers were originally created for high-risk black site personnel. However, overuse led to cases of “looping awareness reflex”—a condition where revived individuals reported dying multiple times simultaneously.</t>
  </si>
  <si>
    <t>a biometric scanner or a health diagnostic device</t>
  </si>
  <si>
    <t>Vital Threshold</t>
  </si>
  <si>
    <t>Healing, Wall, Damage, BETA</t>
  </si>
  <si>
    <t>Cleric, Bard, Paladin</t>
  </si>
  <si>
    <t>You conjure a glowing arcane wall in a space you can see within range. The wall forms a shimmering force field up to 10 feet wide, 10 feet tall, and 1 foot thick. When you cast the spell, choose one creature type (such as Humanoid, Undead, Construct, Beast, etc.).
For the duration:- When a creature of the chosen type passes through the wall, it regains 1d6 hit points and gains temporary hit points equal to your spellcasting ability modifier.- When a creature of any other type passes through the wall, it takes 2d6 necrotic damage.
Each creature can only pass through the wall once per round.
After a creature passes through the wall (regardless of type), it becomes solid, preventing further passage by that creature or others for the rest of the round. At the start of your next turn, it becomes intangible again, ready for another passage.
The wall is automatically dispelled after a number of total passages (of any type) equal to your caster level.</t>
  </si>
  <si>
    <t>At Higher Levels.
When you cast this spell using a spell slot of 3rd level or higher, the wall is 10 feet wider for each slot level above 2nd</t>
  </si>
  <si>
    <t>The light hum of the wall pulses like a heartbeat. Passing through feels like walking through sunlight after rain — warm, clear, and briefly perfect.</t>
  </si>
  <si>
    <t>a floppy disk</t>
  </si>
  <si>
    <t>Algorithmic Cascade</t>
  </si>
  <si>
    <t>Debuff, Damage</t>
  </si>
  <si>
    <t>You send an unstable feedback loop into a target's mind or system, causing it to spiral into uncontrolled overload. The target must make a Wisdom saving throw. On a failure, they take 4d6 cognitive damage and must use their reaction to make an attack against a creature of your choice within reach.
- On a success, they take half damage and suffer no additional effects.</t>
  </si>
  <si>
    <t xml:space="preserve">
When you cast this spell using a spell slot of 3rd level or higher, the damage increases by 1d6 per slot level above 2nd.</t>
  </si>
  <si>
    <t>a broken circuit board</t>
  </si>
  <si>
    <t>A.S.T.R.A.L. does not freely issue Erasure Approvals. They are restricted to high-clearance operatives, corporate entities, or black-market brokers willing to forge the necessary documentation.</t>
  </si>
  <si>
    <t>Amphibious Downpour</t>
  </si>
  <si>
    <t>Druid, Bard</t>
  </si>
  <si>
    <t>You summon a localized, magical downpour of harmless frogs in a 10-foot radius area within range. The frogs immediately cover the ground, creating difficult terrain for the duration. They persistently croak in gentle harmony, producing mild distraction but no other direct harm.
When the spell ends, the frogs disperse naturally, leaving no lasting effect.</t>
  </si>
  <si>
    <t>Clarifications:- The frogs are non-hostile and cannot be used for damage.- The difficult terrain affects all creatures equally, allies and enemies alike.</t>
  </si>
  <si>
    <t>| Spell Slot Level      | Radius of Effect   |
|-----------------------|--------------------|
| 1st-level             | 10-foot radius     |
| 2nd-level             | 20-foot radius     |
| 3rd-level             | 30-foot radius     |
| 4th-level             | 40-foot radius     |
| 5th-level or higher   | 50-foot radius     |</t>
  </si>
  <si>
    <t>Automated Surveillance</t>
  </si>
  <si>
    <t>You summon an invisible, intangible drone that records everything within a 30-foot radius sphere for the duration.
- You may review the footage remotely at any time during the spell’s duration.
- If an anomaly or hidden entity is present, the surveillance feed experiences glitching distortions.
 If the spell is dispelled or the drone is discovered and disabled, all recorded data is lost.</t>
  </si>
  <si>
    <t xml:space="preserve">
When cast using a higher-level spell slot, the affected area expands:</t>
  </si>
  <si>
    <t>a broken security camera lens</t>
  </si>
  <si>
    <t>Oath of Blood, (Optional)</t>
  </si>
  <si>
    <t>Bonus: The drone becomes completely undetectable by magic.
Risk: The caster experiences phantom surveillance—for 24 hours, they feel as though they are being watched.</t>
  </si>
  <si>
    <t>Bullet Shield</t>
  </si>
  <si>
    <t>Defense, Firearm</t>
  </si>
  <si>
    <t>You create a brief field of kinetic energy around you. Until the start of your next turn, you gain resistance against damage from ranged weapon attacks. Additionally, any attacker hitting you with a ranged weapon during this duration takes 1d6 impact damage from kinetic feedback.</t>
  </si>
  <si>
    <t>1d6 per level above 2nd</t>
  </si>
  <si>
    <t>Data Recovery</t>
  </si>
  <si>
    <t>Restoration, BETA</t>
  </si>
  <si>
    <t xml:space="preserve">You restore memory loss, brain fog, or neurological corruption in a willing creature.
This spell removes the following conditions if they are the result of psychic overload, anomaly exposure, or cognitive corruption:
- Paranoid  
- Frightened  
- Stunned  
- Compelled  
- Aroused *(if caused by enchantment)*  
It does not remove magical Charmed effects or active enchantments. However, it halts the progression of long-term neurological decline, such as memory decay caused by exposure to forbidden glyphs, mnemonic rot, or containment leaks.
</t>
  </si>
  <si>
    <t>a data storage crystal or memory chip</t>
  </si>
  <si>
    <t>Chef's Keen Senses</t>
  </si>
  <si>
    <t>Ranger, Bard, Druid</t>
  </si>
  <si>
    <t>Your senses sharpen with uncanny focus as your tongue tingles and your stomach hums like a divining rod. For a brief moment, you are aware of all edible food items within 30 feet—whether fresh, packed, rotten, conjured, or stolen.
You instantly know the location, type, and state of freshness or edibility of every meal, ration, snack, feast, or bite within range—even if it is hidden, obscured, or magically disguised.</t>
  </si>
  <si>
    <t>At Higher Levels
When you cast this spell using a spell slot of 3rd level or higher, you also learn:- Whether any food is poisoned, cursed, or tampered with- Whether any food is enchanted, illusory, or anomalous- Whether a meal was prepared with love, bitterness, or obligation (at DM’s discretion)</t>
  </si>
  <si>
    <t>Early A.S.T.R.A.L. field manuals refer to this spell as Gastro-Thaumic Detection Protocol 4B. However, agents mostly call it The Lunch Sniff. Rumors persist of a rogue variant that once identified a sandwich as “sentient but indifferent.”</t>
  </si>
  <si>
    <t>Commoner's Glow-up</t>
  </si>
  <si>
    <t>You cast a luminous veil over a creature, causing their appearance to elevate dramatically in status and confidence. Their clothes become elegant or fashion-forward (appropriate to the culture), their grooming perfect, and their posture striking. Even their aura suggests wealth, success, or nobility.
For the duration:- The target is perceived as wealthier, more influential, or better connected than they actually are.- They gain advantage on Charisma (Persuasion, Performance, or Deception) checks made to impress, manipulate, or gain favor from upper-class individuals.- Creatures of lower social standing may act deferential or assume the target outranks them.</t>
  </si>
  <si>
    <t xml:space="preserve">
When cast with a spell slot of 3rd level or higher, you may affect up to three additional creatures within range. Each creature may choose a different glamor (e.g., fashion mogul, noble, executive, avant-garde performer).</t>
  </si>
  <si>
    <t>Originally misfiled as a peasant-upgrade joke, Disguise Glow-Up has since been used to bypass velvet ropes, crash board meetings, and seduce high-ranking officials into leaking sensitive documents.
One Concord fashion blogger noted: “It’s not fake. It’s curated.”</t>
  </si>
  <si>
    <t>500 feet</t>
  </si>
  <si>
    <t>Giocrin's Face of Rust</t>
  </si>
  <si>
    <t>Unhinged, Damage, BETA</t>
  </si>
  <si>
    <t>Cleric, Warlock, Druid</t>
  </si>
  <si>
    <t>You release a conical wave of decaying shadow that unravels matter and memory. Each creature in a 20-foot cone must make a Constitution saving throw. On a failed save, a creature takes 2d6 chiaric damage and cannot regain hit points until the start of your next turn. On a successful save, the creature takes half damage and suffers no additional effects.
When casting this spell, roll a d20. On a 15 or higher, reality trembles—a barely perceptible ripple distorts the air, leaving behind a faint trace of something watching. This has no mechanical effect, but those attuned to anomalies may notice.</t>
  </si>
  <si>
    <t>Giocrin’s Face of Rust is banned in Concord. The spell is infamous after a member of the Silent Maw cult used it to unmake a senator in broad daylight. Witnesses claimed the victim’s shadow screamed before vanishing, leaving only the echo of a face rusted into the stone beneath.
Casters of this spell often report strange dreams afterward—corridors without end, mirrored doors, and rusted locks clicking open in their sleep. Some claim the spell remembers everyone who has ever used it.</t>
  </si>
  <si>
    <t>When casting this spell, roll a d20. On a 15 or higher, reality trembles—a barely perceptible ripple distorts the air, leaving behind a faint trace of something watching. This has no mechanical effect, but those attuned to anomalies may notice.</t>
  </si>
  <si>
    <t>Cone/20 ft</t>
  </si>
  <si>
    <t>Dorkvision</t>
  </si>
  <si>
    <t>Ranger, Warlock, Sorceror</t>
  </si>
  <si>
    <t>You gain the uncanny ability to detect the presence of nerds, dweebs, and individuals of exceptional dweebosity within 60 feet—even through walls, floors, or ceilings. The spell provides no other visual enhancements: no darkvision, no object outlines—just a glowing nerd-silhouette pulsing with arcane awkwardness.
You do not learn the creature’s identity, species, alignment, or abilities—only that a certified dork is present.
When cast using a spell slot of 3rd level or higher, you also perceive the creature’s clothing—or lack thereof. However, the target becomes instantly and uncomfortably aware of being watched, regardless of distance, barriers, or logic.</t>
  </si>
  <si>
    <t>Important Notes:- This spell does not grant darkvision, blindsight, or any combat utility.- This spell is considered deeply unethical by most academies and banned in all Concord City libraries.</t>
  </si>
  <si>
    <t>| d4 | Target's Reaction (Optional DM Flavor)        |
|----|-----------------------------------------------|
| 1  | Looks around suspiciously and says "huh?"     |
| 2  | Pulls jacket tighter and backs away nervously |
| 3  | Makes prolonged eye contact with a camera     |
| 4  | Opens a book and whispers "I know you're there." |</t>
  </si>
  <si>
    <t>Egress Protocol</t>
  </si>
  <si>
    <t>Buff, BETA</t>
  </si>
  <si>
    <t>You press your hand to the target’s chest, and for a brief moment, you feel their heart stutter—then surge. Their pupils dilate unnaturally as arcane algorithms flood their nervous system, hijacking the primal circuits of fear and survival.
The creature’s body is overridden with reflexive escape routines. For the duration, they gain the following benefits:
- Their movement speed increases by 20 feet.
- They gain advantage on Dexterity (Stealth) and Strength (Athletics) checks.
- They automatically succeed on the first check made to escape a grapple, binding, or restraint.</t>
  </si>
  <si>
    <t>You won’t *think* about escaping—you’ll *already be gone.</t>
  </si>
  <si>
    <t>Eldritch Intoxication</t>
  </si>
  <si>
    <t>Sexual, Debuff, BETA</t>
  </si>
  <si>
    <t>You saturate the target’s nervous system with supernatural excess, overloading their body with pleasure, euphoria, and dreamlike sensations.
- They gain the Aroused condition.  
- They suffer disadvantage on Intelligence and Wisdom saving throws.  
- Their movement speed is halved as they drift and stagger in a dreamlike trance.  
- They begin to hallucinate, seeing fleeting images of former lovers, unfulfilled desires, or paranormal entities disguised as temptations (chosen by the GM).
If the target fails the saving throw by 10 or more, they lose all grip on reality—treating illusions as truth and mistaking allies for figments or phantoms. They become Paranoid and they cannot willingly target these hallucinated allies with hostile actions unless they are harmed first.</t>
  </si>
  <si>
    <t>- If a creature fails by 10 or more, they become unable to tell reality from illusion, mistaking allies for dreamlike apparitions.</t>
  </si>
  <si>
    <t>a drop of aged absinthe</t>
  </si>
  <si>
    <t>See Blood Seal rules for procurement.</t>
  </si>
  <si>
    <t>Executive Forgery</t>
  </si>
  <si>
    <t>Crafting</t>
  </si>
  <si>
    <t>You forge an official document, digital signature, or authorization key that appears legitimate to casual inspection. A creature inspecting it closely must make an Investigation check against your spell save DC to recognize it as fake.</t>
  </si>
  <si>
    <t>a scrap of real handwriting</t>
  </si>
  <si>
    <t>Ghost Broadcast</t>
  </si>
  <si>
    <t>Communication</t>
  </si>
  <si>
    <t>You project an illusionary transmission onto any available public or private communication channel, allowing you to send pre-recorded misinformation, propaganda, or encrypted signals.
- The message appears real to all who hear it, unless they succeed on an Intelligence (Investigation) check DC 15.
- Corporate networks attempt to trace the signal, but the source remains undetectable unless hacked.</t>
  </si>
  <si>
    <t>1 mile</t>
  </si>
  <si>
    <t>a cracked radio speaker</t>
  </si>
  <si>
    <t>Ghost Circuit</t>
  </si>
  <si>
    <t>Stealth, BETA</t>
  </si>
  <si>
    <t>Bard, Sorceror, Wizard</t>
  </si>
  <si>
    <t xml:space="preserve">
You slip between digital signals, cloaking your presence from the eyes of modern surveillance. While the spell is active, the target becomes invisible to all forms of electronic detection, including:
- Security cameras  
- Biometric scans  
- Motion sensors  
- Augmented optics  
- Automated surveillance drones  
Any digital recording device attempting to observe the target displays static, blank footage, looping segments, or null reads. Creatures relying on standard, unaided senses can still see and interact with the target as normal.
If the affected creature directly interacts with an electronic device (e.g., hacking a terminal or opening a scanned door), the system may register anomalies or error codes but not the user's identity.</t>
  </si>
  <si>
    <t>Salt Key</t>
  </si>
  <si>
    <t>Security, BETA</t>
  </si>
  <si>
    <t>You channel a fleeting pulse of arcane code into a digital system, spoofing credentials and bypassing access protocols. When you touch an electronic device—such as a keypad, terminal, biometric scanner, or smart lock—you override its access layer and temporarily gain full control.
- Simple security (home locks, office terminals, consumer-grade encryption) is bypassed automatically.
- High-security systems (e.g., bank vaults, government archives, corporate mainframes) require a successful Intelligence (Arcana) check against the system’s encryption level (see table).
- This spell does not affect physical locks without a digital component.
- If used on a connected network, the intrusion is notified to its host system within 1 minute, unless the caster succeeds on a DC 15 Intelligence check (if applicable).</t>
  </si>
  <si>
    <t>| System Type             | Example Targets                         | Arcana DC |
|-------------------------|------------------------------------------|-----------|
| Tier 1 – Consumer       | Apartment door panel, vending machine    | 10        |
| Tier 2 – Institutional  | School database, elevator override       | 13        |
| Tier 3 – Corporate      | High-rise security, logistics server     | 15        |
| Tier 4 – Government     | Police database, customs clearance gate  | 17        |
| Tier 5 – Military       | Vault, surveillance grid, blacksite AI   | 20        |</t>
  </si>
  <si>
    <t>When you cast this spell using a spell slot of 3rd level or higher, you gain advantage on the Arcana check for each slot level above 2nd.</t>
  </si>
  <si>
    <t>A pinch of salt</t>
  </si>
  <si>
    <t>Heat Void</t>
  </si>
  <si>
    <t>Crafting, BETA</t>
  </si>
  <si>
    <t>Paladin, Ranger</t>
  </si>
  <si>
    <t xml:space="preserve">You channel an ancient thermal anomaly into a modern workspace—be it a forge, workshop, or urban fabrication station. The air hums silently, and metal tools quiver unnaturally as the void-heat replaces all natural flame.
While active, the workspace becomes suffused with an invisible, willful heat that alters material behavior:
- Metals become pliable by hand, able to be reshaped or fused without tools—however, if the intended design contradicts some unknown property of the metal, it violently rejects reshaping (DM's discretion, may cause backlash).
- Electronics overheat without smoke or failure, entering a dormant "flicker" state where signals become erratic or unpredictable.
- Synthetic materials fuse or warp, producing hybrid composites with anomalous properties (e.g., rubber-steel, memory plastic with bone-like texture).
- Bone, ivory, or ceramic embedded in the field becomes magnetized to nearby metal, creating eerie pseudo-biotech components.
- Anything crafted or altered under the void-heat retains warmth for 72 hours and radiates a low hum in radio frequencies.
While under this effect:
- Smiths gain advantage on crafting checks involving metal, bone, or composite materials.
- Crafted items may gain anomalous traits at the GM’s discretion (e.g., whispering edges, resistance to mundane corrosion, mild telepathic signature).
</t>
  </si>
  <si>
    <t>Overuse may alter the workstation itself. Vents weep mercury, engines resist standard inputs, and tools develop unexpected curvatures. A successful DC 17 Arcana or Engineering check halts the corruption—for now.</t>
  </si>
  <si>
    <t>Touch (1 forge, anvil, or crafeeting station)</t>
  </si>
  <si>
    <t>a coal that has never burned</t>
  </si>
  <si>
    <t>Wallflower Perk</t>
  </si>
  <si>
    <t>Sorceror, Druid</t>
  </si>
  <si>
    <t>When a spell is cast nearby, you instinctively deflect attention by projecting a spectral version of yourself into a nearby corner. The illusory duplicate radiates an aura of intense social discomfort, misdirecting attention away from you.
For the duration, creatures within 30 feet must succeed on a Wisdom saving throw when they attempt to target you with an attack, spell, or ability. On a failure, they ignore you entirely, unable to focus on your presence unless you directly harm them or force a saving throw.
This is not invisibility—you remain visible, but socially unnoticeable in a way that feels wrong. Even allies may forget you’re present.</t>
  </si>
  <si>
    <t>A fragment of a partially erased A.S.T.R.A.L. log refers to this phenomenon as a “psycho-social misdirection glyph.” It notes one incident where an entire strike team entered a room, saw the caster, and left convinced it was unoccupied—twice.</t>
  </si>
  <si>
    <t>When you cast this spell, roll a d6 to determine a subtle anomaly that persists while the spell is active:
	1.	People ignore you, even if you scream.
	2.	Your voice echoes from the wrong direction.
	3.	Your reflection disappears in all mirrors.
	4.	Written text about you vanishes or becomes unreadable.
	5.	Animals refuse to come near you.
	6.	Anyone who sees you forgets details about your appearance within seconds.</t>
  </si>
  <si>
    <t>when a spell is cast nearby</t>
  </si>
  <si>
    <t>Bliss on the Lips</t>
  </si>
  <si>
    <t>A kiss imbued with phantasmal delirium seeps into the target’s mind, unraveling their thoughts into surreal hallucinations.
- The target becomes heavily intoxicated, seeing phantom lights and distorted visions.
- They suffer disadvantage on Intelligence, Wisdom, and Dexterity checks.
- If they fail a Wisdom save, they believe their deepest desires have become real, embracing illusions as if they were flesh.</t>
  </si>
  <si>
    <t>1 turn</t>
  </si>
  <si>
    <t>Drowsing Embrace</t>
  </si>
  <si>
    <t>BETA, Restoration</t>
  </si>
  <si>
    <t>This black-market neural suppressant induces an instantaneous sleep state in the target following a physical exchange (e.g., a kiss).
- The target remains unconscious unless physically harmed or awakened by external stimuli.
- Standard noise does not disrupt the sleep.
- The reverse version of this spell, "Biometric Reboot," instantly awakens a magically asleep individual.
 Used extensively in high-end escort services, medical sedation programs, and certain interrogation tactics.</t>
  </si>
  <si>
    <t>Eyes Behind the Kiss</t>
  </si>
  <si>
    <t>BETA, Sexual, Damage</t>
  </si>
  <si>
    <t>The caster places a lingering, whispering kiss upon the target, sapping their very essence.
- The target loses 2d4 Strength for 24 hours, their muscles wilting as if touched by decay.
- For 1d10 turns, the target is completely helpless, collapsing under an unseen weight, as if an entity watches from behind their eyes.
- If the target is already affected by a Necromancy spell, it takes extra 1d6 chiaric damage at the start of its next turn.
 Those struck by this curse claim to see their own reflection smile at them, long after the caster has left.</t>
  </si>
  <si>
    <t>Special</t>
  </si>
  <si>
    <t>Mirabel's Kiss of Dawnbreaking</t>
  </si>
  <si>
    <t>A brief biometric transfer stimulates the target’s central nervous system, instantly eliminating exhaustion, hangovers, and sleep deprivation.
- The target gains the benefits of a long rest (except for spell slot recovery).
- Their next Constitution saving throw gains advantage.
 Often employed by high-level executives and underground performance-enhancing specialists.</t>
  </si>
  <si>
    <t>Lockstep</t>
  </si>
  <si>
    <t>You align your movement signature with that of the last creature whose ID you possess. For the duration, security systems, biometric locks, and tracking software register you as that person.</t>
  </si>
  <si>
    <t>a stolen ID card</t>
  </si>
  <si>
    <t>Mandatory Compliance Policy</t>
  </si>
  <si>
    <t>Bard, Paladin</t>
  </si>
  <si>
    <t>You invoke a mandatory compliance policy, compelling a creature to act in accordance with an official directive.
- The target must make a Charisma saving throw. On a failure, they must follow a simple command (e.g., "deliver this package," "leave the premises," "cease operations").
- Unlike traditional enchantments, the target rationalizes their compliance within a corporate, legal, or procedural framework.
- If the command violates established company policy (or contradicts the target’s contract obligations), they automatically succeed on the saving throw.
- The spell fails entirely if there is no plausible procedural justification for the action.</t>
  </si>
  <si>
    <t>- If overused, an invisible compliance officer (an unknown corporate entity) may begin tracking the caster’s "compliance history," leading to unexpected legal ramifications.</t>
  </si>
  <si>
    <t>a printed contract, signed in ink</t>
  </si>
  <si>
    <t>Manifest Arsenal</t>
  </si>
  <si>
    <t>You conjure a floating, spectral weapon that resembles an industrial tool—an arc welder, a hydraulic press, or a razor-edged gear. The weapon hovers in a space you choose and makes melee spell attacks against a creature within 5 feet of it. The weapon deals impact or tearing damage (your choice) equal to 1d8 + your spellcasting modifier.</t>
  </si>
  <si>
    <t>Mnemonic Wipe</t>
  </si>
  <si>
    <t>Target one creature you can see within range. It must make a Wisdom saving throw or forget the last 10 minutes of its memory. The effect is permanent unless restored by greater restoration, a cognitive anomaly, or direct exposure to the same event again.</t>
  </si>
  <si>
    <t>Phantasmal Cooler</t>
  </si>
  <si>
    <t>You conjure an illusory, self-chilling cooler containing up to 3 beverages of your choosing, tailored to the caster’s subconscious preferences. The drinks feel real, taste perfect, and provide subtle magical effects—so long as you don’t try to drink them.
Whenever a creature attempts to drink from the cooler:- The beverage vanishes just before reaching their lips.- The creature must succeed on a Charisma saving throw or be momentarily phased out of sync with reality, vanishing into a harmless demi-plane of thirst for 1 minute (as if banished). They reappear in the same spot, mildly irritated.
As long as the cooler remains untouched:- Any creature within 10 feet gains resistance to heat exhaustion and advantage on Constitution checks to resist dehydration or sun exposure.- The area around the cooler remains pleasantly chilled, creating a 20-foot-radius comfort zone in hot climates.</t>
  </si>
  <si>
    <t>When cast with a spell slot of 3rd level or higher, the spell can conjure up to 6 drinks and lasts for 1 hour.</t>
  </si>
  <si>
    <t>The original blueprint for this spell was recovered from a smudged A.S.T.R.A.L. napkin. Its side effect was unintentional, but field operatives now use it as a passive trap or cooling charm. “Drink if you dare” is often scrawled on the lid.</t>
  </si>
  <si>
    <t>Material</t>
  </si>
  <si>
    <t>A plastic bowl</t>
  </si>
  <si>
    <t>Phantom Call</t>
  </si>
  <si>
    <t>You leave a lingering cognitive echo in an object. At any point during the duration, you may mentally transmit a single message (up to 25 words) that will be heard by anyone within 30 feet of the object as if it were ringing.</t>
  </si>
  <si>
    <t>a disconnected telephone receiver</t>
  </si>
  <si>
    <t>Pillow Talk</t>
  </si>
  <si>
    <t>Sexual, Control</t>
  </si>
  <si>
    <t>This spell reconstructs the ambient sensations, whispers, and tactile imprints of previous intimate engagements within a location.
While harmless, the effect warps local reality, causing phantom touches, faint breathing, and glimpses of past moments that linger in the space. This spell is illegally used in corporate surveillance and high-end brothel atmospherics.
- A creature charmed by you automatically fails the saving throw for this spell.</t>
  </si>
  <si>
    <t xml:space="preserve"> At higher levels, this spell reveals actual words spoken during the previous encounter (3rd-level slot).</t>
  </si>
  <si>
    <t>1 turn/level</t>
  </si>
  <si>
    <t>a silk sheet</t>
  </si>
  <si>
    <t>Toxic Stray</t>
  </si>
  <si>
    <t>You gesture toward a nearby stray creature—be it a cat, pigeon, squirrel, rat, or even a raccoon—and imbue it with trace amounts of venomous energy. For the duration, the creature becomes semi-magical and mildly dangerous in unpredictable ways.- Choose or roll for a nearby unclaimed beast CR 0 or lower within range.- That creature becomes your semi-loyal venomous companion for the spell’s duration.- The creature cannot speak, but it understands your intent and can take basic commands (such as “harass,” “follow,” or “bite”).
While venomous, it gains:- A bite or claw attack that deals 1d6 toxic damage in addition to normal damage.- Creatures damaged by it must succeed a Constitution saving throw or suffer disadvantage on their next attack roll or skill check (your choice).
If reduced to 0 HP or dismissed, it explodes in a puff of neon-green spores and glittery hair, imposing disadvantage on Perception checks in a 5-ft radius until the end of the turn.</t>
  </si>
  <si>
    <t>| d6 | Quirk While Poisoned                                                |
|----|---------------------------------------------------------------------|
| 1  | It glows faintly green and refuses to blink.                        |
| 2  | It purrs aggressively when attacking.                               |
| 3  | Its venom smells like bubblegum.                                    |
| 4  | It sings very faint lullabies only the caster can hear.            |
| 5  | It develops a temporary monocle.                                    |
| 6  | It explodes into confetti upon vanishing.                          |</t>
  </si>
  <si>
    <t>This spell is commonly used by street witches, dumpster mystics, and one particularly infamous pastry chef in Neon Mire.</t>
  </si>
  <si>
    <t>Precision Aim</t>
  </si>
  <si>
    <t>Firearm, Precision</t>
  </si>
  <si>
    <t>Your vision sharpens, highlighting enemy weak points. During the spell's duration, once per turn, your firearm attacks deal an additional 1d6 damage. Additionally, you ignore penalties from long-range firing and half-cover.</t>
  </si>
  <si>
    <t>Damage +1d6 per 2 levels above 2nd</t>
  </si>
  <si>
    <t>Sterile Veil</t>
  </si>
  <si>
    <t>Cleric, Druid, Paladin</t>
  </si>
  <si>
    <t>You conjure a shimmering veil of pale green energy across the target’s skin, filtering their body from infection both mundane and magical.- The target becomes immune to contracting, carrying, or transmitting any disease for the duration.- Any disease currently affecting them is rendered dormant—its symptoms subside and it cannot worsen, but it is not cured.- While affected, the target emits a subtle aroma of antiseptic and burnt sugar. Creatures with keen smell may sense this aura.
If this spell is cast repeatedly on the same creature without curing the underlying disease, roll a DC 12 Constitution saving throw for the target after the third use in a day. On a failure, they gain one level of exhaustion as their immune system becomes paradoxically hypersensitive and destabilized.</t>
  </si>
  <si>
    <t>Healers who overuse this veil often report phantom fevers or hallucinated symptoms, as if their bodies are grieving the absence of illness.</t>
  </si>
  <si>
    <t>a mold-covered silver coin</t>
  </si>
  <si>
    <t>Protocol Override</t>
  </si>
  <si>
    <t>You implant a directive into a construct or cybernetic entity. The target must make a Wisdom saving throw. On a failure, they are charmed by you and obey simple mental commands, such as “Protect me,” or “Shut down.” This does not work on fully sentient AIs.</t>
  </si>
  <si>
    <t>Duinir’s Ember Aegis</t>
  </si>
  <si>
    <t>Unhinged, Buff</t>
  </si>
  <si>
    <t>Cleric, Paladin, Warlock, Wizard</t>
  </si>
  <si>
    <t>You infuse a creature with a protective ember shield. The first time they take damage within the duration, flames lash out at the attacker, dealing 2d6 pyric damage. Additionally, the target has resistance to pyric damage for the duration.</t>
  </si>
  <si>
    <t>At 4th level, the retaliatory pyric damage increases to 3d6.</t>
  </si>
  <si>
    <t>The last known user of Duinir’s Ember Aegis, the warlock Darsil Veil, was found with his eyes hollowed out and his veins scorched black. His journal spoke of 'the whispering ones' who demanded a price for forbidden knowledge.
There are words that should not be spoken, thoughts that should not be held. Duinir’s Ember Aegis is one such secret—a spell that fractures reality just enough for something else to listen.</t>
  </si>
  <si>
    <t>When casting this spell, roll a d20. On a 15 or higher: Reality trembles slightly, causing a ripple that lingers unseen.</t>
  </si>
  <si>
    <t>A coal from a long-dead hearth</t>
  </si>
  <si>
    <t>Binding Clause</t>
  </si>
  <si>
    <t>BETA, Corporate, Control, Damage</t>
  </si>
  <si>
    <t>Wizard, Paladin</t>
  </si>
  <si>
    <t>With a sharp gesture, you conjure a surge of bureaucratic force—spectral office forms, glowing seals, and red ink ribbons erupt from thin air, attempting to engulf the target in official documentation and bind them in place.
- Choose one creature you can see within range. The target must succeed on a Dexterity saving throw or take 3d6 impact damage and become Administratively Restrained.
While Administratively Restrained:
- The target’s movement speed becomes 0.
- They cannot teleport, shapeshift, or plane shift.
- The target must spend their action each turn to complete a different form (Strength [Athletics] check vs your spell save DC). On a success, they tear free from the binding.</t>
  </si>
  <si>
    <t>At Higher Levels. When you cast this spell using a spell slot of 3rd level or higher, the initial damage increases by 1d6 per slot level above 2nd.</t>
  </si>
  <si>
    <t>Subjects report the sensation of being buried in paperwork—stamped by entities they cannot name. Many escape only after metaphorically signing something they don’t remember</t>
  </si>
  <si>
    <t>a signed document</t>
  </si>
  <si>
    <t>Regulated Fertility Control</t>
  </si>
  <si>
    <t>A state-issued biological override ensures total reproductive regulation, granting or preventing fertility based on anomalous genetic programming or corporate mandates.
- You must register the procedure within a recognized biological oversight agency or an equivalent A.S.T.R.A.L. fertility governance database.
- The recipient’s reproductive ability is altered per official documentation—either activated, suspended, or set on a predetermined cycle.
- A recipient may petition for reversal, requiring an administrative appeal and 48-hour processing delay.
- Attempts to circumvent the procedure (via dispel magic or natural means) trigger an automatic health verification scan, possibly flagging the recipient for investigation.</t>
  </si>
  <si>
    <t>In rare cases, biological data corruption results in spontaneous genetic mutations—some with unpredictable side effects.</t>
  </si>
  <si>
    <t>Permanent (until revoked)</t>
  </si>
  <si>
    <t>a biometric ID chip</t>
  </si>
  <si>
    <t>Vitality Sacrifice</t>
  </si>
  <si>
    <t>Remove Aromate</t>
  </si>
  <si>
    <t>Druid, Bard, Wizard</t>
  </si>
  <si>
    <t>You temporarily erase all aromatic substances within a 50-foot radius centered on yourself. Foods instantly become tasteless, perfumes and deodorants lose their fragrance, and creatures develop noticeably unpleasant body odors or breath as natural smells dominate.
Creatures within the affected area become distracted by the sudden lack or distortion of familiar aromas. Any creature attempting Wisdom (Perception) or Wisdom (Insight) checks relying on smell within the spell’s radius does so at disadvantage.
When the spell ends, aromas slowly return to normal over the next minute.
Roleplay Suggestions:- This spell could disrupt diplomatic meetings or social gatherings.- Restaurants or perfumers may ban this spell outright, viewing it as destructive or offensive.
At Higher Levels (Scaling):- When cast using a spell slot of 4th level or higher, the radius increases by 20 feet per spell level above 2nd.- At 5th level or higher, the spell can selectively erase stronger or more specific aromatics (such as poisons, toxins, or pheromones), possibly neutralizing their effects temporarily.</t>
  </si>
  <si>
    <t>A distorted A.S.T.R.A.L. directive warns about “the catastrophic consequences of categorical aromatic erasure.” The document abruptly glitches at the mention of “mint,” leaving you uncertain about the full implications of aroma removal.</t>
  </si>
  <si>
    <t>Radius/50 ft</t>
  </si>
  <si>
    <t>Residual Anomaly Energy</t>
  </si>
  <si>
    <t>Your form becomes unstable, shifting between dimensions. Until the spell ends, you gain advantage on Dexterity saving throws, and attacks against you have disadvantage unless they rely on True Sight or A.S.T.R.A.L. surveillance.</t>
  </si>
  <si>
    <t>Mentions Truesight</t>
  </si>
  <si>
    <t>Residual Imprint</t>
  </si>
  <si>
    <t>You touch a surface and pull residual emotions, whispered words, and sensory echoes from its past. These are not spirits, but impressions left by heightened emotions—love, fear, guilt, rage.
- As long as you concentrate, you experience faded flashes of what transpired in the location over the last 24 hours (or up to 10 years for a higher-level cast).
- You may see blurred faces, hear indistinct voices, or feel the emotions of the past occupants.
- If a violent crime was committed here, the spell may temporarily create an echo, repeating the event as a flickering hallucination that others can witness.</t>
  </si>
  <si>
    <t>If overused in one place, the imprints might notice you back, becoming aware that they are being observed.</t>
  </si>
  <si>
    <t>a glass shard from a broken window</t>
  </si>
  <si>
    <t>Sanguine Override</t>
  </si>
  <si>
    <t>You transmute corrupted or damaged blood within a creature. The target regains 2d8 + your spellcasting modifier HP and purges any diseases, toxins, or parasitic infections in their bloodstream.</t>
  </si>
  <si>
    <t>a vial of synthesized blood</t>
  </si>
  <si>
    <t>Sensation Latency Buffer</t>
  </si>
  <si>
    <t>ou momentarily desynchronize a creature’s nervous system, buffering their physical sensations and emotional feedback.
Choose one creature within range. For the duration:
- The target ignores the effects of being frightened, charmed, or in pain (such as nonlethal levels of exhaustion or ongoing damage that causes distraction) until the start of their next turn.
- All delayed effects (such as damage from heat metal, poison, or emotional conditions) are postponed until the end of the spell’s duration, then occur all at once.
- When the spell ends, the target must make a Constitution saving throw. On a failure, they are stunned until the end of their next turn, overwhelmed by the sudden backlog of sensation.</t>
  </si>
  <si>
    <t>At Higher Levels. When cast using a spell slot of 3rd level or higher, you may target one additional creature for each slot level above 2nd.</t>
  </si>
  <si>
    <t>1 rounds/level</t>
  </si>
  <si>
    <t>Shadowtalk</t>
  </si>
  <si>
    <t>Allows the caster to communicate with their own shadow. Gains advantage on persuasion and investigation check for the next hour. The shadow is sarcastic and unhelpful.
Additional Effects: Gains advantage on persuasion and investigation check for the next hour Gains advantage on persuasion and investigation check for the next hour</t>
  </si>
  <si>
    <t>Compulsed Sponsoring</t>
  </si>
  <si>
    <t>Mispelled, Influence, BETA</t>
  </si>
  <si>
    <t>You infuse a creature with an irresistible compulsion to endorse a random corporate product. The target must make a Charisma saving throw or immediately produce a branded item from their person and begin promoting it in an unnervingly enthusiastic tone. The item:- Is conjured from a pocket, bag, or sleeve, regardless of size or logic.- Bears a fictional or obscure corporate logo.- Is typically useless, outdated, or completely unrelated to the current situation (e.g., toaster, pager, mascara wand, premium glue stick, commemorative mug).
While holding the item, the creature is incapable of speaking or casting spells unless their words involve endorsing the product. This effect ends at the start of their next turn.
On a roll of 1 on a d20 when the item appears, the product is mildly cursed—e.g., causes static shocks, whispers corporate slogans at night, or leaks black ink that can’t be cleaned.</t>
  </si>
  <si>
    <t>Casting this spell at 3rd level or higher causes multiple creatures (up to your spellcasting modifier) within range to be affected simultaneously, each with a different product.</t>
  </si>
  <si>
    <t>One moment, he was preparing a fireball. The next, he was demonstrating the multi-speed settings of the BlendoMix 5000™</t>
  </si>
  <si>
    <t>Fauxshock</t>
  </si>
  <si>
    <t>You designate a point on the ground within range. Instantly, a 20-foot-radius circle of artificial, plasticky turf unfurls across the terrain, complete with unnatural green coloring, chemical smell, and the vague scent of childhood disappointment.- When the field appears, all creatures in the area must make a Dexterity saving throw or take 2d6 electric damage as an electrical charge surges through the plastic blades.- For the duration, the turf remains charged. The first time each creature enters or starts its turn on the turf, it must make another Dexterity saving throw or take 1d6 electric damage and suffer static shock-induced disadvantage on the next weapon attack roll or ability check it makes before the end of its next turn.- The grass is obviously unnatural and makes loud squeaking sounds when stepped on. It is difficult terrain for creatures wearing metal armor.
The turf remains permanently after the spell ends, though it loses its electrical charge.</t>
  </si>
  <si>
    <t>When you cast this spell using a spell slot of 3rd level or higher, the initial damage increases by 1d6 per slot level above 2nd, and the radius increases by 5 feet.</t>
  </si>
  <si>
    <t>A warning to future generations: do not attempt to mow it. The mower will catch fire.</t>
  </si>
  <si>
    <t>Silencer</t>
  </si>
  <si>
    <t>Stealth, Firearm, BETA</t>
  </si>
  <si>
    <t>Your firearm becomes supernaturally silent. Attacks made with this firearm produce no sound and cannot be traced by normal hearing or electronic sound detection. 
Additionally, enemies within 30 feet have disadvantage on Perception checks to pinpoint your exact position after you attack.</t>
  </si>
  <si>
    <t>Stack Overflow</t>
  </si>
  <si>
    <t>The target’s short-term memory floods with useless data. The affected creature must make an Intelligence saving throw. On a failure, they roll 1d6 and subtract it from all attack rolls, ability checks, and saving throws for the duration. The effect ends early if the target takes cognitive damage.</t>
  </si>
  <si>
    <t>a cracked CPU chip</t>
  </si>
  <si>
    <t>Summon Pest</t>
  </si>
  <si>
    <t>You summon the pest—an immortal, mildly sentient mosquito designated Pest-1 in A.S.T.R.A.L. records. There is only one such mosquito in existence, and this spell temporarily returns it from its dormant state. The mosquito appears within 5 feet of the most important person in the area (DM’s discretion) and begins an aggressive buzzing and biting campaign.
- If Summon Pest is cast again: Pest-1 is not duplicated. It simply relocates to the new target, abandoning the old one unless they are still within 30 feet of the new caster, in which case it harasses both.
- If no suitable target exists: Pest-1 vanishes into non-space until summoned again.
- If the target becomes untargetable (e.g., invisible, banished): Pest-1 immediately shifts to the next most “important” person in the room.
- If someone other than the original caster uses the spell: Pest-1 recognizes this and updates its priorities accordingly, often begrudgingly.
Mechanical Effect:
The affected creature is considered distracted for 1 minute:
- Disadvantage on concentration checks.
- Cannot benefit from the Invisible condition.
- Any attack rolls made against the creature have advantage if they rely on sound or movement (e.g., tremorsense or blindsight).</t>
  </si>
  <si>
    <t xml:space="preserve">
Casting this spell using a slot of 3rd level or higher causes Pest-1 to gain memory of the target. The next time it’s summoned, it will return to the previous target unless they are farther than 1 mile from the caster.</t>
  </si>
  <si>
    <t>Pest-1 is believed to predate Concord City. It has no known predator, no known prey, and no biological need to feed—yet it does. Repeated exposure to Pest-1 has caused breakdowns in test subject behavior, often leading to social ruin, combat mistakes, or existential despair.</t>
  </si>
  <si>
    <t>when someone draws a weapon</t>
  </si>
  <si>
    <t>A feather from a random bird</t>
  </si>
  <si>
    <t>Oath of Blood</t>
  </si>
  <si>
    <t>Tactical Enhancement Protocol</t>
  </si>
  <si>
    <t>You optimize a creature’s response time. The target’s speed doubles, they gain a +2 bonus to AC, have advantage on Dexterity saving throws, and gain an additional action on each turn (Attack, Dash, Disengage, Hide, or Use an Object). When the spell ends, the target is unable to move or take actions for one round due to neural lag.</t>
  </si>
  <si>
    <t>a data uplink or HUD visor</t>
  </si>
  <si>
    <t>Tight</t>
  </si>
  <si>
    <t>Mispelled, Debuff, Damage, BETA</t>
  </si>
  <si>
    <t>With a sharp pose and a surge of magic, you conjure a flawless fit. The target’s attire realigns into immaculate tailoring—custom, luxurious, and sharp as their mood.
- While affected, the target:
- Gains advantage on Charisma (Performance, Intimidation, or Persuasion) checks made to impress, seduce, or intimidate.
- Radiates undeniable confidence and poise.
- Exudes a faint supernatural polish—fabric shimmers, collars hold, and hems never fold.
When cast on an unwilling creature, they must succeed on a Constitution saving throw or:
- Their clothing constricts for a moment, imposing disadvantage on their next Strength or Dexterity-based check or save.
- They suffer 1d4 cognitive damage from the sudden discomfort and embarrassment.</t>
  </si>
  <si>
    <t xml:space="preserve">
If cast using a spell slot of 3rd level or higher, the outfit is also instantly cleaned, mended, and altered into any cut, color, or fashion style desired—from tactical opera-wear to battlefield haute couture.</t>
  </si>
  <si>
    <t>In Concord City, it’s often used in high-fashion duels and rogue theater circles.- Casting Tight before a date or duel is considered polite.</t>
  </si>
  <si>
    <t>Unscheduled Maintenance</t>
  </si>
  <si>
    <t>A targeted building, passageway, or technological system becomes temporarily shut down for "repairs", creating an official-looking lockdown.
- Doors will not open, cameras cease recording, and security systems display a “DOWN FOR MAINTENANCE” error.
- Employees or passersby will subconsciously believe the closure is valid unless they succeed on a DC 15 Intelligence check.</t>
  </si>
  <si>
    <t>- If cast too often, bureaucratic forces may send an actual maintenance crew, unknowingly reinforcing the spell.</t>
  </si>
  <si>
    <t>a neon "CLOSED" sign</t>
  </si>
  <si>
    <t>Verdant Irony</t>
  </si>
  <si>
    <t>You ironically invoke nature in the concrete-dominated Concord City, spontaneously causing lichen and moss to rapidly grow and spread in a 30-foot radius around you, covering surfaces and structures alike.
Choose one creature within range (including yourself). If the target is willing, it gains a friendly affinity with this newly grown environment: the lichen subtly helps them navigate and move effortlessly, granting them advantage on Dexterity checks within the area.
An unwilling creature must make a Wisdom saving throw or become cursed by the aggressive lichen growth, which actively attempts to hinder and trip them, imposing disadvantage on Dexterity checks and saving throws within the affected area.
The effect lasts for up to 1 hour or until dispelled.
Additionally, while within the area of the spell, affected creatures occasionally notice flickering glimpses of a serene, lush, and seemingly para-dimensional park hidden within reality. They never fully access this realm, experiencing only a tantalizing vision of what Concord City might have been.</t>
  </si>
  <si>
    <t>A heavily censored A.S.T.R.A.L. document refers cryptically to experiments involving “environmental stabilization anomalies,” mentioning a phenomenon that “defied categorization—neither boon nor curse—but rewrote fate itself.”</t>
  </si>
  <si>
    <t>30 ft. radius</t>
  </si>
  <si>
    <t>a small piece of lichen or moss</t>
  </si>
  <si>
    <t>Duinir's Respite of Flames</t>
  </si>
  <si>
    <t>Wizard, Cleric, Warlock</t>
  </si>
  <si>
    <t>A flicker of protective warmth, traced from forgotten runes and smoldering remnants of a scholar’s last memory, pulses outward from your hands. You call upon Duinir’s ward—a memory, a flame, a sanctuary encoded in contradiction.
Choose up to 3 creatures within range. Each target gains 2d4 temporary hit points and becomes immune to the charmed condition for the duration.
While under this spell’s effects, affected creatures emit a faint, heatless ember-glow from their chest when they are emotionally manipulated or magically influenced—visible only in dim light or darkness.</t>
  </si>
  <si>
    <t>Before the disaster at Hollowwatch, scribes documented the sudden, inexplicable disappearance of a scholar who had been researching Duinir's Respite of Flames. The books on his desk were found neatly stacked, except for one—a tome that had no title, and no pages inside.
Ancient tablets unearthed beneath the ruins of Gilded Hollow show early inscriptions of Duinir's Respite of Flames, yet none can determine the language it was written in. The characters shift when no one is looking.</t>
  </si>
  <si>
    <t>When casting this spell, roll a d20. On a 15 or higher:
Reality trembles slightly, causing a ripple that lingers unseen. The air smells faintly of burnt parchment and oranges.</t>
  </si>
  <si>
    <t>instantaneous</t>
  </si>
  <si>
    <t>dehydrated fruit</t>
  </si>
  <si>
    <t>Forgotten Banquet of Determination</t>
  </si>
  <si>
    <t>Unhinged, Utility</t>
  </si>
  <si>
    <t>Paladin, Warlock</t>
  </si>
  <si>
    <t>You conjure a long, spectral table adorned with silverware, flickering candles, and translucent dishes steaming with ghostly food. The banquet is silent. No scent wafts from the platters. The air is cold, and time feels strangely still.
Up to 12 creatures of your choice within range may partake. Each creature that consumes the food must succeed on a DC 13 Constitution saving throw as spectral flavors and ancestral memories fill their senses.- On a success: The meal steels their resolve. They gain +3 bonus to AC and become immune to the charmed condition for 24 hours.- On a failure: The feast is too much to endure. They gain 1 level of exhaustion, as ghostly voices whisper forgotten griefs into their ears.- Regardless of the outcome, the meal nourishes the creature completely, removing hunger for the next 24 hours.
Once the meal is consumed, the banquet slowly fades, and only a ring of salt and ash remains where the table stood.</t>
  </si>
  <si>
    <t>The phantom ship *Elder’s Lament* was last seen adrift in the Void Sea, its captain having invoked Forgotten Banquet of Determination in a desperate bid to escape the Hunt. The ship is still seen, sometimes, but never in the same place twice.
The very air around Forgotten Banquet of Determination seems to recoil, as if reality itself wishes to avoid acknowledging its existence. It is a spell that should not be, yet is.</t>
  </si>
  <si>
    <t>When casting this spell, roll a d20. On a 15 or higher:
One of the empty chairs pulls itself out, as if seating someone unseen. For the next 24 hours, the caster hears faint cutlery clinking behind them when alone.</t>
  </si>
  <si>
    <t>a saltbush twig</t>
  </si>
  <si>
    <t>Zenith of Crimson Greed</t>
  </si>
  <si>
    <t>You touch the ground and whisper a name you barely remember. From your footsteps outward, false tracks begin to form—hoofprints, boot treads, claw marks, or even monstrous trails not known to local fauna. The chosen prints spread outward within a 15-foot cube, weaving seamlessly between your real path and the illusions.
These false tracks do not erase your actual trail, but instead obscure, redirect, or convolute it—causing anyone attempting to track you to suffer disadvantage on Wisdom (Survival) checks to follow your true movements. A creature that examines the tracks closely can make an Intelligence (Investigation) check against your spell save DC to discern the deception.
You may choose up to 2 distinct track types, layering them for added confusion. The illusion remains even through moderate weather or foot traffic but fades exactly 36 hours after casting.</t>
  </si>
  <si>
    <t>Deep within the catacombs of Old Concord, the walls bear carvings of Zenith of Crimson Greed. The inscriptions shift when unobserved, as if the stone itself is trying to remember something it once forgot.
Some scholars believe that Zenith of Crimson Greed was not invented, but rather discovered—a piece of an equation written in the bones of the world itself.</t>
  </si>
  <si>
    <t>When casting this spell, roll a d20. On a 15 or higher:
A golden shimmer flickers across the ground for a heartbeat. Somewhere nearby, an echo of your steps continues walking without you.</t>
  </si>
  <si>
    <t>Cube/15 ft</t>
  </si>
  <si>
    <t>Echo of the Hallowed Ground</t>
  </si>
  <si>
    <t>While this spell is active, your aura reflects the memory of sanctified or desecrated ground. For the duration:- Your Aura of Sanctity applies even if the terrain is not currently Holy or Unholy.- You gain a faint glowing aura (or a flickering shadow) that reveals your allegiance.- If you cast Consecrate or Corrupt during the duration, the effect becomes instantaneous and cannot be interrupted by damage.
Note: This spell allows you to “prime” a battlefield without needing the terrain benefit immediately, making it more tactical.</t>
  </si>
  <si>
    <t>Up to 1 minutes</t>
  </si>
  <si>
    <t>30 ft Aura</t>
  </si>
  <si>
    <t>a pinch of consecrated ash</t>
  </si>
  <si>
    <t>Keeper’s Sanctuary</t>
  </si>
  <si>
    <t>You create a Holy or Unholy ward centered on you. Choose one:
- Holy: Enemies must make a Wisdom saving throw to enter. On failure, they are pushed 10 ft and cannot re-enter for 1 minute.
- Unholy: Enemies entering take 1d6 necrotic damage and suffer disadvantage on saves vs fear and charm.
This does not count as a full Consecrate/Corrupt zone, but can bridge battlefield positioning and control.</t>
  </si>
  <si>
    <t>10-feet radius</t>
  </si>
  <si>
    <t>Somatic, Verbal, Terrain</t>
  </si>
  <si>
    <t>a ring of salt</t>
  </si>
  <si>
    <t>Audit Strike</t>
  </si>
  <si>
    <t>3rd-level</t>
  </si>
  <si>
    <t>A flash of judgmental energy rips through the target, determining its existential worth. The target must make a Charisma saving throw. On a failure, they take 6d8 impact damage. If the target is an extraplanar entity or has been altered by an anomaly, they also suffer disadvantage on their next saving throw before the end of their next turn.
 On a success, they take half damage.</t>
  </si>
  <si>
    <t xml:space="preserve"> At Higher Levels. When you cast this spell using a spell slot of 4th level or higher, the damage increases by 1d8 per slot level above 3rd.</t>
  </si>
  <si>
    <t>a blank ledger page</t>
  </si>
  <si>
    <t>Use of this spell without proper documentation may result in corporate retaliation.</t>
  </si>
  <si>
    <t>Cease and Desist</t>
  </si>
  <si>
    <t>A.S.T.R.A.L., BETA</t>
  </si>
  <si>
    <t>Bard, Cleric, Ranger</t>
  </si>
  <si>
    <t xml:space="preserve">With a gesture of bureaucratic authority, you impose a legalistic anomaly upon a target, making it impossible for them to take action until the proper paperwork is processed—which, conveniently, never arrives.
- The target must make a Charisma saving throw. On a failure, they experience an overwhelming sense of procedural restriction, unable to move, attack, or take actions unless they can successfully "file an appeal" at the end of each of their turns (Wisdom saving throw).
- If they attempt to physically force through the effect, they must make a Strength saving throw against your spell save DC. On a failure, an invisible wall of legal precedent pushes them back 5 feet and the words "ACCESS DENIED" momentarily appear in the air.
 </t>
  </si>
  <si>
    <t xml:space="preserve"> At Higher Levels. When cast at 5th level or higher, this spell affects multiple targets (up to 3).</t>
  </si>
  <si>
    <t>a notarized corporate injunction, stamped with a priority enforcement seal</t>
  </si>
  <si>
    <t>Must be notarized by an A.S.T.R.A.L.-approved arbiter. Attempting to fake the document may result in legal consequences.</t>
  </si>
  <si>
    <t>Compelled Broadcast</t>
  </si>
  <si>
    <t>By invoking an obligatory disclosure clause, you compel a creature within range to publicly state an official message, as though it were a corporate press release or legally mandated testimony.
- The target must make a Charisma saving throw. On a failure, they must immediately speak a declarative statement chosen by the caster.
- The speech must be delivered in an official tone, and the target will rationalize why they are making the statement as though it were a compliance requirement.
- If the statement is factually untrue, the target may attempt a Wisdom saving throw at the end of each turn to shake off the compulsion.
- If the caster is wearing an official uniform, badge, or legal insignia, the target has disadvantage on their saving throw.</t>
  </si>
  <si>
    <t>- If overused, the spell may trigger an automated audit, requiring the caster to justify their actions to an unknown, bureaucratic force.</t>
  </si>
  <si>
    <t>a corporate badge, prominently displayed</t>
  </si>
  <si>
    <t>Corporate Armor Reinforcement</t>
  </si>
  <si>
    <t>You reinforce a creature’s defenses with a synthetic weave of anomaly-resistant plating. The target gains resistance to nonmagical impact, piercing, and tearing damage and a +1 bonus to AC.</t>
  </si>
  <si>
    <t>a nanofiber weave sample</t>
  </si>
  <si>
    <t>Corporate Wellness Package</t>
  </si>
  <si>
    <t>Cleric, Paladin</t>
  </si>
  <si>
    <t>Up to four creatures of your choice gain temporary hit points equal to 3d8 + your spellcasting modifier and a +1 bonus to Constitution saving throws. However, once the spell ends, each creature gains one level of exhaustion unless they spend an hour resting.</t>
  </si>
  <si>
    <t>a signed corporate liability waiver</t>
  </si>
  <si>
    <t>Crash Override</t>
  </si>
  <si>
    <t>You delete yourself from real-time monitoring systems. For the duration:
- Cameras, sensors, and divination magic cannot perceive you.
- If you are already being tracked, the last known location remains frozen as if you never moved.
- Any tracking spells fail unless the caster makes an Intelligence saving throw against your spell DC.</t>
  </si>
  <si>
    <t>when targeted by surveillance or tracking</t>
  </si>
  <si>
    <t>Crash Report</t>
  </si>
  <si>
    <t>The target must make an Intelligence saving throw. On a failure, their mind experiences a catastrophic logical error, freezing their ability to process information. They cannot take actions, bonus actions, or reactions, and automatically fail Intelligence-based checks and saves for the duration.
 At the end of each of its turns, the target may repeat the saving throw. On a success, they recover their mental faculties and the spell ends.</t>
  </si>
  <si>
    <t>Velvet Undress</t>
  </si>
  <si>
    <t>Influence, Sexual, BETA</t>
  </si>
  <si>
    <t>With a deliberate and hypnotic performance, you begin a sensual dance designed to captivate a single creature of your choice within range. As part of the performance, you must remove one article of clothing per round. Each round the dance continues:
- The target must make a Wisdom saving throw, suffering a 
– 1 penalty for each round you’ve maintained the dance.
- On a failed save, the target becomes Charmed and fully fixated on your every movement, unable to willingly look away or take hostile actions against you for the duration.
- If the target is already Charmed by you when this spell is cast, the duration extends by 1 additional minute.
The spell ends early if the caster is interrupted, breaks concentration, or voluntarily stops dancing.</t>
  </si>
  <si>
    <t>“Influence consultants” claim this spell’s real magic lies not in the removal of garments, but in the power of anticipation.</t>
  </si>
  <si>
    <t>Variable</t>
  </si>
  <si>
    <t>an article of clothing to be removed</t>
  </si>
  <si>
    <t>Data Corruption</t>
  </si>
  <si>
    <t>Wizard, Bard, Druid</t>
  </si>
  <si>
    <t>This spell scrambles, distorts, or falsifies data rather than erasing it, creating misleading, contradictory, or corrupted information.
- Digital records are glitched, filled with anomalies, false timestamps, and conflicting logs.
- Physical records appear heavily altered or rewritten, as if they’ve been tampered with.
- Magical records (divination-based archives, memory storage, etc.) become unreliable, causing vague or conflicting results when reviewed.
- Anyone analyzing the data must make an Intelligence (Investigation) check against your spell save DC to notice inconsistencies.
 The corruption is permanent unless manually repaired by a skilled technician, hacker, or archivist.</t>
  </si>
  <si>
    <t>a frayed Ethernet cable or a broken quill</t>
  </si>
  <si>
    <t>Overuse may trigger a corporate forensic audit, leading to investigations or countermeasures.</t>
  </si>
  <si>
    <t>Data Leak</t>
  </si>
  <si>
    <t>Wizard, Bard</t>
  </si>
  <si>
    <t>By touching a creature or object, you force its history, thoughts, or secrets to be broadcasted in fragmented whispers to anyone within 30 feet. The creature must make a Wisdom saving throw or be compelled to speak the truth for the duration.</t>
  </si>
  <si>
    <t>a corrupted USB drive</t>
  </si>
  <si>
    <t>Repeated use may attract corporate counter-infiltration specialists or trigger a data breach investigation.</t>
  </si>
  <si>
    <t>Delayed Nap</t>
  </si>
  <si>
    <t>Debuff, Control, BETA</t>
  </si>
  <si>
    <t>Druid, Wizard</t>
  </si>
  <si>
    <t>You designate a target and whisper a temporal lullaby encoded with latent enchantment. The spell does not take effect immediately—instead, you set a delay of 1, 2, or 3 rounds (your choice when casting). When the timer ends, the effect detonates.- The target must make a Wisdom saving throw or fall unconscious for the duration.- While unconscious, they can be awakened by taking damage or being shaken awake.- If the target is already asleep when the spell activates, they instead experience vivid hallucinations and speak in an unknown language. For the next hour, they have disadvantage on Insight checks and occasionally murmur anomalous phrases.- On a successful save, the target resists the effect and instead gains one level of fatigue for 1 hour, as their internal clock momentarily collapses.</t>
  </si>
  <si>
    <t>When cast using a spell slot of 4th level or higher, you may affect one additional creature per level beyond 3rd. All targets must be within 30 feet of one another.</t>
  </si>
  <si>
    <t>Survivors of the spell’s effects often complain of waking up in a body that feels slightly… borrowed.</t>
  </si>
  <si>
    <t>when an ally takes damage</t>
  </si>
  <si>
    <t>Discover Unseen Trace</t>
  </si>
  <si>
    <t>Tracking, BETA</t>
  </si>
  <si>
    <t>You attune your senses to latent traces left behind by recently departed creatures. For the duration, you can perceive invisible bio-trails, residual aura smudges, or paranormal displacement fields that linger behind living beings.- Within a 60-foot radius, you can detect the most recent trace left by any creature that passed through in the last hour.- The trace manifests as a faint shimmer, footprint, or scent only you can perceive.- On close inspection (action), you can learn one of the following:- Species or general creature type (humanoid, beast, aberration, etc.)- Time since presence- Anomalous conditions, such as illness, magical residue, or emotional trauma</t>
  </si>
  <si>
    <t xml:space="preserve">
When cast using a spell slot of 4th level or higher, you can:- Analyze up to 3 traces simultaneously, or- Gain additional information such as diet, injury patterns, or arcane corruption.</t>
  </si>
  <si>
    <t>A censored note in Zachary Rogers’ Black Site logs reads: “We used to follow footprints. Now we follow echoes. But the echoes are starting to echo back.”</t>
  </si>
  <si>
    <t>when an object is thrown at you</t>
  </si>
  <si>
    <t>Dimensional Slip</t>
  </si>
  <si>
    <t>Buff</t>
  </si>
  <si>
    <t>You shift between dimensions unpredictably. At the start of your turn, roll a d6:
- 1-2: Gain resistance to all damage
- 3-4: Teleport 30 feet in a random direction
- 5-6: Gain invisibility for 1 turn</t>
  </si>
  <si>
    <t>Dimensional Spillover</t>
  </si>
  <si>
    <t>Bard, Cleric, Wizard, Druid</t>
  </si>
  <si>
    <t>You create a temporary extradimensional shelter, but its interior is never the same. Each casting opens a distinct pocket realm with unpredictable architecture—an abandoned office, a forgotten train station, a maintenance shaft that shouldn’t exist. The space is secure, offering rest and protection, but anomalies sometimes manifest inside, leaving subtle signs that the shelter was briefly occupied by something else.</t>
  </si>
  <si>
    <t>8 hours</t>
  </si>
  <si>
    <t>Self (10-feet radius)</t>
  </si>
  <si>
    <t>a key from an unknown origin</t>
  </si>
  <si>
    <t>Distributed Regeneration</t>
  </si>
  <si>
    <t>Cleric, Druid</t>
  </si>
  <si>
    <t>Up to three creatures in range regain 1d8 HP at the start of each of their turns. If they are missing any limbs, this spell initiates slow regrowth over 1d4 days.</t>
  </si>
  <si>
    <t>30 feet (up to 3 creatures)</t>
  </si>
  <si>
    <t>a vial of cloned stem cells</t>
  </si>
  <si>
    <t>Encrypted Containment Protocol</t>
  </si>
  <si>
    <t>Wizard, Cleric, Ranger, Paladin</t>
  </si>
  <si>
    <t>You inscribe a high-security enchantment on an object, entrance, or containment zone, preventing unauthorized access. This spell combines Encrypted Lockdown and Containment Directive into a more flexible form.
- The locked area cannot be picked, hacked, or broken without first making a DC 18 Intelligence (Investigation) or Dexterity (Thieves' Tools) check.
- Magical attempts to bypass the lock (e.g., teleportation, phase shifting) require a DC 18 Charisma save.
- If the target is a creature (anomaly or prisoner), they must succeed on a Strength saving throw to force their way out.</t>
  </si>
  <si>
    <t>Until dispelled</t>
  </si>
  <si>
    <t>a security keycard or anomaly tag</t>
  </si>
  <si>
    <t>Encrypted Mind</t>
  </si>
  <si>
    <t>Your thoughts become fragmented and unreadable. You gain advantage on saving throws against mind-reading effects, telepathic intrusion, and charm effects. Any
 attempt to read your mind returns corrupted, incomprehensible data.</t>
  </si>
  <si>
    <t>Encrypted Missive</t>
  </si>
  <si>
    <t>You touch a piece of technology and mentally compose a message of up to 25 words. The message is instantly encoded and transmitted through digital infrastructure, reaching its intended recipient through an email, text, or unknown server. This spell ignores firewalls but cannot bypass total disconnection from a network. The recipient hears the message in their mind as if reading it, but it leaves no digital trace.</t>
  </si>
  <si>
    <t>a functioning electronic device</t>
  </si>
  <si>
    <t>Enthralling Kiss</t>
  </si>
  <si>
    <t>Remove</t>
  </si>
  <si>
    <t>You place an enchanting kiss upon a humanoid creature you touch, compelling it to regard you as an authoritative presence worthy of obedience. The target must make a Wisdom saving throw at disadvantage. On a failed save, the target becomes charmed, treating you as a trusted authority figure, willing to comply with most non-hostile requests and instructions.
While charmed, the target experiences a strong compulsion to remain within 10 feet of you. At the end of each of its turns, the target may repeat the Wisdom saving throw (without disadvantage); success allows it to move freely until the start of its next turn.
The charm persists indefinitely until it is dispelled, you become hostile toward the target, or the target takes damage.</t>
  </si>
  <si>
    <t xml:space="preserve">
When you cast this spell using a spell slot of 2nd level or higher, you may affect one additional humanoid for each slot level above 1st. Each target must be kissed separately within the same action.</t>
  </si>
  <si>
    <t>Common in corporate negotiation tactics and underground consent override procedures.</t>
  </si>
  <si>
    <t>Until dispelled or broken</t>
  </si>
  <si>
    <t>S a kiss</t>
  </si>
  <si>
    <t>Famine Birth</t>
  </si>
  <si>
    <t>You press your fingers against the target’s abdomen and whisper an incantation that only hunger understands. The body responds, but not in the way it should. Something takes root within the target’s form, but it is not life—it is absence made flesh.
- The target must make a Constitution saving throw. On a failure:
- They become host to an Unborn Hunger, a parasitic void that feeds upon them instead of growing.
- Each long rest, they lose 1d4 maximum hit points, their flesh pulling taut over their bones.
- Their appetite vanishes—no matter what they eat, their body refuses to digest it.
- They can feel it moving inside them, shifting with breath, curling beneath the ribs.
- If reduced to 0 HP while afflicted, they do not die. Instead, their body becomes an empty husk, and something else uses their form.
 Ending the Spell:
- If the host wishes to remove it, they must cut it out manually, taking 4d6 tearing damage and making a DC 15 Constitution check to remain conscious.
- A failed removal attempt may cause the entity to take full control, wearing the host like a suit of skin.</t>
  </si>
  <si>
    <t>- If multiple creatures are afflicted at once, they begin to crave each other, drawn together by an instinct to consume the unborn within one another.</t>
  </si>
  <si>
    <t>Until the anomaly resolves itself</t>
  </si>
  <si>
    <t>a shard of cracked bone, buried in the target’s flesh</t>
  </si>
  <si>
    <t>Flashbang</t>
  </si>
  <si>
    <t>Control, Firearm, BETA</t>
  </si>
  <si>
    <t>You toss an arcane flashbang at a point within range, briefly stunning foes. Creatures in a 15-foot radius must make a Constitution saving throw or be blinded and deafened until the end of your next turn.</t>
  </si>
  <si>
    <t>Ghost ID</t>
  </si>
  <si>
    <t>You overlay a false bureaucratic identity onto a creature, making them appear as a registered employee, citizen, or authorized visitor.
- Corporate databases, biometric scanners, and ID checks recognize the target as legitimate.
- The illusion does not hold up under direct questioning—NPCs may notice inconsistencies if the target acts suspiciously.</t>
  </si>
  <si>
    <t>a stolen employee badge</t>
  </si>
  <si>
    <t>Ghost Signal</t>
  </si>
  <si>
    <t>You become a phantom in the system. Your body glitches between states, causing the following effects:
- You can move through crowds undetected unless someone is actively looking for you.
- You can phase through glass, chain-link fences, or doors that are not reinforced.
- You are immune to pressure-sensitive floors, security scans, and motion detectors.</t>
  </si>
  <si>
    <t>Gluttonous Maw</t>
  </si>
  <si>
    <t>Unhinged, Damage</t>
  </si>
  <si>
    <t>You tear a wound in reality, and from the rip emerges a swirling vortex of translucent gums and spectral teeth, chattering hungrily in the void. The maw floats inches above the ground, grinding with maddening rhythm as it devours sound, light, and matter.
When the spell is cast, and again at the start of each of your turns, all creatures of your choice in the area must make a Dexterity saving throw.- On a failure, they take 4d8 impact damage and are pulled 5 feet toward the center of the maw.- On a success, they take half damage and are not pulled.
Creatures reduced to 0 HP by this spell do not fall unconscious—they vanish with a wet snap, erased from reality until the spell ends. When it does, they reappear prone and unconscious in the center of the area unless they were stabilized or healed elsewhere.
The maw is difficult terrain, and non-magical ranged attacks that pass through it automatically miss due to the warping of space and air pressure.</t>
  </si>
  <si>
    <t>At Higher Levels.- 5th level or higher: The area increases to a 15-foot radius, and damage increases by 1d8 per level beyond 3rd.</t>
  </si>
  <si>
    <t xml:space="preserve">
A beggar on the streets of Concord claims to have been a king before uttering the words of Gluttonous Maw. When asked for details, his mouth moves, but no sound emerges.
Some claim that Gluttonous Maw does not work the same way twice. The more one casts it, the more it adapts—learning, watching, waiting.</t>
  </si>
  <si>
    <t>10-foot radius</t>
  </si>
  <si>
    <t>A blackened tooth</t>
  </si>
  <si>
    <t>Hydrodynamic Lubrication Dispersal</t>
  </si>
  <si>
    <t>This spell coats an organic surface with a self-replenishing, non-Newtonian lubricant, ensuring optimal fluid dynamics and friction reduction. The resulting material is sterile, hypoallergenic, and non-toxic, adhering to ASTRAL safety regulations.
- If cast on a surface, creatures must make a Dexterity saving throw or slip.
- If cast on a willing participant, it ensures seamless motion enhancement for the duration.
- A creature affected by an Enchantment spell must make their Dexterity save with disadvantage when stepping on the affected area.
 Used in luxury companionship services and enhanced biomechanical performance programs.</t>
  </si>
  <si>
    <t>10 minutes/level</t>
  </si>
  <si>
    <t>1 feet</t>
  </si>
  <si>
    <t>a drop of synthetic polymer</t>
  </si>
  <si>
    <t>Immutable Clause</t>
  </si>
  <si>
    <t>Bard, Wizard, Cleric</t>
  </si>
  <si>
    <t>With a whispered invocation, you impose absolute certainty upon an event, ensuring it cannot be undone, altered, or reversed by normal means.
- When cast, you declare one simple factual state affecting an object, person, or event. This fact becomes legally binding in the fabric of reality.
- Examples include:
- "This door was never locked."
- "She was always employed here."
- "This bullet did not hit me."
- The effect cannot be dispelled, countered, or challenged by ordinary magic.
- A court-level anomaly nullification hearing (or a 5th-level dispel magic cast in a place of corporate power) is required to break the clause.</t>
  </si>
  <si>
    <t xml:space="preserve"> Anomaly Effect:
- If abused, the spell might accidentally add extra clauses, creating unintended loopholes.</t>
  </si>
  <si>
    <t>Permanent (until nullified)</t>
  </si>
  <si>
    <t>a quill dipped in paradox ink</t>
  </si>
  <si>
    <t>Hemograft Steel</t>
  </si>
  <si>
    <t>You perform a violent arcane gesture and speak a phrase in reversed syntax, launching a weapon directly into a creature’s body as if administering a twisted injection. The weapon disintegrates mid-flight and rematerializes inside the target.- Make a ranged spell attack. On a hit, the target takes 6d6 tearing damage and the weapon is embedded into their body.- Lingering Pain: As long as the weapon remains inside them, the target takes 1d4 tearing damage each time they take an action, bonus action, or move more than 5 feet.- Removing the Weapon: A creature may attempt to remove the weapon as an action. This requires a Strength (Athletics) check against your spell save DC. On a success, the weapon is wrenched free, dealing 3d6 bleeding damage, and the target must immediately succeed on a DC 13 Medicine check or begin bleeding uncontrollably—taking 1d4 damage at the start of each of their turns until stabilized.- The weapon vanishes into ash if the spell is dispelled, the target becomes unconscious, or the spell ends by other magical means.- The original weapon used as the material component is destroyed as part of the casting.</t>
  </si>
  <si>
    <t>a non-magical weapon with a blade or point, which is destroyed upon casting</t>
  </si>
  <si>
    <t>Mirabel's Breath of Dusk</t>
  </si>
  <si>
    <t>You press your lips against the sleeping target, whispering a glamour that blurs the truth and smooths away inconvenient memories.- The target forgets up to 10 minutes per caster level from the past 24 hours. You choose which moments are erased.- The spell only works on unconscious or willingly sleeping creatures.- If this spell is cast on the same target more than once within a week, their memory begins to unravel:- They suffer disadvantage on Intelligence checks for 24 hours,- And 1 level of exhaustion if they fail a DC 15 Wisdom saving throw.</t>
  </si>
  <si>
    <t>Those who cross Mirabel rarely remember why they fear her. Only that something precious was stolen while they slept.</t>
  </si>
  <si>
    <t>First Act Entrée</t>
  </si>
  <si>
    <t>Bard, Druid</t>
  </si>
  <si>
    <t>Your eyes blaze with unrelenting presence, demanding the spotlight from all who meet your gaze. You become the center of the narrative—whether admired, feared, or hated.
Choose any number of creatures within range who can see you. Each must make a Charisma saving throw.- On a failure, the creature becomes overwhelmed by your presence:- It has disadvantage on attack rolls against anyone but you.- It must succeed on a Wisdom saving throw at the start of each of its turns or use its action to dramatically comment on you aloud—either praising, mocking, or expressing obsession.- It cannot benefit from being invisible or unseen while affected.- On a success, the creature resists the effect but still feels mildly unnerved, suffering disadvantage on Charisma (Deception) checks against you for the duration.</t>
  </si>
  <si>
    <t>At Higher Levels.
When cast using a spell slot of 4th level or higher, the spell affects creatures who cannot see you, as long as they are within range and have heard your name or seen your likeness in the past 24 hours.</t>
  </si>
  <si>
    <t>Locate Keys</t>
  </si>
  <si>
    <t>The caster instantly knows the exact location of their misplaced keys. Keep it as is. Unfortunately, this spell cannot retrieve them—it merely confirms they are somewhere deeply inconvenient.</t>
  </si>
  <si>
    <t>a key ring</t>
  </si>
  <si>
    <t>Maw of the Forgotten</t>
  </si>
  <si>
    <t>BETA, Horror</t>
  </si>
  <si>
    <t>Warlock, Cleric</t>
  </si>
  <si>
    <t>A grinning slit opens across your stomach, chest, or throat—an extra mouth that was never meant to be there. The Maw of the Forgotten does not hunger for food, but for concepts, names, and existence itself.
- As a bonus action, you may attempt to devour an aspect of reality from a creature you can see within 10 feet. The target must make a Charisma saving throw. On a failure:
- They forget their own name for 24 hours.
- Any titles, contracts, or legal records referring to them become unreadable, as though they were never written.
- They suffer disadvantage on all identity-based interactions, including deception and persuasion.
- Each time the Maw feeds, it grows larger, whispering secrets only you can hear.
 Ending the Spell:
- If the caster does not feed it at least once per minute, the Maw becomes hungry, forcing the caster to make an Intelligence saving throw or forget their own past.
- Once the spell ends, the mouth does not fully disappear—it remains as scar tissue, aching whenever something forgotten lingers nearby.</t>
  </si>
  <si>
    <t>- If cast on the same target twice, they may cease to exist entirely, their body remaining but their presence erased.</t>
  </si>
  <si>
    <t>a swallowed tooth, not your own</t>
  </si>
  <si>
    <t>Neural Reboot</t>
  </si>
  <si>
    <t>You send a surge of stabilizing energy through a target’s nervous system, clearing mental interference and neurological suppression.
- Removes the effects of Charm, Fear, and mind-altering magic (such as Compliance Protocol, Memory Fragmentation, or Neural Suppression).
- If the target is suffering from a corporate-induced cognitive debuff, it is instantly removed.
- If the target is unconscious due to neural overload, they immediately regain consciousness.</t>
  </si>
  <si>
    <t>- At 5th level, the target gains advantage on Intelligence, Wisdom, and Charisma saving throws for 1 hour.</t>
  </si>
  <si>
    <t>a pulse-triggered electrode</t>
  </si>
  <si>
    <t>Paranormal Trace Obfuscation</t>
  </si>
  <si>
    <t>BETA, Stealth</t>
  </si>
  <si>
    <t>Ranger, Druid</t>
  </si>
  <si>
    <t>You create an illusory masking layer that scrambles all attempts to detect or track a person or object through digital or magical means.
- Spells like Biometric Scan, or Digital Footprint Analysis fail to detect the affected target.
- Any attempt to track the target via facial recognition, digital records, or magical scrying produces false results.
- If someone is already tracking the target when the spell is cast, they must make a Wisdom saving throw or lose the trail entirely.</t>
  </si>
  <si>
    <t>- At 5th level, the obfuscation lasts 8 hours.
- At 7th level, the effect extends to an entire group (up to 6 creatures).</t>
  </si>
  <si>
    <t>a broken microchip</t>
  </si>
  <si>
    <t>Mellow Flow</t>
  </si>
  <si>
    <t>Mispelled, Utility, Rework, BETA</t>
  </si>
  <si>
    <t>With a confident declaration of “I know a guy,” you tap into the power of connections and influence. For the next few moments, you can easily slip past social barriers, gaining a temporary edge in negotiations, or simply causing others to lower their guard. A subtle aura of calming energy surrounds the caster, creating an almost magical atmosphere of ease.- Effect:- The caster can bypass most social obstacles with ease, whether it’s convincing someone to lend you a hand, smoothing over a tense situation, or gaining access to a restricted area. The target must make a Charisma saving throw. On a failed save, the target’s defenses are momentarily lowered, leaving them more susceptible to your influence.</t>
  </si>
  <si>
    <t>| Roll | Side Effect Description                                                                                     |
|------|-------------------------------------------------------------------------------------------------------------|
| 1    | Nearby creatures become unusually philosophical, pondering the mysteries of the universe.                   |
| 2    | The caster’s presence hums softly, almost like a soothing melody.                                           |
| 3    | A small cloud of smoke appears, lingering for a moment before dissipating.                                  |
| 4    | Strange moths appear, fluttering around the caster or target.                                               |
| 5    | Time seems to slow in the immediate vicinity, making everything feel more relaxed.                           |
| 6    | A ghostly voice whispers, “Chill,” calming the target even further.                                           |</t>
  </si>
  <si>
    <t>- 5th Level: The duration of the influence extends to 1 minute, allowing for prolonged conversations or more complex social maneuvers.- 11th Level: You can target up to 3 creatures within range, with the same effects applying to all.</t>
  </si>
  <si>
    <t>Phantom Paper Trail</t>
  </si>
  <si>
    <t>You do not just alter a document—you bend reality itself to accept the forgery as true for a short period of time.
- When you modify a ledger, contract, employee record, or legal file, the spell imprints its existence into the fabric of the world, making it temporarily irrefutable.
- For the next 10 minutes, any creature reading or interacting with the altered document will believe it is correct, unless they succeed on a DC 18 Intelligence (Investigation) check.
- Even memories are briefly affected—a guard whose records have been modified will recall seeing you enter.
- After 10 minutes, the false record vanishes, and reality attempts to correct itself, leaving behind only confusion and a lingering sense that something wasn’t quite right.</t>
  </si>
  <si>
    <t>a forged signature</t>
  </si>
  <si>
    <t>Plasma Breach</t>
  </si>
  <si>
    <t>BETA, Damage</t>
  </si>
  <si>
    <t>Wizard, Sorceror, Druid</t>
  </si>
  <si>
    <t>A sudden rupture in local thermodynamic stability unleashes a violent burst of plasma in a 10-foot radius. Creatures within the affected area must make a Dexterity saving throw. On a failed save, creatures take 6d6 pyric damage, or half as much on a successful save.
Objects and structures within the area are automatically damaged unless they have specific resistance or immunity to heat. The explosion leaves behind a brief wave of heat that lingers in the area, scorching the surroundings.</t>
  </si>
  <si>
    <t>a conductive coil</t>
  </si>
  <si>
    <t>Power Surge</t>
  </si>
  <si>
    <t>Damage, Healing, BETA</t>
  </si>
  <si>
    <t>Cleric, Ranger, Druid</t>
  </si>
  <si>
    <t>The target’s body crackles with latent electrical energy, empowering their strikes. For the duration of the spell, the target deals 1d8 additional electric damage with weapon attacks and unarmed strikes.
Furthermore, if the target takes electric damage while this spell is active, they absorb the energy, regaining hit points equal to half the damage taken.</t>
  </si>
  <si>
    <t>a broken fuse</t>
  </si>
  <si>
    <t>Sobriety of the Veil</t>
  </si>
  <si>
    <t>Sexual, Buff, BETA</t>
  </si>
  <si>
    <t>A veil of otherworldly clarity shrouds the target, severing their mind from chemical, magical, or emotional distortion.- The target becomes immune to alcohol, narcotics, pleasure-enhancing magic, and any enchantments that manipulate perception or judgment.- They remain unnaturally composed, able to see through illusions, resist temptation, and stay grounded even in the grip of hallucination or desire.- The target cannot be charmed, intoxicated, or seduced for the duration.</t>
  </si>
  <si>
    <t>A priest of A.S.T.R.A.L. once described the sensation as “staring into the abyss while the abyss begs you to blink.”</t>
  </si>
  <si>
    <t>1 hours/level</t>
  </si>
  <si>
    <t>Redacted Trauma</t>
  </si>
  <si>
    <t>You remove one Cognitive condition from a willing creature, allowing them to forget the most painful elements tied to their trauma. This could include the following conditions:
Paranoid, Aroused, Frightened, Stunned, Compelled, Charmed
The creature retains functional memories but is relieved of the emotional and psychological burden associated with the specific condition. For example, if a creature is Frightened by an event, they may feel no further fear from that specific trauma, but their memory of the event will remain intact.
This spell is effective at alleviating the mental burden caused by Cognitive conditions and allows the creature to act without the weight of the affliction temporarily affecting their behavior or mental clarity.
Note: This spell does not remove conditions related to physical afflictions, nor does it erase conditions like Blinded, Poisoned, or other non-Cognitive states.</t>
  </si>
  <si>
    <t>a sealed envelope containing classified information</t>
  </si>
  <si>
    <t>Remote Office</t>
  </si>
  <si>
    <t>BETA, Zone</t>
  </si>
  <si>
    <t>You conjure a fully furnished mobile workspace, complete with a desk, terminals, filing cabinets, and an encrypted connection to an external network. The office is soundproof and can be dismissed instantly as an action.</t>
  </si>
  <si>
    <t>a stack of paperwork</t>
  </si>
  <si>
    <t>Revulsion</t>
  </si>
  <si>
    <t>A sensory overload in the target’s pleasure-response cortex creates an overwhelming repulsion toward all forms of intimacy.
- The target must succeed on a Wisdom saving throw or become physically nauseated at the thought of intimacy.
- Disadvantage on Charisma-based rolls involving seduction, persuasion, or charm effects.
 The reverse of this spell, "Pleasure Numbness," removes all sexual or emotional distress responses for 24 hours, making the target indifferent to physical stimuli.</t>
  </si>
  <si>
    <t>a neural disruptor patch</t>
  </si>
  <si>
    <t>Ricochet Shot</t>
  </si>
  <si>
    <t>Firearm, BETA</t>
  </si>
  <si>
    <t>You fire a bullet that ricochets between multiple targets. Make a ranged weapon attack against a creature within range. On a hit, the bullet then leaps to up to two additional creatures, each within 15 feet of the previous target. Each additional target requires a separate attack roll and takes half damage on a hit.</t>
  </si>
  <si>
    <t>1 target per level above 3rd</t>
  </si>
  <si>
    <t>Until start of next turn</t>
  </si>
  <si>
    <t>Weapon's Range</t>
  </si>
  <si>
    <t>Festering Graze</t>
  </si>
  <si>
    <t>A touch laced with the essence of decay invades the target’s body, unseen and insidious. The rot festers quietly beneath the surface, waiting to unravel its host.- The target becomes infected with a random disease that is linked to the natural decay of the body. This affliction is dormant for three days, during which the target feels no ill effects.- After three days, the disease awakens. Symptoms manifest suddenly, accompanied by whispers of secrets and memories of decay that take hold of the target’s mind. Feverish visions and murmured words plague the afflicted, distorting their perception of reality.- A successful Medicine check reveals nothing unusual at first glance. The symptoms appear natural, as though the disease were always meant to be a part of the target’s life. No magical traces of the rot can be detected without specialized magic or knowledge.
Effect:
While the disease is dormant, the target remains unaware of the affliction. Upon the disease’s awakening, they suffer from both physical and psychological effects, with hallucinations and fever overtaking them. The whispers may speak of forgotten memories, lost opportunities, or cryptic warnings—each whisper an unsettling reflection of the decay inside them.
The disease is not immediately fatal but can lead to a slow decline in health, eventually debilitating the target unless it is cured. Cure Disease or similar magical healing can remove the affliction.</t>
  </si>
  <si>
    <t>Permanent until cured</t>
  </si>
  <si>
    <t>Severed Echo</t>
  </si>
  <si>
    <t>You rip away a fragment of a target’s voice and presence, leaving behind only an echo.
- The target must make a Charisma saving throw (DC 16). On a failure, they become mute and their shadow begins acting independently.
- Each turn, their shadow makes an unintelligible whisper, causing 1d6 cognitive damage to the target.
- If the target dies while this spell is active, their shadow remains, endlessly repeating their last words.</t>
  </si>
  <si>
    <t>a severed tongue</t>
  </si>
  <si>
    <t>Skyline Stride</t>
  </si>
  <si>
    <t>You can run up walls and across rooftops as if gravity does not apply. While moving, you ignore difficult terrain and can run over gaps up to 20 feet wide. If you stop moving, you fall normally.</t>
  </si>
  <si>
    <t xml:space="preserve">Social Sabotage </t>
  </si>
  <si>
    <t>Paladin, Bard, Ranger</t>
  </si>
  <si>
    <t>You unleash a burst of targeted emotional disruption based on the black site experiment RAGE-031. One creature of your choice within range must succeed on a Wisdom saving throw or succumb to uncontrollable fury.
While affected, the target is enraged, experiencing an irrational compulsion to lash out. At the start of each of its turns, roll a d6 to determine the target’s behavior:
The rage lasts for 1 minute or until the target takes damage. A creature under this effect is considered charmed by the rage itself and cannot willingly end it early.
When cast with a spell slot of 4th level or higher, you may target one additional creature for each slot level above 3rd.</t>
  </si>
  <si>
    <t>| d6 | Rage Behavior                                       |
|----|-----------------------------------------------------|
| 1  | Attacks the caster with reckless focus              |
| 2  | Screams at itself, attacking with disadvantage       |
| 3  | Charges and punches the nearest wall or obstacle     |
| 4  | Rips off parts of its clothing in a frenzy           |
| 5  | Smashes the nearest object or piece of furniture     |
| 6  | Rants at an unseen force only they can perceive      |</t>
  </si>
  <si>
    <t>Survivors of Experiment RAGE-031 recalled only the distorted audio loops and the overwhelming need to destroy something—anything. No test subject retained the ability to reason for hours afterward.</t>
  </si>
  <si>
    <t>Soulbrand Engraving</t>
  </si>
  <si>
    <t>You carve a true name or concept into an object, binding it not just in matter, but in meaning.
- The engraving is permanent—it cannot be removed, altered, or counterfeited.
- If the object is stolen, broken, or lost, its owner feels its absence like a phantom limb.
- The item becomes "known" to reality—it cannot be easily forgotten, overlooked, or discarded.
- If used on a weapon or tool, its wielder feels more attuned to it, gaining advantage on rolls related to its use (e.g., Smith’s Tools, a specific sword, or a custom-built firearm).</t>
  </si>
  <si>
    <t>- If the engraving is too ambitious, the object may begin carving messages on its own, attempting to write its own story.</t>
  </si>
  <si>
    <t>a chisel made from an ancestor’s bone</t>
  </si>
  <si>
    <t>Mobster’s Favor</t>
  </si>
  <si>
    <t>A tough and grizzled individual materializes before you, dressed in a worn, pinstriped suit and reeking of cigar smoke. He looks around with a mixture of confusion and irritation before fixing his gaze on you.
The tough guy is a capable combatant, able to assist in a fight with decent skill, but he demands upfront payment before lending a hand. He is not one for questions and will accept no explanation or excuses, only calling it “business.”
The tough guy has the following characteristics:- Personality quirks:
	1.	Refers to you as “kid” and insists on using streetwise jargon.
	2.	Lights a cigar during combat and complains about how things used to be better.
	3.	Will break someone’s kneecaps or deliver a threatening glare in exchange for gold.
	4.	Makes vague references to “debts” that the caster “owes” him, but never elaborates.
	5.	Will disappear without a word once the spell ends, often in a puff of smoke, with a brief “yeah, yeah, alright” if given a sandwich.
Combat role: The tough guy is proficient in melee combat, dealing 1d6 + Charisma modifier impact damage per attack. He follows basic combat tactics, focusing on protecting you or the group, but is self-serving and won’t risk his life for anyone’s cause unless it directly benefits him. He will act once in combat, and his loyalty ends as soon as the fight is over.
Additional effects:- He insists on being paid in gold, and if not, he may hold grudges that result in negative consequences for future interactions.- After the fight concludes, the mobster vanishes mysteriously, leaving behind a feeling of “unfinished business.”</t>
  </si>
  <si>
    <t>A broken gear</t>
  </si>
  <si>
    <t>Thaumaturgic Relay</t>
  </si>
  <si>
    <t>Communication, BETA</t>
  </si>
  <si>
    <t>You convert arcane energy into an analog signal, allowing you to transmit a spoken message or magical effect through radio waves, telegraph lines, or wired technology. Spells like *Ciphered Message* and *sending* can be cast across vast distances if a signal relay exists.</t>
  </si>
  <si>
    <t>a twisted copper wire</t>
  </si>
  <si>
    <t>The Hollow Man’s Smile</t>
  </si>
  <si>
    <t>You conjure an unnerving mask over your face, obscuring your true identity.
- You gain advantage on Deception checks, but all social interactions become deeply unsettling.
- Creatures who see you for more than 1 minute must make a Wisdom saving throw (DC 15) or develop a deep fear of you for the next 24 hours.</t>
  </si>
  <si>
    <t>a mask that has never been worn</t>
  </si>
  <si>
    <t>The Jester's Wild Gambit</t>
  </si>
  <si>
    <t>Chaos hangs in the air, swirling with possibilities. You embrace the whimsy of chance, drawing power from fate’s unpredictable nature.
When you cast The Jester’s Wild Gambit, you surrender yourself to fate’s hands. Every time you make an attack roll or ability check, you may roll twice, taking the higher result. On a natural 20, the effect is magnified—doubling the result of your roll. But on a natural 1, something chaotic occurs. The DM may choose an unpredictable effect, such as disadvantage on your next roll, an unintended event that causes a distraction, or a minor but inconvenient consequence.</t>
  </si>
  <si>
    <t>At 5th level, fate’s unpredictability expands. You may force one enemy within 10 feet of you to reroll a successful saving throw once per turn, manifesting the whims of fortune upon your foes.</t>
  </si>
  <si>
    <t>Legend says that The Jester's Wild Gambit was first cast by the exiled wizard Iosephine Blackquill, who sought to trap a god within a single word. The spell succeeded—but the god did not remain silent for long.
The ancients who first uttered The Jester's Wild Gambit did not record its effects, only their warnings: 'It does not unmake. It remembers. And it will remember you, too.'</t>
  </si>
  <si>
    <t>When casting this spell, roll a d20. On a roll of 15 or higher, you feel a slight disturbance in reality, as though an unseen force shifts in your favor. The outcome may feel more certain, but a lingering ripple remains in the air.</t>
  </si>
  <si>
    <t>A playing card dipped in blood</t>
  </si>
  <si>
    <t>Urge Unerring</t>
  </si>
  <si>
    <t>Mispelled, Buff, BETA</t>
  </si>
  <si>
    <t>Druid, Bard, Ranger</t>
  </si>
  <si>
    <t>You align your body, mind, and bladder with an invisible thread of inevitability. For the duration, cosmic forces ensure your next strike is absurdly accurate—but only under strangely specific conditions.
Until the spell ends, your next attack roll automatically hits a target of your choice if any of the following are true at the time of the attack:
- You are actively urinating.
- You are within 5 feet of someone who is.
- You are standing inside a bathroom, restroom, washroom, or similarly designated facility—regardless of plumbing status.
If none of these conditions are true, you must spend an action miming the act of relieving yourself (DMs are encouraged to enforce social consequences) to activate the effect. Once the effect is used, the spell ends</t>
  </si>
  <si>
    <t>When cast using a spell slot of 4th level or higher, you may choose two attacks within the duration to benefit from this effect instead of one.</t>
  </si>
  <si>
    <t>Unseen Bureaucracy</t>
  </si>
  <si>
    <t>You summon an invisible bureaucratic entity that sternly demands all paperwork within the spell’s area (a single room or similarly sized space within range) be immediately filed in triplicate. The entity is invisible but can be clearly heard shuffling papers and making disapproving murmurs.
Effects:- No creature can willingly leave the affected area until the demanded paperwork has been successfully triplicated (takes approximately 1 minute per page per copy).- If no paperwork is present, the entity magically conjures a tedious stack of administrative forms to fill out, provided along with quills and ink.- If cast outdoors or in an open area, the entity first casts “Remote Office,” instantly teleporting all creatures within 60 feet to a small, featureless office space filled with paperwork and uncomfortable chairs. Creatures remain here until paperwork is filed or the spell ends.
Failure to comply results in the entity issuing an “official warning,” delivered ominously yet politely, which no one knows how to appeal or what consequences it may hold (DM discretion).</t>
  </si>
  <si>
    <t>| d4 | Consequence of Non-Compliance                              |
|----|------------------------------------------------------------|
| 1  | You receive a cryptic, ominous "Official Warning."         |
| 2  | Your name appears on a mysterious "watchlist."             |
| 3  | You owe inexplicable back taxes in a foreign city.         |
| 4  | The invisible entity sighs and mentions your "permanent record." |</t>
  </si>
  <si>
    <t xml:space="preserve">
When cast using a spell slot of 4th level or higher, the paperwork increases exponentially, making escape progressively more difficult and tedious (triplicate at 4th-level, quadruplicate at 5th-level, etc.).</t>
  </si>
  <si>
    <t>60 ft.</t>
  </si>
  <si>
    <t>Pulse Reaver</t>
  </si>
  <si>
    <t>You place your hand near the target’s throat, heart, or the air above their skin—never touching, yet always too close. With a whispered invocation, you invite the attention of something that drinks the breath between pulses.- The target loses 2 hit points per round for the duration.- The caster gains 1 hit point per round (up to their maximum).- If the target is reduced to 0 hit points this way, they do not fall unconscious immediately.- For 1 round, they remain aware but paralyzed, their vision darkening as they feel a cold, unseen presence leaning in, whispering promises only they can hear.- At the start of their next turn, they fall unconscious unless stabilized by magical means.</t>
  </si>
  <si>
    <t>At Higher Levels.
When cast using a 4th-level spell slot or higher, increase the damage by 1 HP per round and the healing by 1 HP per round for every level above 3rd.</t>
  </si>
  <si>
    <t>Veins of the Forgotten</t>
  </si>
  <si>
    <t>BETA, Morph</t>
  </si>
  <si>
    <t>Warlock, Druid</t>
  </si>
  <si>
    <t>You allow your veins to forget their purpose, turning your circulatory system into something liquid, shifting, and unknowable.
- For the duration of the spell, your blood is no longer entirely inside you—it slithers beneath your skin, forming moving patterns, and drips onto the floor in places you haven't stepped.
- You gain the following benefits and consequences:
- Your body is semi-fluid, allowing you to squeeze through gaps no wider than 1 inch.
- You are immune to poison and diseases, as your blood is no longer organic.
- You take half damage from slashing attacks, but piercing attacks deal double damage as your body cannot hold shape properly.
- Each time you cast a spell, your blood reacts violently, causing you to lose 1d6 HP per spell level.
- If you reach 0 HP while this spell is active, you do not die—instead, your blood scatters across the room, and your body must be reassembled manually.
 Anomaly Effect:
- If used too frequently, your blood refuses to return to your body, forming an independent entity that watches you, waiting for an opportunity to replace you.</t>
  </si>
  <si>
    <t>- If used too frequently, your blood refuses to return to your body, forming an independent entity that watches you, waiting for an opportunity to replace you.</t>
  </si>
  <si>
    <t>a drop of your own blood, mixed with ink</t>
  </si>
  <si>
    <t>Vital Override</t>
  </si>
  <si>
    <t>You restore a creature to life, provided it has been dead for no longer than 1 minute. The creature returns with 1 hit point, but its body bears an unnatural stiffness, as if something is keeping it running rather than fully reviving it. Until they complete a long rest, they gain one level of exhaustion.</t>
  </si>
  <si>
    <t>a defibrillator or mechanical equivalent</t>
  </si>
  <si>
    <t>Cerulean Incantation of Pride</t>
  </si>
  <si>
    <t>With a single chant, a surge of prideful energy wraps around your chosen target. This incantation shields them with an aura of indomitable will, reducing the severity of blows that might otherwise pierce their resolve.
Choose one creature within range. The target gains resistance to critical hits for the duration of the spell—any critical hits against them are instead treated as normal hits.</t>
  </si>
  <si>
    <t>The phantom ship *Elder’s Lament* was last seen adrift in the Void Sea, its captain having invoked Cerulean Incantation of Pride in a desperate bid to escape the Hunt. The ship is still seen, sometimes, but never in the same place twice.
The very air around Cerulean Incantation of Pride seems to recoil, as if reality itself wishes to avoid acknowledging its existence. It is a spell that should not be, yet is.</t>
  </si>
  <si>
    <t>Utallash's Persuit of Ceramic</t>
  </si>
  <si>
    <t>You invoke a forbidden remnant of ancient magic, drawing from the chilling legacy known as Utallash’s Pursuit of Ceramic. Choose one creature within range; 
it must make a Charisma saving throw. On a failed save, the target suffers the following effects:
- The target takes 4d8 distortive damage as their identity begins to fracture, leaving a hollow, ceramic
-like resonance within their being.- They become a “Husk”: For the next hour, the target struggles to remember their own name, imposing disadvantage on all Charisma-based checks and saving throws.
Marked by the Void (Caster’s Consequences):
Every time you cast this spell, you become subtly marked by the magic. The mark grows stronger with repeated uses. You experience minor, unsettling phenomena:
- Your reflection occasionally blinks or moves independently.
- Your shadow periodically misaligns or lags behind your physical form.
After you cast this spell 3 or more times, you gain disadvantage on Charisma saving throws until you complete a long rest, as the magic slowly erodes your own identity.
These effects are cumulative but subtle enough to be hidden from casual observers—though those familiar with the Void’s whispers will recognize your affliction immediately.
Removing the Mark:
A Greater Restoration or similarly potent cleansing magic removes all accumulated marks from you, resetting the count.</t>
  </si>
  <si>
    <t>Something unknown has touched this magic, leaving behind traces of those who have cast it before.
During the Calamity of Shrouded Stars, Utallash's Persuit of Ceramic was unleashed upon a battlefield, reducing an entire legion to nameless husks. Those who survived swore they heard their own names whispered by the void.</t>
  </si>
  <si>
    <t>permanent</t>
  </si>
  <si>
    <t>currant leaves or a little vial of paint</t>
  </si>
  <si>
    <t>Muttering Solstice of Indignation</t>
  </si>
  <si>
    <t>Unhinged, Buff, Rework, BETA</t>
  </si>
  <si>
    <t>Sorceror, Warlock, Druid</t>
  </si>
  <si>
    <t>You whisper defiant syllables into the Weave, anchoring a sphere of uncooperative momentum into the world. Within the zone, tension hangs in the air—every movement feels optional, replaceable, or rebellious.
While within the sphere, each creature may choose at the start of their turn:
- Forego their movement speed for the turn to gain one of the following effects until the start of their next turn:
- +1 bonus to AC
- One additional weapon attack as part of the Attack action
- Advantage on the next saving throw they make
These choices must be made verbally—even whispered—causing faint echoes to ripple in the air.</t>
  </si>
  <si>
    <t>A beggar in Concord once claimed to be a king undone by this spell. When asked for details, his mouth moved, but no sound emerged.
Those who cast Muttering Solstice of Indignation say it never feels the same way twice. Each use leaves a trace—on the caster, on the ground, on the timeline.</t>
  </si>
  <si>
    <t>When you cast this spell, roll a d20. On a 15 or higher, reality trembles slightly:
For the next minute, illusory duplicates of the caster flicker into being around them, mirroring their movements with a one-second delay. They offer no mechanical benefit—but are extremely unsettling.</t>
  </si>
  <si>
    <t>Sphere/15 ft (centered on a point you can see)</t>
  </si>
  <si>
    <t>a piece of a fence post</t>
  </si>
  <si>
    <t>Mass Redaction</t>
  </si>
  <si>
    <t>Up to 5 creatures forget a single traumatic experience, painful memory, or moment of suffering that occurred
within the last 24 hours. This does not remove magical charm or domination effects.</t>
  </si>
  <si>
    <t>30 feet (up to 5 creatures)</t>
  </si>
  <si>
    <t>a stack of classified files</t>
  </si>
  <si>
    <t>Paradox Consecration</t>
  </si>
  <si>
    <t>Paladin, Cleric</t>
  </si>
  <si>
    <t>You designate an area as both sanctified and desecrated for 5 rounds. It counts as both types of terrain simultaneously.
While active:- All Sacred Footing and Aura of Sanctity benefits for both Holy and Unholy terrain are active.- Enemies within the area must make a Wisdom saving throw or suffer from Paranoia (disadvantage on Insight, Investigation, and saving throws against fear effects).- You may cast spells that require either Holy or Unholy terrain as though the condition is met.
This creates strange divine interference, and at the start of your turn while concentrating on it, roll a d6:- 1–2: Radiant burst (each creature takes 1d6 radiant)- 3–4: Shadow pulse (each creature heals 1 HP if undead)- 5–6: No extra effect</t>
  </si>
  <si>
    <t>5 rounds</t>
  </si>
  <si>
    <t>a burnt fragment of scripture</t>
  </si>
  <si>
    <t>Call the Artillery</t>
  </si>
  <si>
    <t>Summon</t>
  </si>
  <si>
    <t>Ranger, Paladin</t>
  </si>
  <si>
    <t>You conjure a semi-sentient spectral artillery construct at a point within range. It appears as a spectral gun emplacement or anomalous heavy weapon fused with meat and machine, powered by memory and trauma. It acts on your initiative (after your turn), and automatically targets enemies within range.
	•	The Echo Battery can target one creature within 120 feet and automatically fires each round unless destroyed or dismissed.
	•	Its attacks count as magical for the purpose of overcoming resistance.</t>
  </si>
  <si>
    <t>Additional Rules:
- The artillery is immune to cognitive damage and charm effects.
- It vanishes if reduced to 0 HP or if your concentration ends.
- Enemies within 5 feet of the artillery at the end of their turn take 1d6 radiation damage from exposure to its lingering aura.
- You may mentally command it using a bonus action, or let it act independently according to its targeting protocol (attacking the nearest hostile creature).</t>
  </si>
  <si>
    <t>| Spell Slot | Artillery Type           | Damage        | Traits                                                  |
|------------|--------------------------|---------------|---------------------------------------------------------|
| 3rd        | Field Echo Turret    | 3d8 kinetic    | Stationary. Basic cannon. 60 HP.                        |
| 4th        | Crawling Barrage Unit| 5d10 impact    | Mobile. Can move 10 ft/turn. Fires twice per round.     |
| 5th        | Skyhammer Array      | 6d12 radiant   | Hovers. Can fire area bursts (10-ft radius).            |
| 6th        | Godmouth Obliterator | 8d10 chiaric   | Semi-sapient. Ignores cover. 100 HP. Deals splash radiation. |</t>
  </si>
  <si>
    <t xml:space="preserve">
When you cast this spell using a spell slot of 4th level or higher, the artillery grows in size, intelligence, and destructive potential.</t>
  </si>
  <si>
    <t>“You don’t fire it. You convince it to fire.”
—From a redacted A.S.T.R.A.L. containment memo.</t>
  </si>
  <si>
    <t>a shell casing containing blood</t>
  </si>
  <si>
    <t>Moderate</t>
  </si>
  <si>
    <t>A.S.T.R.A.L. Recall</t>
  </si>
  <si>
    <t>4th-level</t>
  </si>
  <si>
    <t>A recently deceased body (within the last minute) is teleported to the nearest emergency facility or
 corporate medical center for immediate resuscitation. The creature returns to life at half HP after 1d6 rounds.</t>
  </si>
  <si>
    <t>an encrypted terminal key</t>
  </si>
  <si>
    <t>Sunder the Mind</t>
  </si>
  <si>
    <t>Wizard, Warlock, Paladin</t>
  </si>
  <si>
    <t>You summon a storm of distorted analog signals, corrupted waveforms, and audio screeches that flood the minds of all creatures in a 10-foot-radius sphere centered on a point within range. Each creature in the area must make a Constitution saving throw. On a failed save, the target takes 5d8 sound damage and is stunned until the start of its next turn. On a success, the target takes half damage and is not stunned.</t>
  </si>
  <si>
    <t>a cassette tape</t>
  </si>
  <si>
    <t>Architect’s Collapse</t>
  </si>
  <si>
    <t>Druid, Paladin</t>
  </si>
  <si>
    <t>You touch a man-made structure or crafted object, forcing it to forget how it was built—not destroyed, just unmade in an orderly fashion.
- Wood, stone, and metal loosen, shifting into their component parts without breaking—a smith’s forge can be unassembled cleanly, a sword can separate into its blade and hilt, and a house can collapse into its original timber and nails.
- The process is reversible—the materials remember how they were once arranged and can be restored without loss if done within 48 hours.
- A structure undone this way cannot be reassembled incorrectly—if rebuilt wrong, the materials actively resist, snapping back into their original formation.</t>
  </si>
  <si>
    <t>- If misused, the materials may refuse to be reassembled, taking on forms of their own choosing.</t>
  </si>
  <si>
    <t>Touch (up to 10 feet of crafeeted material)</t>
  </si>
  <si>
    <t>Biometric Recalibration</t>
  </si>
  <si>
    <t>You target up to six creatures, recalibrating their biological functions. Each regains 5d8 hit points and ends one condition affecting them (blinded, deafened, paralyzed, or poisoned). If used on constructs or cybernetically enhanced creatures, it also removes glitches or malfunctions.</t>
  </si>
  <si>
    <t>a biometric scanner</t>
  </si>
  <si>
    <t>Blackout Field</t>
  </si>
  <si>
    <t>Light, BETA</t>
  </si>
  <si>
    <t>You suppress all sources of light, sound, and electronic signals in a 20-foot radius sphere. Within the field, all creatures are blinded, deafened, and unable to communicate via magical or technological means unless they make a Wisdom saving throw.</t>
  </si>
  <si>
    <t>a flickering lightbulb</t>
  </si>
  <si>
    <t>Corporate Requisition</t>
  </si>
  <si>
    <t>You summon a high-value corporate asset from a hidden supply depot or corporate black site. The item materializes in an unoccupied space within range, appearing with an A.S.T.R.A.L. authorization tag.
 The asset can be:
- A non-magical weapon, armor, or tool worth up to 1,000 gp
- A one-use prototype device (mundane item with a minor paranormal enhancement)
- A high-value corporate document (blueprints, security codes, classified memos)
 The item remains for 10 minutes before fading into an encrypted data lock. If destroyed or stolen, the caster receives a corporate reprimand, imposing disadvantage on persuasion checks with corporate agents for 24 hours.</t>
  </si>
  <si>
    <t>a requisition form stamped with an official corporate seal</t>
  </si>
  <si>
    <t>Counter-Compliance Protocol</t>
  </si>
  <si>
    <t>Damage, Debuff</t>
  </si>
  <si>
    <t>Cleric, Wizard, Bard</t>
  </si>
  <si>
    <t>The moment you’re subjected to forced obedience, you generate a reality anchor pulse that shatters external control.
- You immediately reroll a saving throw against any magical effect or condition that would impose Charmed, Compelled, or Under-Contract conditions.
- On a successful save, you:
- Instantly end all active effects that imposed those conditions.
- Become immune to those same conditions for 1 minute.
- If the caster of the effect is within 30 feet, they suffer 4d6 cognitive damage from feedback.
This spell specifically counters:
- Spells and effects like Compliance Protocol, Neuro-Enforcement Directive, and The Bleeding Contract.
- Any paranormal contract, psychic override, or emotion-based charm.</t>
  </si>
  <si>
    <t>when forced to obey an order magically</t>
  </si>
  <si>
    <t>Desynchronization Pulse</t>
  </si>
  <si>
    <t>Wizard, Paladin, Druid</t>
  </si>
  <si>
    <t>You create a field of unstable time that warps the moment of impact. Creatures in the area take 6d10 cognitive damage and must make a Constitution saving throw. On a failure, they are phased slightly out of time and become Displaced, suffering disadvantage on attack rolls and Dexterity saving throws until the end of their next turn.
 At Higher Levels. When you cast this spell using a spell slot of 5th level or higher, the damage increases by 1d10 per slot level above 4th.</t>
  </si>
  <si>
    <t>30 feet (10-feet radius sphere)</t>
  </si>
  <si>
    <t>Moderate Arcane Strain – Minor temporal instability, brief perception shifts, or momentary déjà vu effects.</t>
  </si>
  <si>
    <t>Dimensional Hard Reset</t>
  </si>
  <si>
    <t>Cleric, Wizard, Druid</t>
  </si>
  <si>
    <t>You unleash a stabilizing wave of reality enforcement, forcing all anomalies, rifts, and unstable entities in the area to conform to baseline existence.
- Low-tier anomalies (CR 5 or lower) are immediately neutralized, vanishing or becoming mundane versions of themselves.
- Higher-tier anomalies (CR 6-15) must make a Charisma saving throw or become suppressed for 1 minute, temporarily losing any paranormal traits.
- Powerful anomalies (CR 16+) experience severe disruption, suffering disadvantage on all ability checks, attacks, and saving throws related to their supernatural nature for 1 minute.
 Additionally, any dimensional rifts, glitches, or overlapping timelines in range forcibly snap shut, preventing further distortions unless reactivated with powerful magic.</t>
  </si>
  <si>
    <t>&gt;- 6th level: Anomalies of CR 10 or lower are fully erased.
 &gt;- 8th level: Anomalies of CR 15 or lower cannot resist the effect.
 &gt;- 9th level: The spell becomes an absolute reset, affecting all anomalies regardless of CR.</t>
  </si>
  <si>
    <t>a broken clock hand</t>
  </si>
  <si>
    <t>Dimensional Layover</t>
  </si>
  <si>
    <t>Dimension</t>
  </si>
  <si>
    <t>You conjure a temporary "layover space", a pocket of non-time where events pause but awareness remains intact.
- Up to 6 creatures within range are shifted into an alternate copy of the location, appearing slightly out of sync with reality.
- Time outside continues normally, but within the layover, no external force can interact with you.
- Spells, attacks, and actions do not leave the space—but you can watch reality play out through an invisible window, letting you gather information.</t>
  </si>
  <si>
    <t>If you stay too long, external reality might forget you exist, causing minor distortions when you return.</t>
  </si>
  <si>
    <t>10 minutes (or until exited)</t>
  </si>
  <si>
    <t>a stopwatch frozen at midnight</t>
  </si>
  <si>
    <t>Dissonant Gestation</t>
  </si>
  <si>
    <t>Paladin, Sorceror</t>
  </si>
  <si>
    <t>You implore the dark corners of reality to place an unseen burden within a creature’s body—not a pregnancy, but an unnatural gestation, a thing that grows, waits, and feeds.
- The target must make a Constitution saving throw. On a failure, something begins to gestate inside them, though it is not a living creature as they understand it.
- Each week, roll a d6 to determine the nature of the thing growing within:
- 1 | Bone Nesting – The target’s bones begin splitting, reforming, and growing redundantly, fusing in painful, alien configurations.
- 2 | Chitinous Hatchery – Their flesh hardens into a shell, and something moves beneath it. It will hatch, but no one knows what.
- 3 | Hollow Incubation – The target’s organs begin to disappear, one by one, yet they remain alive, feeling the empty space within.
- 4 | Blood Evolution – Their blood is no longer theirs, but something else’s, moving independently, making them a host for an unseen parasite.
- 5 | Neural Infestation – The target begins hearing a second set of thoughts inside their mind. These are not theirs. They whisper secrets.
- 6 | Aberrant Bloom – Strange tendrils or appendages occasionally emerge from the target’s body, retreating before they can be seen.
 Ending the Spell:
- If left untreated, at the end of three months, the thing inside them will be born. The result is not predictable, and it may not be survivable.
- The only way to remove the gestation is through surgery or another, more powerful anomaly.</t>
  </si>
  <si>
    <t>- If multiple creatures are affected by this spell in the same location, their gestating entities begin to sync, forming a single, distributed intelligence between all hosts.</t>
  </si>
  <si>
    <t>Permanent (until birth or surgical removal)</t>
  </si>
  <si>
    <t>a handful of grave dirt, pressed into the skin</t>
  </si>
  <si>
    <t>Dyrnar’s Tormentous Wail</t>
  </si>
  <si>
    <t>Unhinged, Debuff, BETA</t>
  </si>
  <si>
    <t>You exhale a shriek that does not come from your lungs. It comes from somewhere much deeper—a place beneath time and flesh. The wail drags the psychic residue of forgotten horrors into the minds of those who hear it.
Each creature in a 30-foot cone must make a Wisdom saving throw. On a failed save, a creature is frightened for 1 minute. If the creature fails by 5 or more, it also suffers 5d6 cognitive damage as ancestral screams claw through its mind.
A frightened creature may repeat the saving throw at the end of each of its turns, ending the effect on a success.</t>
  </si>
  <si>
    <t>At Higher Levels. When cast using a spell slot of 6th level or higher, the range increases to a 60-foot cone.</t>
  </si>
  <si>
    <t>In the city of Concord, Dyrnar’s Tormentous Wail is outlawed, for it was once used by the cult of the Silent Maw to unmake a senator in broad daylight. Witnesses swore they saw his shadow scream before vanishing entirely.
Those who cast the wail often find that they dream differently afterward. They dream of corridors that stretch into infinity, doors that lead to places older than time.</t>
  </si>
  <si>
    <t>When casting this spell, roll a d20. On a 15 or higher:
Reality trembles slightly, causing a ripple that lingers unseen.</t>
  </si>
  <si>
    <t>Cone</t>
  </si>
  <si>
    <t>A desiccated tongue wrapped in silk</t>
  </si>
  <si>
    <t>Efficiency Mode</t>
  </si>
  <si>
    <t>Cleric, Wizard, Ranger</t>
  </si>
  <si>
    <t>The target enters a state of optimized function. They gain +2 AC, advantage on attack rolls, and resistance to exhaustion effects. However, when the spell ends, they suffer disadvantage on all ability checks for 1 hour.</t>
  </si>
  <si>
    <t>a caffeine capsule</t>
  </si>
  <si>
    <t>Emergency Containment Directive</t>
  </si>
  <si>
    <t xml:space="preserve">You etch a binding glyph into the environment, invoking an official A.S.T.R.A.L.-grade spatial lockdown. This containment field is undetectable to the naked eye and can only be revealed by corporate-grade anomaly scanners.
- When a creature first enters the affected space (a 10-foot radius circle centered on the glyph), it must succeed on a Wisdom saving throw or become contained within the bureaucratic lockdown.
- A contained creature is mentally shunted into an abstract “waiting room” within the anomaly filing system. While aware of their surroundings, they cannot move, act, or communicate unless presented with a notarized authorization sigil, which is magically created at the time of casting and bound to the spellcaster or a designated entity.
- Creatures that successfully save are unaffected and may pass through freely, but the glyph remains until dispelled or triggered.
- Once triggered, the glyph can no longer detain other creatures.
</t>
  </si>
  <si>
    <t>If the spell is cast too frequently within the same region, higher bureaucratic forces may initiate a dispute over procedural irregularities. This has a 25% chance of causing the glyph to malfunction, possibly detaining the wrong creature or triggering a random bureaucratic anomaly.</t>
  </si>
  <si>
    <t>an embossed containment sigil, notarized and stamped with an A.S.T.R.A.L. seal</t>
  </si>
  <si>
    <t>Official clearance required. Unauthorized use may lead to A.S.T.R.A.L. investigation.</t>
  </si>
  <si>
    <t>Escalate to Management</t>
  </si>
  <si>
    <t xml:space="preserve">Target one humanoid. They must make a Wisdom saving throw or become convinced that their current issue is “not their problem” and must be escalated to a higher authority. They will refuse to engage further until a superior intervenes.
- On a failure, they gain the Paranoid condition and become convinced that their current task or conflict is “not their jurisdiction.”  
- While Paranoid in this way, they will actively avoid confrontation, refuse to complete objectives, and demand the presence of a superior or authoritative figure.
- In combat, they will take the Dodge action unless directly attacked, and will spend their turns muttering about policy violations or escalation procedures.  
- They may only repeat the saving throw at the end of each hour, or when confronted by a creature they recognize as a superior.
On a successful save, the target shrugs off the compulsion, but suffers disadvantage on their next ability check or attack roll as lingering doubt creeps in. 
</t>
  </si>
  <si>
    <t>I’m afraid I’m not authorized to deal with that. You’ll need to speak with management.</t>
  </si>
  <si>
    <t>a corporate memo</t>
  </si>
  <si>
    <t>Exhaustion Nullifier</t>
  </si>
  <si>
    <t>Corporate, Restoration</t>
  </si>
  <si>
    <t>You instantly eliminate levels of Exhaustion, revitalizing the target’s physical and mental state.
- Removes 1 level of Exhaustion (2 levels if cast at 6th level or higher).
- If cast on an unconscious or overworked target, they regain 4d8 hit points in addition to exhaustion removal.</t>
  </si>
  <si>
    <t>a crushed caffeine capsule</t>
  </si>
  <si>
    <t>Fold Space</t>
  </si>
  <si>
    <t>Transport</t>
  </si>
  <si>
    <t>You create a temporary shortcut between two points, linking two doorways, hallways, or urban streets within 100 feet.
- Walking into one entrance instantly exits through the other.
- The fold collapses if detected by corporate security measures.
- Once the spell ends, the passage vanishes without a trace.</t>
  </si>
  <si>
    <t>100 feet</t>
  </si>
  <si>
    <t>a reflective shard of warped glass</t>
  </si>
  <si>
    <t>Giocrin's Hunt</t>
  </si>
  <si>
    <t>Unhinged, Utility, Rework</t>
  </si>
  <si>
    <t>Sorceror, Warlock, Paladin</t>
  </si>
  <si>
    <t xml:space="preserve">You cast out a burst of twisted awareness—the echo of something watching, something ancient and analytical. The air in the chosen area distorts, revealing the ghostly attention trails of an otherworldly intelligence.
All creatures of your choice within a 30-foot-radius sphere centered on a point within range must make a Wisdom saving throw. On a failure, they suffer the effects listed below:
On a success, the creature is unaffected, but leaves behind a faint trail visible only to you, allowing you to track them regardless of stealth or invisibility.
</t>
  </si>
  <si>
    <t xml:space="preserve">
| Effect         | Description |
|----------------|-------------|
| Marked     | The creature emits a visible, flickering aura only you can see. You have advantage on attack rolls, ability checks to track, locate, or affect them. |
| Haunted    | The creature is Under Surveillance: has disadvantage on Stealth checks and cannot benefit from invisibility. |
| Overloaded | If the creature is already being observed by magical or technological surveillance, it takes 4d6 cognitive damage from conflicting signals. |</t>
  </si>
  <si>
    <t>At Higher Levels.
When cast with a 5th-level spell slot or higher:- Affected creatures also become Frightened of you for 1 round on a failed save.- You may choose up to twice as many creatures to be affected.</t>
  </si>
  <si>
    <t>The rogue artificer Veyl Renshaw designed an enchanted device that could replicate Giocrin's Hunt. She activated it only once—her house was later found standing, but all its doors opened into an endless void.
To cast Giocrin's Hunt is to invite a presence that does not belong. The words taste of static, the gestures feel like echoes of hands not your own.</t>
  </si>
  <si>
    <t>When casting this spell, roll a d20. On a 15 or higher:
A shimmering eye blinks open in the air and follows your gaze. It remains for 1 round, granting you truesight in the affected area during that time.</t>
  </si>
  <si>
    <t>Line/10 ft</t>
  </si>
  <si>
    <t>snowberry leaves and bread crumbs</t>
  </si>
  <si>
    <t>Incident Response Extraction</t>
  </si>
  <si>
    <t>Cleric, Ranger</t>
  </si>
  <si>
    <t>You establish an emergency extraction point for a willing target. At any moment, the target may activate the extraction, teleporting instantly to a predetermined safe location within 1 mile.
- The spell only works once per casting.
- The extraction is flagged in corporate security logs, making repeated use of this spell riskier over time.</t>
  </si>
  <si>
    <t>Until triggered</t>
  </si>
  <si>
    <t>a personal tracking beacon</t>
  </si>
  <si>
    <t>Manifest Workforce</t>
  </si>
  <si>
    <t>You conjure a team of spectral corporate workers who can complete non-combat tasks. They can assemble, repair, organize, or process data at a rate equivalent to ten human workers. If forced into combat, they disperse immediately.</t>
  </si>
  <si>
    <t>a signed corporate requisition form</t>
  </si>
  <si>
    <t>Nonlinear Travel</t>
  </si>
  <si>
    <t>You exist in two places simultaneously, shifting between locations each round. You can take actions from either location, but your form is flickering and unpredictable. Any attempt to track, capture, or observe you results in incomplete or contradictory reports.</t>
  </si>
  <si>
    <t>a key with no door</t>
  </si>
  <si>
    <t>Protocol Rejection</t>
  </si>
  <si>
    <t>You disrupt a corporate control spell attempting to influence, track, or bind you.
- This automatically cancels spells like Compliance Protocol, Memory Fragmentation, and Surveillance Blackout if cast at equal or lower levels.
- If cast against higher-level control magic, you gain advantage on all saving throws against it for 1 minute.</t>
  </si>
  <si>
    <t>when affected by an obedience or surveillance spell</t>
  </si>
  <si>
    <t>Psychosexual Block</t>
  </si>
  <si>
    <t>Bard, Sorceror, Cleric</t>
  </si>
  <si>
    <t>A temporary disruption in neurological and physiological processes renders the target incapable of sexual arousal or activity.
- The target must make a Wisdom saving throw or suffer from:
- Disadvantage on Charisma checks involving seduction or persuasion.
- -2 penalty to attack rolls and morale checks as a side effect of psychological distress.
- Temporary reductions in Wisdom, Constitution, and Charisma by 1d3 points for the duration.
- If the target is charmed, casting this spell automatically removes the charm effect instead of requiring a saving throw.</t>
  </si>
  <si>
    <t>Originally developed as a military-grade focus enhancement program, this spell is now illegally distributed in underground markets for controlling undesired urges.</t>
  </si>
  <si>
    <t>10 rounds/level</t>
  </si>
  <si>
    <t>5 yards</t>
  </si>
  <si>
    <t>a biometric override chip</t>
  </si>
  <si>
    <t>Redacted Identity</t>
  </si>
  <si>
    <t xml:space="preserve">You strip the target’s presence from legal and magical systems alike, rendering them unrecognizable to contracts, surveillance enchantments, and memory-linked spells. While affected by this spell:
- The target is immune to the Under-Contract condition.  
- Their name cannot be written, spoken, or remembered through magical or technological means.  
- Attempts to bind them through bureaucratic enchantments (such as *Compliance Protocol*, *Digital Summons*, or *Memory Fragmentation*) automatically fail.  
- Any entity trying to recall or reference the target experiences a moment of hesitation, static, or cognitive flicker.  
- Ongoing effects from legal bindings or corporate conditioning are suppressed.  
The spell immediately ends if the target willingly identifies themselves, signs a contract, or submits personal data.
</t>
  </si>
  <si>
    <t>This spell is illegal in all A.S.T.R.A.L.-regulated zones and may trigger automated containment review if detected.</t>
  </si>
  <si>
    <t>a bureaucratic form with the target’s name scribbled out, stamped with an identity suppression seal</t>
  </si>
  <si>
    <t>*See Blood Seal rules for alternative acquisition methods.*</t>
  </si>
  <si>
    <t>Using a Blood Seal instead of the bureaucratic suppression mark inflicts Minor Arcane Strain.</t>
  </si>
  <si>
    <t>Redlight in a Pocket</t>
  </si>
  <si>
    <t>Sexual, Dimension, BETA</t>
  </si>
  <si>
    <t>You conjure a sealed, unearthly chamber, where indulgence flows like silk and no outside force may intrude.
- The 15-foot-diameter space is soundproof, protected from weather, and forbiddingly private.
- The caster can shape the interior at will, conjuring cushions, incense, and music that hums from the walls themselves.
- Those who rest inside awaken feeling like time itself curled around them, leaving them untouched.</t>
  </si>
  <si>
    <t>5 hours + 1 hours/level</t>
  </si>
  <si>
    <t>a satin ribbon, bound with a secret never spoken aloud</t>
  </si>
  <si>
    <t>Residual Presence</t>
  </si>
  <si>
    <t>You reach beyond the veil and call forth a flickering echo of a recently deceased creature. Instead of communicating directly, you witness fractured memories or emotional imprints they left behind.
When cast on a space where a humanoid died within the last 7 days, choose one of the following effects:
- Residual Vision. You and up to 5 willing creatures see a ghostly reenactment of the creature’s final moments, projected like a spectral recording. The scene is silent and incomplete, but may reveal useful visual details such as a killer's face, a hidden object, or a symbol drawn in blood.
- Lingering Instinct. You gain a skill or tool proficiency the deceased possessed (your choice, if known) for 10 minutes. You also gain advantage on Intelligence checks related to the creature's past profession or knowledge.
- Emotional Imprint. The space is saturated with the creature's strongest emotion at the time of death. For 10 minutes, anyone entering the space must succeed on a DC 13 Charisma saving throw or experience that emotion intensely (e.g., rage, fear, sorrow), which may affect social interactions, Insight, or Intimidation checks.
The echo fades once the chosen effect ends, or if dismissed early.</t>
  </si>
  <si>
    <t>a business card left behind by the deceased</t>
  </si>
  <si>
    <t>Rotating Opus of Indignation</t>
  </si>
  <si>
    <t>Cleric, Warlock, Bard</t>
  </si>
  <si>
    <t>As your mind cracks under pressure, you unleash an anomalous pulse of rhythm and defiance—a stuttering cosmic melody that replays itself, over and over, across the battlefield. The air pulses in time with an unseen waltz. Reality blinks.
When you fail a saving throw, you may cast this spell to release a psychic backlash in a 20-foot radius centered on a point you choose within range.
Each creature in the area must make a Charisma saving throw. On a failure, they take 4d8 chiaric damage, and are staggered, unable to take reactions until the start of their next turn. On a success, they take half damage and suffer no additional effect.
Once per round for the duration (1 round), the melody echoes faintly again at initiative count 0. Creatures that failed their original save feel a tremor of déjà vu and take 1 cognitive damage as the rhythm loops.</t>
  </si>
  <si>
    <t xml:space="preserve">
When you cast this spell using a 5th-level spell slot or higher, the damage increases by 1d8 for each slot level above 4th.</t>
  </si>
  <si>
    <t>Something unknown has touched this magic, leaving behind traces of those who have cast it before.
The phantom ship *Elder’s Lament* was last seen adrift in the Void Sea, its captain having invoked Rotating Opus of Indignation in a desperate bid to escape the Hunt. The ship is still seen, sometimes, but never in the same place twice.
The very air around Rotating Opus of Indignation seems to recoil, as if reality itself wishes to avoid acknowledging its existence. It is a spell that should not be, yet is.</t>
  </si>
  <si>
    <t>When casting this spell, roll a d20. On a 15 or higher:
“You hear a musical note that doesn’t exist in this octave. The ground pulses beneath your feet. One random creature (including possibly yourself) must succeed on a Wisdom saving throw or be forced to dance uncontrollably for 1 round, unable to take actions.”</t>
  </si>
  <si>
    <t>After you fail a saving throw</t>
  </si>
  <si>
    <t>Sphere/20 ft</t>
  </si>
  <si>
    <t>Sever Anomaly</t>
  </si>
  <si>
    <t>You attempt to forcibly disconnect a supernatural entity from the material world. The target must make a Charisma saving throw. On a failure, it loses its ethereal, invisible, or extraplanar traits for the duration. If it was bound to this plane via an anomaly, it must roll a d6 each round—on a 1, it is banished permanently.</t>
  </si>
  <si>
    <t>a copper wire severed from an old telephone</t>
  </si>
  <si>
    <t>Sever Link</t>
  </si>
  <si>
    <t>You disrupt a telepathic bond, magical connection, or mental influence. The target must make a Wisdom saving throw. On a failure, they lose any telepathic abilities or magic item attunements for the duration.</t>
  </si>
  <si>
    <t>a severed ethernet cable</t>
  </si>
  <si>
    <t>Step Between Forms</t>
  </si>
  <si>
    <t>You blur at the edges, your body slipping into the seams of unreality. Shadows cling to you unnaturally, muting your presence, your weight, your warmth. You become a half-whisper in the world of form.
While the spell is active:- You gain resistance to all damage except chiaric and cognitive.- You cannot physically interact with creatures or objects (you pass through doors but cannot open them; you cannot attack or cast spells requiring material components).- You are considered heavily obscured to creatures relying on normal sight and invisible in dim light or darkness.- You can move through non-magical objects and walls as if they were difficult terrain, but you take 1d10 void damage if you end your turn inside a solid object.</t>
  </si>
  <si>
    <t xml:space="preserve">
If you cast this spell using a 6th-level slot or higher, you may choose to phase through magical barriers (like Wall of Force) as long as you are not being directly observed.</t>
  </si>
  <si>
    <t>Something unknown has touched this magic, leaving behind traces of those who have cast it before.
The phantom ship *Elder’s Lament* was last seen adrift in the Void Sea, its captain having invoked Shadow's Embrace in a desperate bid to escape the Hunt. The ship is still seen, sometimes, but never in the same place twice.
The very air around Shadow's Embrace seems to recoil, as if reality itself wishes to avoid acknowledging its existence. It is a spell that should not be, yet is.</t>
  </si>
  <si>
    <t>A shred of black silk</t>
  </si>
  <si>
    <t>Sleep Theft</t>
  </si>
  <si>
    <t>Sexual, Restoration, BETA</t>
  </si>
  <si>
    <t>In the intimacy of flesh and fevered breath, the caster siphons the essence of slumber from their partner.
- After a shared act of passion, the target falls into an unnatural sleep for 1 hour per caster level.
- The caster awakens fully refreshed, as if they had slept those stolen hours.
- If the spell is cast repeatedly on the same victim, their dreams begin to fray, unraveling into visions of things best left unseen.
- If the target is asleep or unconscious, they automatically fail the saving throw against this spell.
- Some say the most powerful users of this spell never sleep at all, stealing rest from a hundred lovers.</t>
  </si>
  <si>
    <t>Surveillance Blackout</t>
  </si>
  <si>
    <t>Stealth</t>
  </si>
  <si>
    <t>Wizard, Bard, Ranger</t>
  </si>
  <si>
    <t>You create an anomalous interference field that disrupts all surveillance and recording devices within range.
- Security cameras, sensors, and microphones malfunction, either looping old footage, displaying static, or going completely dark.
- Magical scrying attempts have disadvantage, as their feed becomes distorted and unreliable.
- Observers viewing the affected area remotely must succeed on a Wisdom saving throw or be unable to recall what they saw.
 This spell does not grant invisibility but renders technological and magical observation highly unreliable.</t>
  </si>
  <si>
    <t>a cracked camera lens</t>
  </si>
  <si>
    <t>Chronoscour</t>
  </si>
  <si>
    <t xml:space="preserve">You unleash a violent pulse of temporal distortion that briefly accelerates and then reverses time for everything caught within it.  
Each creature in the area must make a Constitution saving throw. On a failed save, they take 6d8 temporal damage, their body suffering from cellular whiplash as it is forced to relive a few seconds of extreme physical stress in reverse and fast-forward. On a success, they take half damage.
Twist of Time: If a creature is reduced to 0 hit points by this spell, their body appears to freeze mid-motion for 1 round, during which they cannot be healed or revived by any means—time refuses to move forward for them.
</t>
  </si>
  <si>
    <t>&gt; "Time does not punish. It replays."  
&gt; —Inscription found near the sealed rift in Hollowwatch.</t>
  </si>
  <si>
    <t>a broken clock</t>
  </si>
  <si>
    <t>Thallan's Flecks of Repugnant Soap</t>
  </si>
  <si>
    <t>You cast a handful of impossibly dry, crumbling soap into the air. It dissolves mid-flight, releasing microscopic flecks of cleansing hatred that scour body, soul, and shame alike.
Each creature in a 20-foot-radius sphere centered on you must make a Constitution saving throw. On a failed save, a creature takes 11d4 biologic damage as the soap sears away impurities—real or imagined—with unrelenting force. On a successful save, they take half damage.
- Affected creatures are coated in a stinging residue for 1 minute. During this time, they emit a foul, antiseptic stench, suffer disadvantage on Charisma checks, and cannot benefit from healing spells unless they succeed on a Constitution saving throw at the start of their turn.
- Creatures without skin (undead, constructs, oozes) are immune to this spell.</t>
  </si>
  <si>
    <t>When casting this spell, roll a d20. On a 15 or higher: Reality trembles slightly. One creature hit by the spell experiences a childhood memory of being forcefully scrubbed clean, even if they never had one.</t>
  </si>
  <si>
    <t>powdered mortar</t>
  </si>
  <si>
    <t>Thallan's Hand of Craven Opal</t>
  </si>
  <si>
    <t>You call upon the maddening echoes of the Craven Opal, forcing the minds of your enemies to grasp fragments of truths too vast to bear. Choose up to three creatures within range. Each must make an Intelligence saving throw.
- On a failure, a creature takes 5d8 cognitive damage and has(disadvantage on Intelligence and Wisdom saving throws) until the end of its next turn.
- On a success, it takes half damage and suffers no other effect.
While concentrating on this spell, you may use your action on subsequent turns to target the same or different creatures within range (up to three again). Each new wave of insight echoes the original effect—forcing a new save, new damage.</t>
  </si>
  <si>
    <t>When cast using a spell slot of 5th level or higher, the initial damage increases by 1d8 for each slot level above 4th.</t>
  </si>
  <si>
    <t>Thallan was a scholar obsessed with knowledge not meant for mortals. When he finally beheld the Eye of the Craven Opal, his mind shattered, and his thoughts scattered into the void. Now, his name lingers in whispers, carried by unseen hands that claw at the minds of those who dare to reach for forbidden truths.
Legend says that Thallan's Hand of Craven Opal was first cast by the exiled wizard Iosephine Blackquill, who sought to trap a god within a single word. The spell succeeded—but the god did not remain silent for long.
The ancients who first uttered Thallan's Hand of Craven Opal did not record its effects, only their warnings: 'It does not unmake. It remembers. And it will remember you, too.'</t>
  </si>
  <si>
    <t>When you cast this spell, roll a d20. On a 15 or higher, you hear your own name whispered backwards. Make an Intelligence saving throw (DC 15). On a failure, you are Stunned until the end of your next turn as impossible knowledge surges through your mind.</t>
  </si>
  <si>
    <t>concentration</t>
  </si>
  <si>
    <t>powdered goat horn</t>
  </si>
  <si>
    <t>The Crawling Hunger</t>
  </si>
  <si>
    <t>You place a consuming need inside a creature, but it is not hunger for food—it is for something worse.
- The target must make a Wisdom saving throw. On a failure, they develop an insatiable hunger for a specific, forbidden thing, chosen randomly from the list below:
- The hunger cannot be resisted forever—every 24 hours without consuming the object, they take 2d6 cognitive damage.
- If they give in, they feel no satisfaction, only greater hunger.</t>
  </si>
  <si>
    <t>| Roll | Side Effect Description                                                                                                                                 |
|------|---------------------------------------------------------------------------------------------------------------------------------------------------------|
| 1    | Flesh of the Living – The target craves human flesh. They can resist, but only barely.                                                                 |
| 2    | Dead Voices – The target wants to chew on books, scrolls, and paper, consuming knowledge instead of food.                                              |
| 3    | Their Own Body – The target begins biting and gnawing at their own hands, arms, and lips when no one is looking.                                         |
| 4    | Glass and Metal – They find themselves chewing on shards of glass and rusted nails, feeling neither pain nor damage—but never satisfaction.             |
| 5    | Forgotten Names – The target whispers the names of those who have been erased from history, consuming their legacies with each repetition.              |
| 6    | Shadows – They try to eat lightless spaces, their mouth opening wider than it should when they stand in darkness.                                          |</t>
  </si>
  <si>
    <t>- If multiple creatures are cursed in the same location, they begin to crave each other, driven to a shared consumption.</t>
  </si>
  <si>
    <t>Permanent (until satiated)</t>
  </si>
  <si>
    <t>a shard of gnawed bone</t>
  </si>
  <si>
    <t>The Infinite Stare</t>
  </si>
  <si>
    <t>Unhinged, Debuff</t>
  </si>
  <si>
    <t>Paladin, Sorceror, Warlock</t>
  </si>
  <si>
    <t>Your eyes become vessels of an unknowable force—an unblinking, paradoxical void that reflects nothing and sees everything. You focus this unnatural stare on a single creature within range.
The target must succeed on a Charisma saving throw or become Obsessed with your gaze. While obsessed, the creature:
- Cannot avert its eyes from you and cannot willingly move more than 30 feet away.
- Suffers disadvantage on Wisdom and Intelligence checks and saving throws as its thoughts loop in recursive terror.
- Takes 2d6 cognitive damage at the start of each of its turns as your gaze frays its mental barriers.
The creature may attempt another saving throw at the end of each of its turns. On a success, the effect ends.</t>
  </si>
  <si>
    <t>At Higher Levels.
When you cast this spell using a spell slot of 6th level or higher, the damage increases by 1d6 for each level beyond 4th. At 6th level and above, the creature is also Frightened of you for the first round after failing.</t>
  </si>
  <si>
    <t>The Veil Market traders whisper of an artifact that contains The Infinite Stare—a single black page that cannot be burned, torn, or marked. Those who read it vanish, leaving behind only the scent of ink and decay.
The Elders of the Concord Spire refuse to acknowledge The Infinite Stare, calling it 'a mistake in the fabric of the world.' Yet, the forbidden archives tell another story.</t>
  </si>
  <si>
    <t>When casting this spell, roll a d20. On a 15 or higher:
Your eyes glow with ink-black light, and any creature that can see you must make a Wisdom saving throw or be unable to lie until the start of your next turn.</t>
  </si>
  <si>
    <t>Single target</t>
  </si>
  <si>
    <t>A perfectly round marble</t>
  </si>
  <si>
    <t>The Ticking Man’s Favor</t>
  </si>
  <si>
    <t>BETA, Buff</t>
  </si>
  <si>
    <t>Warlock, Bard</t>
  </si>
  <si>
    <t>You grant a creature the blessing of the Ticking Man, a timeless entity whose debts must always be paid.
- The target gains +1 to AC and saving throws while the spell is active.
- At any time within 24 hours, the Ticking Man may call in the favor, forcing the target to perform one action or request, no matter the cost.
- If the request is refused, the target immediately ages 2d20 years and loses the benefits of the spell.</t>
  </si>
  <si>
    <t>a pocket watch with no hands</t>
  </si>
  <si>
    <t>Irradiant Lance</t>
  </si>
  <si>
    <t>Damage, BETA, Atomic</t>
  </si>
  <si>
    <t>Bard, Warlock, Cleric, Paladin</t>
  </si>
  <si>
    <t xml:space="preserve">You unleash a concentrated beam of unstable, pyric energy in a 5-foot-wide, 60-foot-long line.
- Each creature in the line must make a Dexterity saving throw. On a failed save, they take 6d8 pyric damage, or half as much on a success.  
- The beam burns a visible scar of irradiated energy across every surface it touches.
Radiation Effect:  
For as long as you maintain concentration, the scorched path emits low-level radiation:
- Any creature that starts its turn within 10 feet of the irradiated scar takes 1d4 radiation damage.  
- If a creature receives any healing, magical or mundane, this damage no longer affects them unless they re-enter the area after being healed.
</t>
  </si>
  <si>
    <t>The beam doesn't stop at the body—it writes sickness into the air, the walls, the bones of the world.</t>
  </si>
  <si>
    <t>On a roll of 15 or higher while casting, the lance splits briefly at a 45-degree angle, creating a secondary irradiated scar that lasts for 1 round and deals half damage.</t>
  </si>
  <si>
    <t>5 ft wide, 60 ft long line</t>
  </si>
  <si>
    <t>a small piece of radioactive isotopes</t>
  </si>
  <si>
    <t>Refraction of Self</t>
  </si>
  <si>
    <t>Sorceror, Wizard, Warlock</t>
  </si>
  <si>
    <t>Your form fractures slightly from this world, your outline flickering and bending at unnatural angles. When injured, reality itself offers you an escape—but not always a reliable one.
While this spell is active, each time you take damage, you may immediately teleport up to 20 feet to an unoccupied space you can see. This reaction does not cost an action or reaction.
You must have line of sight to teleport intentionally. If no valid space exists, the teleportation fails.
While this spell is active, you cast no reflection on reflective surfaces</t>
  </si>
  <si>
    <t>At Higher Levels.
When cast using a spell slot of 6th level or higher, your controlled teleportation range increases to 30 feet.</t>
  </si>
  <si>
    <t>In the city of Concord, Unstable Reality Surge is outlawed, for it was once used by the cult of the Silent Maw to unmake a senator in broad daylight. Witnesses swore they saw his shadow scream before vanishing entirely.
Those who cast Unstable Reality Surge often find that they dream differently afterward. They dream of corridors that stretch into infinity, doors that lead to places older than time.</t>
  </si>
  <si>
    <t>When casting this spell, roll a d20. On a 15 or higher:
Reality trembles slightly, and for the next minute, shadows of your previous movements flicker half a second behind you. Enemies have disadvantage on opportunity attacks against you.</t>
  </si>
  <si>
    <t>A shard of a broken mirror</t>
  </si>
  <si>
    <t>Yarol's Veil</t>
  </si>
  <si>
    <t>Unhinged, Utility, Rework, BETA</t>
  </si>
  <si>
    <t>You wrap yourself in the forgotten script of Yarol, creating a mobile sphere of veiled perception. For the duration, all creatures of your choice within a 30-foot radius of you become invisible. The area of effect moves with you, but the spell ends early if you move faster than half your speed, cast a spell, or make an attack.
Objects not held or worn remain visible, even if within the veil. Items carried by invisible creatures vanish along with them. Light, sound, and scent still pass through the veil—this is not silence, only obfuscation.
Creatures under this effect become heavily obscured to others, but not to one another—those within can still see each other clearly, as if the veil exists only to conceal them from the outside world.</t>
  </si>
  <si>
    <t>The Veil Market traders whisper of an artifact that contains Yarol's Veil—a single black page that cannot be burned, torn, or marked. Those who read it vanish, leaving behind only the scent of ink and decay.
The Elders of the Concord Spire refuse to acknowledge Yarol's Veil, calling it 'a mistake in the fabric of the world.' Yet, the forbidden archives tell another story.</t>
  </si>
  <si>
    <t>Sphere/30 ft</t>
  </si>
  <si>
    <t>nail clippings</t>
  </si>
  <si>
    <t>Blasphemer’s Undoing</t>
  </si>
  <si>
    <t>When a creature who has dealt necrotic damage in the past 24 hours enters Sanctified Terrain, you may call upon the terrain itself to reject them.
They must make a Constitution saving throw or take:- 6d6 chiaric damage- Become Incapacitated until the end of their next turn if they fail by 5 or more
On a success, they take half damage and are not incapacitated.</t>
  </si>
  <si>
    <t>when a creature enters sanctified terrain</t>
  </si>
  <si>
    <t>a torn holy symbol</t>
  </si>
  <si>
    <t>Urban Verdancy</t>
  </si>
  <si>
    <t>You summon aggressive plant life adapted to industrial ruin—twisting vines, mosses, and rust-coated thorns that erupt from the concrete. The area becomes difficult terrain for all creatures. When a creature starts its turn there, they must succeed on a Strength saving throw or be restrained by overgrowth until the start of their next turn.
- You can spend your bonus action to move the overgrowth 10 feet along a surface (wall or floor).
- Constructs and inorganic creatures make the save with disadvantage.</t>
  </si>
  <si>
    <t>20 ft radius</t>
  </si>
  <si>
    <t>a seed embedded in concrete</t>
  </si>
  <si>
    <t>Concrete Communion</t>
  </si>
  <si>
    <t>You link with a structure made of stone, concrete, or rebar-infused architecture. For the duration, you can:
- Sense all movement within the structure (up to 60 feet from your location).
- Speak to the structure in broken impressions—learning the last creature who entered it, what damaged it recently, or if anyone is currently inside.
- You can also restore or fracture one 10-foot portion of the structure once during the duration (repair 30 HP or deal 6d6 force damage to weaken it).</t>
  </si>
  <si>
    <t>touch</t>
  </si>
  <si>
    <t>a cracked stone with a spiral drawn in chalk</t>
  </si>
  <si>
    <t>Industrial Entropy</t>
  </si>
  <si>
    <t>Choose a point on the ground. A 30-foot-radius sphere erupts with rust, oil, and structural degradation. Each turn a creature starts its turn in the area, they must make a Constitution saving throw or:
- Take 4d6 acid damage.
- Have their non-magical weapons corrode (disadvantage for 1 round).
- Constructs make this save with disadvantage.
You may move the sphere 10 feet as a bonus action.</t>
  </si>
  <si>
    <t>a drop of rusted oil</t>
  </si>
  <si>
    <t>Subsurface Surge</t>
  </si>
  <si>
    <t>You rupture the terrain beneath your enemies. Choose a 30-foot cube of ground composed of urban or industrial material—concrete, asphalt, or metal. The area fractures and collapses, causing all creatures in the zone to make a Dexterity saving throw. On a fail, they take 6d8 bludgeoning damage and fall prone. On success, they take half damage and remain standing.
- Structures in the area take maximum damage and may collapse at DM discretion.
- Difficult terrain remains in the area until cleared.</t>
  </si>
  <si>
    <t>90 feet</t>
  </si>
  <si>
    <t>30 ft cube</t>
  </si>
  <si>
    <t>a piece of cracked asphalt</t>
  </si>
  <si>
    <t>A.S.T.R.A.L. Redaction</t>
  </si>
  <si>
    <t>A.S.T.R.A.L.</t>
  </si>
  <si>
    <t>5th-level</t>
  </si>
  <si>
    <t>You purge all traces of a target from bureaucratic and digital records, making it appear as though they never existed.
- All legal, corporate, and governmental archives remove mentions of the target.
- Anyone attempting to recall or reference the target must make a DC 18 Intelligence saving throw, or they recall only vague, contradictory memories.
- If the target is alive, they are now considered a "non-entity"—unable to be tracked, processed, or employed legally.</t>
  </si>
  <si>
    <t>a classified document burned to ash</t>
  </si>
  <si>
    <t>Artificial Synchronicity</t>
  </si>
  <si>
    <t>Cleric, Wizard, Paladin, Druid, Sorceror, Bard</t>
  </si>
  <si>
    <t>You bind the nervous rhythms of two willing creatures into perfect alignment, creating a temporary harmonic feedback loop between their minds and bodies. While within 10 feet of each other, the paired creatures experience the following effects:
- Combat Harmony: They gain advantage on all attack rolls made while near each other.  
- Cognitive Buffering: They both gain resistance to cognitive damage.  
- Synaptic Link: They can communicate telepathically for the duration.  
- Reactive Dissonance: When one takes damage, the other may use their reaction to absorb half of it, splitting the harm across both bodies.
The link feels like an artificial heartbeat humming between them—steady, precise, and faintly electric. If either target becomes unwilling or unconscious, the spell ends immediately.</t>
  </si>
  <si>
    <t>two interlocked wires</t>
  </si>
  <si>
    <t>Chrono-Administrative Delay</t>
  </si>
  <si>
    <t>You delay the effects of an action, spell, or attack by one round. The affected action still happens, but only after a bureaucratically determined amount of time has passed—enemies and allies alike feel the weight of red tape preventing immediate resolution.</t>
  </si>
  <si>
    <t>a stamped bureaucratic delay request, attached to a clock frozen at the moment of submission</t>
  </si>
  <si>
    <t>Requires a corporate-issued authorization stamp. Unregistered delays may be flagged for administrative review.</t>
  </si>
  <si>
    <t>Using this spell more than once within 24 hours inflicts Moderate Arcane Strain.</t>
  </si>
  <si>
    <t>Ciphered Message</t>
  </si>
  <si>
    <t>You encrypt a message into a magical cipher, ensuring that only the intended recipient can read or hear it. Any unauthorized entity attempting to intercept the message sees random gibberish or hears static interference.
The recipient receives the message via a paranormal medium (a flickering holoscreen, whispered transmission, or ghostly text). If the message is not received within 7 days, it self-destructs.</t>
  </si>
  <si>
    <t>Until received or destroyed</t>
  </si>
  <si>
    <t>a sealed letter or digital passkey</t>
  </si>
  <si>
    <t>Classified Information Leak</t>
  </si>
  <si>
    <t>Wizard, Cleric, Paladin, Sorceror, Bard</t>
  </si>
  <si>
    <t xml:space="preserve">You unseal a forgotten corporate secret so damning it collapses reality around a target.
Choose one creature within range. The target must succeed on an Intelligence saving throw or suffer the following effects:
- Take 6d10 cognitive damage as the weight of hidden knowledge ruptures their thoughts.  
- For 1 minute, the target suffers disadvantage on Intelligence and Charisma checks as their mind reels from the implications.  
On a successful save, the target takes half damage and suffers no further effect.  
</t>
  </si>
  <si>
    <t>&gt; Some secrets are buried not to be forgotten, but to protect the minds of those too fragile to carry them  
&gt; The truth doesn’t just set you free—it unravels you.</t>
  </si>
  <si>
    <t>a shredded classified document</t>
  </si>
  <si>
    <t>Corporate Bureaucratic Delay</t>
  </si>
  <si>
    <t>With a weaponized application of administrative inefficiency, you impose a mandatory review process on your target, delaying their next action by one full round.
The target must make a Wisdom saving throw. On a failure:
- Their action does not occur until the start of their next turn.
- If they attempt to resist the delay, they must spend their bonus action and reaction attempting to "process" the action instead of completing it.
- If the spell is countered by a corporate-affiliated caster, both casters must roll competing Intelligence checks to determine whose bureaucratic force wins out.
Additional Effect: If cast against an entity that operates under strict corporate, military, or legal structures, they suffer disadvantage on the save.</t>
  </si>
  <si>
    <t>when a creature within range attempts an action</t>
  </si>
  <si>
    <t>a signed corporate policy document</t>
  </si>
  <si>
    <t>Corporate Detox Protocol</t>
  </si>
  <si>
    <t>You purge a target’s system of foreign influence, toxins, and corporate-induced conditioning.
- Removes all poison, disease, and chemical dependency effects (including corporate medication dependencies).
- Breaks long-term mind control, conditioning, and subliminal programming (such as Corporate Employee Optimization or A.S.T.R.A.L. Neuro-Compliance).
- Restores sanity to a creature affected by cognitive trauma, corporate brainwashing, or deep conditioning.</t>
  </si>
  <si>
    <t>- At 7th level, the spell also removes cursed cybernetic implants or mind-controlling artifacts.</t>
  </si>
  <si>
    <t>a vial of sterile solution</t>
  </si>
  <si>
    <t>Corporate Insurance Policy</t>
  </si>
  <si>
    <t>Restoration, Healing, BETA</t>
  </si>
  <si>
    <t>The target is insured against death for the next 24 hours. If they die, they are immediately revived with half their maximum hit points, but they owe a significant favor to the entity that funded their return.</t>
  </si>
  <si>
    <t>a signed legal contract</t>
  </si>
  <si>
    <t>Digital Ghost</t>
  </si>
  <si>
    <t>Wizard, Cleric, Druid</t>
  </si>
  <si>
    <t>The soul of a recently deceased creature is uploaded into a technological system instead of passing on. Their essence lingers in the digital realm, allowing them to communicate, interact with data, and haunt technology within the range.</t>
  </si>
  <si>
    <t>a broken computer chip</t>
  </si>
  <si>
    <t>Moderate Arcane Strain – Fragmented consciousness, occasional memory distortion.</t>
  </si>
  <si>
    <t>Echoes of the Forgotten</t>
  </si>
  <si>
    <t>Unhinged, Debuff, Rework</t>
  </si>
  <si>
    <t>Wizard, Warlock, Sorceror</t>
  </si>
  <si>
    <t>You fracture the veil of memory and call forth the voices of the long-dead—those whose names were erased, whose deaths were forgotten. In a 20-foot-radius sphere centered on a point within range, spectral murmurs begin to rise, growing louder until they echo with unbearable presence.
Each creature in the area must make a Wisdom saving throw. On a failure, they are frightened and deafened for the duration. While frightened in this way, they perceive haunting whispers describing their worst regrets, lost memories, or alternate lives that could have been.
A creature that ends its turn in the area must repeat the saving throw.</t>
  </si>
  <si>
    <t>At Higher Levels. When cast with a spell slot of 7th level or higher, affected creatures also take 3d6 cognitive damage at the start of each turn they remain in the area.</t>
  </si>
  <si>
    <t>The last known user of Echoes of the Forgotten, the warlock Darsil Veil, was found with his eyes hollowed out and his veins scorched black. His journal spoke of 'the whispering ones' who demanded a price for forbidden knowledge.
There are words that should not be spoken, thoughts that should not be held. Echoes of the Forgotten is one such secret—a spell that fractures reality just enough for something else to listen.</t>
  </si>
  <si>
    <t>A whisper trapped in a glass vial</t>
  </si>
  <si>
    <t>Existential Debt</t>
  </si>
  <si>
    <t>BETA, Influence</t>
  </si>
  <si>
    <t>You impose an unavoidable debt upon the target, compelling them to fulfill an obligation tied to their very being.
 The target must make a Charisma saving throw. On a failure:
- They become existentially bound to the caster, compelled to follow one command that does not directly endanger their life.
- If they resist the obligation, they suffer 2d10 cognitive damage at the start of each of their turns.
- If the target dies while under this spell, their soul is held in escrow, awaiting transfer.
 The debt can be transferred to another willing entity via a ritual requiring 10 minutes and a secondary Charisma saving throw.</t>
  </si>
  <si>
    <t>a signed contract infused with a drop of the target’s blood</t>
  </si>
  <si>
    <t>Fleshsmith’s Alloy</t>
  </si>
  <si>
    <t>BETA, Utility</t>
  </si>
  <si>
    <t>Ranger, Paladin, Druid</t>
  </si>
  <si>
    <t>You heat iron, steel, or bone, mixing it with living flesh, forging them together into a hybrid alloy that feels both warm and cold to the touch.
- This does not create a living creature—it creates an object that remembers pain, warmth, and hunger.
- Flesh-infused metal moves slightly when held, adjusting to its wielder’s grip.
- If used in armor, it twitches and flexes on impact, slightly reducing damage.
- If used in a weapon, it drinks the blood it spills, remaining polished even after battle.
- If destroyed, the material screams.</t>
  </si>
  <si>
    <t>- If multiple pieces of flesh-forged metal are stored together, they may merge into something else, something that resents its creation.</t>
  </si>
  <si>
    <t>a severed limb, still warm</t>
  </si>
  <si>
    <t>Paranormal Expense Report</t>
  </si>
  <si>
    <t>You force a creature to justify their existence within this reality. The target must make a Charisma saving throw or be rendered immaterial for 1 minute, unable to interact with the world. If they are native to this reality, they roll with advantage.</t>
  </si>
  <si>
    <t>a stamped and signed document</t>
  </si>
  <si>
    <t>Permanent Record</t>
  </si>
  <si>
    <t>You extract the complete metaphysical profile of a target creature—its memories, choices, emotional imprints, and karmic residue—manifesting as an encoded construct known as a Permanent Record. The target must be willing, restrained, unconscious, or under a compulsion effect.
Once extracted, the record can be:
- Uploaded to an A.S.T.R.A.L. database, where it becomes permanently trackable across dimensions and planar boundaries.
- Altered with a successful Intelligence (Forgery) check (DC = 10 + target’s level or CR), allowing you to rewrite elements of their identity (alignment, history, public record, or even magical marks).
- Obscured, making the target immune to divination and tracking effects (e.g., Bullet Trace, Automated Surveillance, Permanent Record) for 7 days. Only Greater Restoration, Wish, or a successful Remove Curse cast at 6th level can reverse the obfuscation.
A creature whose record is altered becomes Altered until restored. Spells that rely on identity or consent may behave unpredictably.</t>
  </si>
  <si>
    <t>No way to Remove Curses</t>
  </si>
  <si>
    <t>a government-issued ID</t>
  </si>
  <si>
    <t>Rapid Reload</t>
  </si>
  <si>
    <t>Utility, Firearm, BETA</t>
  </si>
  <si>
    <t>Your reflexes are enhanced, allowing instantaneous reloading of firearms. You ignore the loading property on firearms and gain advantage on initiative rolls for the duration.</t>
  </si>
  <si>
    <t>9 rounds</t>
  </si>
  <si>
    <t>Reality Fracture</t>
  </si>
  <si>
    <t>Sorceror, Paladin</t>
  </si>
  <si>
    <t>You rupture local reality, creating a 20-foot sphere of spatial instability. At the start of each creature’s turn inside the zone, they must make a Constitution saving throw or take 4d10 impact damage as their bodies struggle to remain cohesive. The area is difficult terrain, and teleportation automatically fails within it.</t>
  </si>
  <si>
    <t>a shard of broken glass</t>
  </si>
  <si>
    <t>Reality Integrity Protocol</t>
  </si>
  <si>
    <t>You project a metaphysical failsafe that prevents involuntary memory alteration and data corruption within a 10-foot radius sphere.
- Any attempt to erase, fragment, or overwrite memories in this area automatically fails.
- Spells like Memory Fragmentation, Compliance Protocol, and A.S.T.R.A.L. Redaction are nullified within the field.
- Digital and paper records within the field are temporarily immune to deletion by magical or technological means.</t>
  </si>
  <si>
    <t>- At 7th level, the radius extends to 30 feet, covering an entire room.
- At 9th level, the effect becomes permanent in a fixed location, creating an anti-redaction zone.</t>
  </si>
  <si>
    <t>a static-charged copper wire</t>
  </si>
  <si>
    <t>Reversed Gravity Bubble</t>
  </si>
  <si>
    <t>Unhinged, BETA</t>
  </si>
  <si>
    <t>You create a shimmering sphere of warped gravitational pull, 10 feet in radius, centered on a point within range. Within this bubble, gravity reverses erratically, pulling objects and creatures toward the ceiling, sideways, or suspending them in a nauseating spin.
Effects on Casting:- All creatures in the area must make a Dexterity saving throw.- On a failure, a creature is flung 20 feet straight upward, taking fall damage (2d6) upon descent unless they can catch themselves or land safely.- On a success, the creature manages to stabilize but still floats awkwardly, suffering disadvantage on Strength and Dexterity checks until they exit the area.
Ongoing Effects (Each Round):
At the start of each of your turns while concentration is maintained:- Roll a d4 to determine the gravitational direction.
Creatures that remain in the area suffer mild disorientation and have disadvantage on ranged attacks and Dexterity saving throws while inside the sphere.</t>
  </si>
  <si>
    <t>| d4 Roll | Gravity Surge Effect                                                                 |
|---------|---------------------------------------------------------------------------------------|
| 1       | Upward – Creatures must make a Dexterity save or be lifted again.               |
| 2       | Sideways (caster’s left) – Creatures are thrown 10 feet to the side, potentially colliding with surfaces. |
| 3       | Downward Surge – Gravity doubles briefly; all movement is halved and unsecured objects slam to the ground (1d6 damage). |
| 4       | Zero-G Lull – Creatures float freely, unable to take reactions until the start of their next turn. |</t>
  </si>
  <si>
    <t>If cast using a 7th-level spell slot or higher, the gravitational direction changes at the start of every creature’s turn instead of only the caster’s.</t>
  </si>
  <si>
    <t>Deep within the catacombs of Old Concord, the walls bear carvings of Reversed Gravity Bubble. The inscriptions shift when unobserved, as if the stone itself is trying to remember something it once forgot.
Some scholars believe that Reversed Gravity Bubble was not invented, but rather discovered—a piece of an equation written in the bones of the world itself.</t>
  </si>
  <si>
    <t>When casting this spell, roll a d20. On a result of 15 or higher, reality ripples strangely. Loose objects in a 60-foot radius briefly levitate an inch off the ground, then drop.</t>
  </si>
  <si>
    <t>10-foot-radius sphere</t>
  </si>
  <si>
    <t>A drop of mercury</t>
  </si>
  <si>
    <t>Saturation Field</t>
  </si>
  <si>
    <t>Technology</t>
  </si>
  <si>
    <t>Cleric, Wizard, Sorceror</t>
  </si>
  <si>
    <t>A field of energy disrupts magic and technology. Any spells of 5th level or lower automatically fail, and creatures with cybernetic implants or magic item attunements must make a Constitution saving throw or be stunned until the start of their next turn.</t>
  </si>
  <si>
    <t>30 feet (10-feet radius)</t>
  </si>
  <si>
    <t>a speaker emitting white noise</t>
  </si>
  <si>
    <t>Spectral Retraction</t>
  </si>
  <si>
    <t>Shoving, BETA</t>
  </si>
  <si>
    <t xml:space="preserve">You invoke an invisible tether of force that violently pulls a creature backward through the path it came.
Choose one creature within range. That target must succeed on a Strength saving throw or be dragged up to 30 feet in a straight line toward the space it occupied at the start of its previous turn.
- If the target collides with a solid object or creature during this forced movement, it takes 6d12 void damage, and the object or creature it struck takes half as much.
- On a successful save, the target is not moved, but still takes half damage from the forceful retraction.
</t>
  </si>
  <si>
    <t>System Breach</t>
  </si>
  <si>
    <t>Paladin, Druid</t>
  </si>
  <si>
    <t>You rewrite the physical properties of a surface to grant temporary, anomalous passage.
- Choose a solid non-magical wall, vault, or reinforced surface no more than 5 feet thick. You create a 10-foot long, 5-foot wide tunnel that reshapes the material around you.
- The tunnel is semi-translucent, shimmering with glitching static and rippling light.
- The tunnel closes behind you after 1 round unless you maintain concentration, in which case it persists for the spell's duration.
- The tunnel cannot be created through living creatures or organic matter.
Warded or Magical Surfaces:  
If the surface is protected by magical wards or is made of enchanted material, make an Arcana check (DC = 10 + spell level of the warding effect). On a failure, the spell fizzles harmlessly, and your spell slot is not expended.</t>
  </si>
  <si>
    <t xml:space="preserve">  
When cast using a 6th-level spell slot or higher, the maximum surface thickness increases by 5 feet for each slot level above 5th.</t>
  </si>
  <si>
    <t>a broken firewall key</t>
  </si>
  <si>
    <t>Thaumaturgic Firewall</t>
  </si>
  <si>
    <t>Wall</t>
  </si>
  <si>
    <t>Wizard, Cleric, Bard</t>
  </si>
  <si>
    <t xml:space="preserve">- Any creature attempting to teleport, phase shift, or enter the area via extradimensional travel must succeed on a Charisma saving throw.
- On a failed save, they are forcibly bounced back to their point of origin and take 4d6 void damage as the firewall briefly stabilizes their reality—violently.
- Creatures that attempt to cross into the firewall without magical travel feel a pressure in the air but suffer no immediate effect unless the area is layered with other wards.
- The firewall emits a low-frequency pulse only detectable to those attuned to arcane signals. To most, it appears as empty space.
</t>
  </si>
  <si>
    <t>Missing a bit of info. and Is it a wall or a zone?</t>
  </si>
  <si>
    <t>Firewall protocols were originally adapted from Thaumatech incident logs and reverse-engineered from a failed dimensional quarantine. The area is considered mildly anomalous during the spell’s duration.</t>
  </si>
  <si>
    <t>a burned-out hard drive</t>
  </si>
  <si>
    <t>The Price of Names</t>
  </si>
  <si>
    <t>BETA, Blood Pact</t>
  </si>
  <si>
    <t>You strip power from a target’s true name, making them vulnerable.
- The target has disadvantage on all saving throws against effects that explicitly name them in their casting, inscription, or invocation (such as through a name spoken aloud, signed in a document, or used in a ritual).
- Any creature who speaks the target’s name aloud can sense the direction (not exact location) of the target within 1 mile, provided the target is on the same plane.
- This effect ends if the name is burned, rewritten, legally nullified, or exchanged through sanctioned rites (as negotiated through an A.S.T.R.A.L. broker or similar agent).</t>
  </si>
  <si>
    <t>1 week</t>
  </si>
  <si>
    <t>a legal document dissolving the target’s identity, signed in willing blood</t>
  </si>
  <si>
    <t>True name etchings must be obtained through sanctioned rites or eldritch brokers.</t>
  </si>
  <si>
    <t>Unauthorized Spatial Breach</t>
  </si>
  <si>
    <t>Transport, BETA</t>
  </si>
  <si>
    <t>You forcefully tear open a 30-foot-wide unstable rift between your location and another point you can see within range. This portal remains open for the duration or until your concentration is broken.
- Any creature may step through the rift as a movement action, arriving instantly at the destination point.
- Creatures must return through the same rift before the spell ends. If they do not, they are trapped between unstable dimensional layers.
&gt; While trapped:
- Affected creatures cannot be targeted, located, or communicated with by any means.
- After 1d6 hours, they are forcibly ejected into the nearest safe, unoccupied space near the original destination.
- Upon return, they suffer 3d10 distortive damage from temporal and spatial disorientation.
If the caster ends the spell voluntarily or is incapacitated, the rift collapses immediately.</t>
  </si>
  <si>
    <t>a corrupted A.S.T.R.A.L. passcode</t>
  </si>
  <si>
    <t>Atomic Sting</t>
  </si>
  <si>
    <t>Damage, Atomic, BETA</t>
  </si>
  <si>
    <t>Bard, Warlock, Paladin, Druid</t>
  </si>
  <si>
    <t xml:space="preserve">You jab the target with a concentrated arc of mutagenic force—an invisible sting of unstable energy. On contact, the target suffers 6d10 radiation damage and becomes contaminated for the duration. A faint, glowing scar in the shape of a barbed sting appears where they were struck.
While contaminated:
- The target emits low-level radiation in a 5-foot radius.
- Any creature that starts its turn within 5 feet of the target (excluding you) takes 1d6 radiation damage.
- The target takes 1d4 radiation damage at the start of each of their turns as their body fails to contain the energy.
- The contamination spreads: Any creature that ends its turn grappling or touching the target also becomes contaminated until the spell ends.
If the affected target receives any magical healing, the contamination ends for them, but the sting scar remains unless removed by Arcane Sterilization or Sigil of Restoration.
</t>
  </si>
  <si>
    <t>&gt; “The sting doesn’t kill you. It kills your presence—makes you the danger.”  
&gt; — Whispered at the ASTRAL quarantine labs</t>
  </si>
  <si>
    <t xml:space="preserve">On a 15 or higher when casting: The sting pulses again one round later, forcing the target to make a new Constitution saving throw or take an additional 2d10 radiation damage.
</t>
  </si>
  <si>
    <t>a shard of irradiated glass</t>
  </si>
  <si>
    <t>Witness of the Veil</t>
  </si>
  <si>
    <t>Cleric, Wizard, Warlock, Sorceror, Bard</t>
  </si>
  <si>
    <t>You force a target to see what should remain unseen.
- The target must make a Wisdom saving throw (DC 17) or become paranoid, seeing shadowy figures lurking just beyond their vision.
- While paranoid, the target has disadvantage on Perception checks and must roll a d6 at the start of each turn:
The effect ends early if the target passes three consecutive Wisdom saves or if a a restoration spell is cast.</t>
  </si>
  <si>
    <t>| Roll  | Side Effect Description                                                            |
|-------|------------------------------------------------------------------------------------|
| 1–3   | The hallucinations whisper terrible secrets, causing 2d8 cognitive damage.         |
| 4–6   | The target acts normally but remains unnerved.                                   |</t>
  </si>
  <si>
    <t>an unblinking glass eye</t>
  </si>
  <si>
    <t>Womb of the Unwritten</t>
  </si>
  <si>
    <t>Cleric, Wizard, Warlock</t>
  </si>
  <si>
    <t>You whisper an incantation not meant for mortal tongues, invoking the presence of something that waits between fate and flesh. The spell rewrites the biological continuity of the target’s reproductive essence, severing it from natural law and entangling it with the unknown.
- Upon casting, the target must roll a d6—their fate is dictated by an unseen force:
- The change is not immediately noticed—it takes effect subtly, like a whisper embedded in the fabric of their being.
- Any attempt to reverse the effect without understanding it risks creating a secondary anomaly, potentially rewriting the target’s entire genetic structure.</t>
  </si>
  <si>
    <t>| Roll  | Side Effect Description                                                                                                                                                                |
|-------|----------------------------------------------------------------------------------------------------------------------------------------------------------------------------------------|
| 1–2   | Fertility Erasure – The target is forgotten by the lineage of time; they can no longer conceive, and records of their ancestry begin to fade from existence.                       |
| 3–4   | Unstable Genesis – The target’s fertility is unpredictably altered, capable of conception or sterility depending on external anomalies—moon phases, forgotten dreams, or whispers. |
| 5     | Fractured Inheritance – Any offspring conceived by the target will inherit memories, scars, or traits from an unknown progenitor, one that never lived yet has always existed.     |
| 6     | The Unborn Take Root – The target experiences a phantasmal pregnancy, feeling the weight of something growing within them—yet no child is ever born, only a presence that lingers. |</t>
  </si>
  <si>
    <t>If the spell is interrupted mid-cast, all present individuals are momentarily connected by a shared bloodline, as if they were part of an unseen genealogical tree that should not exist.</t>
  </si>
  <si>
    <t>Permanent (until the anomaly resolves itself)</t>
  </si>
  <si>
    <t>a drop of void-infused ink, absorbed into the skin</t>
  </si>
  <si>
    <t>Thallan's Consuming Lance</t>
  </si>
  <si>
    <t xml:space="preserve">
You launch a pulse of cursed energy in a straight 120-foot line, lashing through all creatures in its path. Each creature in the line must make a Constitution saving throw.
- On a failure, the creature becomes Cursed by the Lance for the duration and takes 2d8 chiaric damage.  
- On a success, the creature takes half damage and is not cursed.
While Cursed by the Lance:
- If the creature dies, its body detonates in a burst of radiant decay, dealing 2d6 chiaric damage to all creatures within 10 feet.
- Any creature killed by this explosion while also under the curse triggers a new detonation, potentially chaining across the battlefield.
- Cursed creatures emit a faint hum of inverted sound, and their veins glow faintly with impossible colors.
</t>
  </si>
  <si>
    <t>Level 6</t>
  </si>
  <si>
    <t xml:space="preserve">  
When cast using a spell slot of 8th level or higher, the initial damage increases by 1d10 for each level beyond 7th, and the explosion damage increases by 1d6.</t>
  </si>
  <si>
    <t xml:space="preserve">
The rogue artificer Veyl Renshaw designed an enchanted device that could replicate Thallan's Consuming Lance. She activated it only once—her house was later found standing, but all its doors opened into an endless void.
To cast Thallan's Consuming Lance is to invite a presence that does not belong. The words taste of static, the gestures feel like echoes of hands not your own.</t>
  </si>
  <si>
    <t xml:space="preserve">When casting this spell, roll a d20. On a 15 or higher:  
A ghostly lance of light pierces the sky above you, flickering between real and not. For 1 round, you gain truesight in the direction the spell was cast.
</t>
  </si>
  <si>
    <t>Line/120 ft</t>
  </si>
  <si>
    <t>Power Word: Unravel</t>
  </si>
  <si>
    <t>Bard, Warlock, Sorceror</t>
  </si>
  <si>
    <t>6th-level</t>
  </si>
  <si>
    <t>You speak a single, forbidden syllable: A sonic anomaly that cuts beneath thought, identity, and social constraint. The moment it leaves your lips, the word spreads like an invisible shockwave, slipping past armor, modesty, and mental fortitude.
Every creature within 60 feet of you who can hear the word, including yourself, must succeed on a Wisdom saving throw or be compelled to immediately strip all worn items, including clothing, armor, uniforms, accessories, magical attire, and identity-linked gear.
Affected creatures drop whatever they are holding and use their next movement and action (if able) to completely disrobe, regardless of current danger, weather, or social context. The compulsion lasts until the creature has removed all items or is incapacitated.
- The caster is not immune.
- Creatures immune to being charmed are unaffected.
- Deafened creatures or those in soundproof areas are unaffected.
- Constructs or creatures that do not wear gear are unaffected.
- If a creature removes magical protective gear, their AC may drop, and spell effects tied to those items end as usual.
Additional Effects
In addition to its physical effect, the power word unravels falsehoods.
- All illusions, glamers, disguises, and non-permanent magical concealments affecting creatures in range are immediately dispelled, as if targeted by dispel magic.
- Creatures under effects such as disguise self, invisibility, or illusion-based shapeshifting are revealed in their true forms for 1 minute.</t>
  </si>
  <si>
    <t>In Concord City, this spell is classified as a Class-7 Disruption Event by A.S.T.R.A.L. It was banned after the Incident at the Ivory Banquet, where two boardrooms and an entire opera house experienced simultaneous disrobing. The name of the word remains unrecorded. Those who try to repeat it often bite through their tongues.</t>
  </si>
  <si>
    <t>Thermal Discontinuity</t>
  </si>
  <si>
    <t>You rupture the thermal equilibrium of a target, causing heat to violently evacuate their body into the surrounding air. Choose one creature within range.
        •        The target must make a Constitution saving throw.
        •        On a failure, it takes 5d10 cryonic damage and suffers disadvantage on its next weapon attack, as its limbs go numb and rigid.
        •        On a success, it takes half damage and suffers no further effects.
If the target is touching metal or standing on a conductive surface, all creatures within 10 feet of it also take 1d6 cold damage from the thermal backlash.</t>
  </si>
  <si>
    <t>a cracked thermos lid</t>
  </si>
  <si>
    <t xml:space="preserve">Prism Shear  </t>
  </si>
  <si>
    <t>You unleash a pulse of pure polarity—light and shadow intertwined and tearing at each other with violent intensity. This unstable radiance converges on a creature within range, attempting to shear their essence between illumination and oblivion.
The target must make a Constitution saving throw. On a failure, they take 12d10 chiaric damage, pulled between the blinding burn of light and the consuming void of shadow. On a success, they take half damage.
If the target is reduced to 0 hit points by this spell, their form is torn into two halves—one vanishing in a beam of searing light, the other collapsing into inky residue.</t>
  </si>
  <si>
    <t>Some believe Prism Shear is not a spell at all, but a fragment of a failed cosmic division, invoked and weaponized by mortals who never should have touched it.</t>
  </si>
  <si>
    <t>a reprogrammed security badge</t>
  </si>
  <si>
    <t>The Bleeding Contract</t>
  </si>
  <si>
    <t>Control, BETA</t>
  </si>
  <si>
    <t xml:space="preserve">You draft a supernatural contract, binding the signee to a deal they cannot escape—either willingly or through legal loopholes within reality itself.
- The contract must specify clear, finite terms (e.g., “deliver the encrypted drive,” “never disclose my presence,” “report back monthly”).  
- A creature may willingly sign the contract or be coerced through a failed Wisdom saving throw.
- If the signee violates the terms, they begin to hemorrhage lifeforce, suffering 1d6 bleeding damage per hour until the contract is honored or the caster dissolves it.
- The contract cannot be undone by mundane means. It can only be nullified through a corporate tribunal, anomaly override, or higher-order reality arbitration.
</t>
  </si>
  <si>
    <t>If the contract is poorly worded or vague, it will self-interpret using its own logic, often to the caster’s detriment. Corporate legal departments recommend all terms be double-verified before casting.</t>
  </si>
  <si>
    <t>- If poorly worded, the contract may self-interpret, leading to unintended consequences that the caster did not foresee.</t>
  </si>
  <si>
    <t>Permanent (until terms are fulfilled)</t>
  </si>
  <si>
    <t>a quill, blood, and a binding sigil</t>
  </si>
  <si>
    <t>A.S.T.R.A.L. Intrusion Barrier</t>
  </si>
  <si>
    <t>A.S.T.R.A.L., Zone, Stealth</t>
  </si>
  <si>
    <t>This powerful anti-surveillance veil renders a zone invisible to scrying, digital observation, and magical surveillance.
- Spells like Surveillance Override, Corporate Remote View, and A.S.T.R.A.L. Drone Recon automatically fail to observe inside the area.
- Cameras, sensors, and paranormal optics show false static or pre-recorded footage instead of real-time activity.
- The field extends into other planes, blocking extraplanar surveillance.</t>
  </si>
  <si>
    <t>- At 7th level, the field also masks teleportation signatures, preventing tracking.
- At 8th level, the spell lingers for 1 hour even after concentration ends.</t>
  </si>
  <si>
    <t>a lead-etched data chip</t>
  </si>
  <si>
    <t>Anomalous Afterimage</t>
  </si>
  <si>
    <t>You leave behind a temporal imprint of yourself, a flickering echo that repeats your last action every turn. This afterimage is indistinguishable from you and can be interacted with, but it cannot take new actions. If struck, it explodes into cognitive static, dealing 6d6 cognitive damage to creatures within 10 feet.</t>
  </si>
  <si>
    <t>a cracked mirror</t>
  </si>
  <si>
    <t>Entities sensitive to time distortions may notice anomalies lingering after the spell ends.</t>
  </si>
  <si>
    <t>Authorized Override</t>
  </si>
  <si>
    <t>Control</t>
  </si>
  <si>
    <t>You forcibly assume control of a creature’s decision-making processes. They must make an Intelligence saving throw or be compelled to follow your spoken orders as if they were their own thoughts.
- While under your influence, the target believes the commands are their own decisions.
- A creature under another compulsion effect automatically fails its save.
- The target can make another Intelligence saving throw at the end of each of its turns to break free.</t>
  </si>
  <si>
    <t>a high-ranking corporate ID badge, registered to the caster</t>
  </si>
  <si>
    <t>Use of unauthorized compulsion spells within corporate zones is classified as Executive Manipulation Fraud.</t>
  </si>
  <si>
    <t>Conjure Succubus/Incubus</t>
  </si>
  <si>
    <t>You whisper the Old Words into the void, and something answers.
- A succubus or incubus materializes in your presence, bound to fulfill the caster’s desires, but at an unknown cost.
- Each interaction with the entity requires a Constitution saving throw. On a failure, the caster’s body weakens (-1 Constitution permanently).
- If the entity interacts with another person, they too must make the saving throw.
- The succubus/incubus remains until dismissed but will never leave empty-handed.</t>
  </si>
  <si>
    <t>Ancient texts warn that too many summons attract the attention of something greater.</t>
  </si>
  <si>
    <t>Digital Collapse</t>
  </si>
  <si>
    <t>A creature of your choice within range must make an Intelligence saving throw. On a failure, its nervous system short-circuits, dealing 8d8 electric damage and incapacitating it until the end of its next turn. If the creature fails the saving throw by 5 or more, it is also blinded for 1 minute.</t>
  </si>
  <si>
    <t xml:space="preserve"> At Higher Levels. When cast using a spell slot of 7th level or higher, the damage increases by 1d8 per level.</t>
  </si>
  <si>
    <t>a corrupted hard drive</t>
  </si>
  <si>
    <t>Echo of the Forgotten</t>
  </si>
  <si>
    <t>You summon an anomaly-born specter that fights for you. It has AC 16, HP 60, flight, and resistance to nonmagical damage. It attacks with cognitive tendrils (2d10 damage) and can phase through solid surfaces. It obeys only direct commands and disappears if ignored.</t>
  </si>
  <si>
    <t>a memory fragment from an erased soul</t>
  </si>
  <si>
    <t>Cruel Thesis Protocol</t>
  </si>
  <si>
    <t>Ranger, Sorceror, Warlock</t>
  </si>
  <si>
    <t xml:space="preserve">You call forth a semi-sentient, rust-covered combat mech built from scrap, suppressed memories, and buried government prototypes. It clambers into existence with groaning servos and a flickering HUD visor. The mech follows your verbal commands (no action required), shares your initiative, and takes its turn immediately after yours
 Mech Stats  
Medium or Large Construct, AC 17, HP 85  
Speed 30 ft., Climb 15 ft.  
STR 18, DEX 10, CON 16, INT 3, WIS 10, CHA 3  
Saving Throws: Con +6  
Damage Immunities: Poison, Psychic  
Condition Immunities: Charmed, Frightened, Poisoned  
Senses: Darkvision 60 ft., Passive Perception 10  
Languages: Understands the caster's commands, but cannot speak  
 Actions
Force Slam. *Melee Weapon Attack:* +8 to hit, reach 5 ft., one target.  
Hit: 3d10 force damage.
Wrist Cannon (Recharge 5–6).  
The mech fires an unstable arcane round in a 30-foot line that is 5 feet wide.  
Each creature in the line must make a Dexterity saving throw (DC 16), taking 4d8 radiant damage on a failed save, or half as much on a success.
Interpose Shield (1/turn).  
When a creature within 5 feet is hit by an attack, the mech can intercept the blow, reducing the damage by 2d10 + its Constitution modifier.
</t>
  </si>
  <si>
    <t xml:space="preserve"> At Higher Levels.  
When cast using a spell slot of 7th level or higher, the mech gains an extra 25 hit points, its AC increases by 1, and it deals +1 damage with all attacks per slot level above 6th.</t>
  </si>
  <si>
    <t>At the start of each of its turns, roll a d6. On a roll of 1, the mech glitches, taking 1d8 cognitive damage and gaining the *Paranoid* condition until the end of its next turn.</t>
  </si>
  <si>
    <t>a broken radio and a strip of military-grade tape</t>
  </si>
  <si>
    <t>Last Minute Optimization</t>
  </si>
  <si>
    <t>The target’s body adjusts to its peak state. They gain +4 to their highest ability score (max 24) for the duration. However, one other random ability score is reduced by 4.</t>
  </si>
  <si>
    <t>Mannequin's Lament</t>
  </si>
  <si>
    <t>Debuff</t>
  </si>
  <si>
    <t>The target must make a Constitution saving throw (DC 18). On a failure, they become paralyzed as their body hardens into wood, glass, or porcelain.
- They remain aware but cannot speak or move.
- Any attempt to remove the effect without breaking concentration requires a DC 20 Arcana check.
- If left in this state for the full duration, they remain a mannequin forever.
- Reversing it afterward require a spell that can bring back the dead by ithe time limit of such spell is ignored since the mannequin does not decay.</t>
  </si>
  <si>
    <t>a doll with sewn-shut eyes</t>
  </si>
  <si>
    <t>Mindspike Detonation</t>
  </si>
  <si>
    <t xml:space="preserve">You overload the thoughts of all creatures in range. They must make an Intelligence saving throw.
- On a failed save, they take 8d6 cognitive damage and are stunned until the end of their next turn as their thoughts collapse inward, echoing with names they shouldn’t know.  
- On a successful save, they take half damage and resist the mental collapse.
</t>
  </si>
  <si>
    <t xml:space="preserve">At Higher Levels.  
When cast using an 8th-level spell slot or higher, the radius of the detonation increases to 40 feet.
</t>
  </si>
  <si>
    <t>During the Calamity of Shrouded Stars, Mindspike Detonation was unleashed upon a battlefield, reducing an entire legion to nameless husks. Those who survived swore they heard their own names whispered by the void.
Spellcasters who use Mindspike Detonation are marked—subtly at first. Their reflections blink at the wrong times, their shadows do not always align with their bodies.</t>
  </si>
  <si>
    <t>When casting this spell, roll a d20. On a 15 or higher:
A chorus of whispered names pulses outward. For 1 minute, your voice overlaps with an unknown one, slightly out of sync.</t>
  </si>
  <si>
    <t>30-foot-radius sphere</t>
  </si>
  <si>
    <t>A fragment of obsidian implanted in the skin</t>
  </si>
  <si>
    <t>Reality Firewall</t>
  </si>
  <si>
    <t>Rename</t>
  </si>
  <si>
    <t>You generate a localized anomaly containment field, shielding the area from external interference.
- Prevents forced teleportation, forced mind control, and unauthorized scrying in the area.
- All attempts to manipulate reality inside the zone automatically fail, unless the caster of the effect is higher level than you.</t>
  </si>
  <si>
    <t>Rename, Another stealth, sanctuary?</t>
  </si>
  <si>
    <t>a security clearance chip</t>
  </si>
  <si>
    <t>Reality Recursion</t>
  </si>
  <si>
    <t>The target is trapped in a self-repeating loop of their last 6 seconds of action, experiencing it over and over until they make a Wisdom saving throw at the end of each turn. While trapped, they can take no new actions—only repeat what they did previously.</t>
  </si>
  <si>
    <t>a Möbius strip</t>
  </si>
  <si>
    <t>Photonic Cascade</t>
  </si>
  <si>
    <t>You exhale a surging wave of refracted brilliance and bleeding shadow. The chaotic bloom of unnatural light tears across reality, creating a 30-foot cone of pulsing, colorless illumination.
All creatures in the area must make a Constitution saving throw.
- On a failure, a creature takes 7d8 Chiaric damage and is blinded until the end of its next turn.
- On a success, the creature takes half damage and is not blinded.
Surfaces touched by the cascade shimmer faintly with residual interference. The area is considered difficult terrain until the start of your next turn as objects flicker, distort, or bend at strange angles.</t>
  </si>
  <si>
    <t>30 ft Cone</t>
  </si>
  <si>
    <t>a broken projector bulb smeared with soot</t>
  </si>
  <si>
    <t>Slip Between Timelines</t>
  </si>
  <si>
    <t>Stealth, Dimension</t>
  </si>
  <si>
    <t>You briefly phase into an alternate version of Concord City, existing in a parallel state where time flows differently. You can move freely without being seen or detected, though you cannot interact with the original timeline. When the spell ends, you reappear at your original location.</t>
  </si>
  <si>
    <t>Stone Ship</t>
  </si>
  <si>
    <t>Wizard, Druid, Sorceror</t>
  </si>
  <si>
    <t>You conjure a magically reinforced stone ship at a point you can see within range. The ship appears instantly and gently settles without causing damage, regardless of its immense weight.- If summoned onto water:
The ship immediately sinks to the bottom without damage and remains indefinitely as a stable underwater structure.- If summoned onto land or any solid surface:
The ship appears safely resting on the ground, remaining for 1 minute before vanishing harmlessly. It can serve as temporary cover, shelter, or a temporary barricade during this time.
Creatures or objects caught underneath when the ship is conjured are gently pushed aside and take no damage.</t>
  </si>
  <si>
    <t>- The ship cannot cause physical harm due to its magical weightlessness when conjured.
- Provides half-cover (+2 AC) to creatures aboard or behind it.
- Once summoned, the ship cannot be moved or manipulated by normal physical means due to its immense (though magically nullified) weight.</t>
  </si>
  <si>
    <t>| Spell Slot Level | Ship Size       | Capacity                          |
|------------------|-----------------|-----------------------------------|
| 1st              | Tiny (5 ft.)    | Fits 1 Small creature comfortably |
| 2nd              | Small (10 ft.)  | Fits up to 2 Medium creatures     |
| 3rd              | Medium (20 ft.) | Fits up to 6 Medium creatures     |
| 4th              | Large (40 ft.)  | Fits up to 12 Medium creatures    |
| 5th              | Huge (60 ft.)   | Fits up to 30 Medium creatures    |</t>
  </si>
  <si>
    <t>Summon the Saint</t>
  </si>
  <si>
    <t>You invoke the Assassins of the Saint, a hidden order of executioners bound by ancient contracts. This spell marks a target for death, ensuring that they will never know peace again.
- At dawn the next day, the target awakens with a blood-red rose placed on their chest.
- From this moment, Assassins of the Saint will begin hunting them.
- The first assassin arrives within 1d6 days, with each subsequent hunter increasing in lethality.
 Counterplay &amp; Removal:
- The mark cannot be dispelled through normal means.
- Only by making an offering of equal or greater worth (to the Saint’s order) can the mark be transferred to another soul.</t>
  </si>
  <si>
    <t>The Saint’s Will is Absolute:
If the caster attempts to interfere, they too receive the mark of the blood rose.</t>
  </si>
  <si>
    <t>Permanent until fulfilled</t>
  </si>
  <si>
    <t>a black candle, a silver coin, and the target’s written name on parchment</t>
  </si>
  <si>
    <t>Synaptic Reset</t>
  </si>
  <si>
    <t>Restoration</t>
  </si>
  <si>
    <t>You generate a controlled bioelectric discharge that resets all neurological activity, eliminating unwanted effects.
- Removes all mind-affecting conditions, including Fear, Confusion, Domination, and Mental Overload.
- If the target has been altered by an anomaly or corporate augmentation, they may make a Constitution saving throw to resist its influence for 1 hour.
- If used on an unwilling target, they must make a Constitution saving throw or become Stunned for 1 minute.</t>
  </si>
  <si>
    <t>a lightning-infused crystal</t>
  </si>
  <si>
    <t>The Backdoor</t>
  </si>
  <si>
    <t>You target a door, wall, or secure entryway within range that you or an ally has previously passed through. For the duration, you and up to five willing creatures can step through a flickering illusion of that entrance, appearing on the other side as if you’d bypassed its barriers.
	•	The entrance must be non-magical, or you must succeed on a DC 20 Arcana check to bypass magical locks.
	•	The illusionary gateway remains open for 10 seconds after the first creature steps through, then vanishes.
	•	Any creature attempting to follow after that must make a DC 16 Dexterity saving throw or be displaced—emerging up to 30 feet away in a random nearby location.
	•	Surveillance systems or magical wards detect your passage as a security anomaly, triggering local alerts unless suppressed beforehand.</t>
  </si>
  <si>
    <t>a key that no longer fits any lock</t>
  </si>
  <si>
    <t>Verdict of the Forgotten</t>
  </si>
  <si>
    <t>You invoke a judgment long forgotten, compelling reality itself to erase the target. The target must make a Charisma saving throw. On a failure, they take 10d10 chiaric damage, and all creatures within 30 feet must make a Wisdom saving throw or be frightened for 1 minute.
If the target is reduced to 0 HP by this spell, their body disintegrates into nothing, and their existence is stricken from minor recorded history (casual memories fade, but deep records remain).</t>
  </si>
  <si>
    <t xml:space="preserve"> At Higher Levels. When you cast this spell using a spell slot of 7th level or higher, the damage increases by 1d10 per slot level above 6th.</t>
  </si>
  <si>
    <t>a relic of an erased historical figure</t>
  </si>
  <si>
    <t>Viral Purge</t>
  </si>
  <si>
    <t>All creatures in range are cured of diseases, infections, and parasitic infestations. If a creature is actively suffering from a necrotic or viral-based curse, this spell grants advantage on saving throws against it for the next 24 hours.</t>
  </si>
  <si>
    <t>a vial of antiviral serum</t>
  </si>
  <si>
    <t>Sanctioned Haunting</t>
  </si>
  <si>
    <t>You bind a spectral entity to a target, ensuring they are never alone again.
- Each night, the target must make a Wisdom saving throw (DC 18) or be haunted by an invisible presence that whispers, shifts objects, and manifests in reflective surfaces.
- Each week, the haunting escalates, causing exhaustion if the target cannot escape it.
- The only way to remove the haunting is by offering someone else’s name in exchange.</t>
  </si>
  <si>
    <t>a contract written in the target’s blood</t>
  </si>
  <si>
    <t>The Maw That Hungers</t>
  </si>
  <si>
    <t xml:space="preserve">You conjure a vast, spectral maw beneath you—its jagged teeth grinding the threads of reality. The air trembles with a silent hunger, and all creatures of your choice within a 30-foot radius must succeed on a Constitution saving throw or suffer the following effects:
- Their maximum hit points are reduced by 2d10. This reduction lasts until they complete a long rest.  
- They become Frightened of you until the end of your next turn.  
- Their healing is halved for the duration of the spell.
A creature that fails this save by 10 or more is also afflicted with the Altered condition for 1 minute, their features subtly reshaped by the hunger of the void.
While the spell is active, the ground pulses like a throat, and creatures who begin their turn within the area take 1d6 chiaric damage as spectral teeth snap at their soul.
</t>
  </si>
  <si>
    <t>At 9th level, the radius increases to 60 feet.</t>
  </si>
  <si>
    <t>A beggar on the streets of Concord claims to have been a king before uttering the words of The Maw That Hungers. When asked for details, his mouth moves, but no sound emerges.
Some claim that The Maw That Hungers does not work the same way twice. The more one casts it, the more it adapts—learning, watching, waiting.</t>
  </si>
  <si>
    <t>A shard of bone gnawed by an unknown entity</t>
  </si>
  <si>
    <t>Wogar's Harvest of Haunting Onyx</t>
  </si>
  <si>
    <t xml:space="preserve">You call forth shards of haunting onyx, manifested through the parasitic agony of something older than time. Choose up to three creatures within range. Each target must make a Constitution saving throw.
On a failed save, the creature:
- Takes 5d10 chiaric damage, their essence siphoned and crystallized into flickering slivers of shadowy gemstone.
- Suffers disadvantage on death saving throws until the end of your next turn, as remnants of their soul splinter and drift.
- You regain hit points equal to half the total damage dealt across all targets.
On a successful save, the creature takes half damage and you gain no healing from them.
</t>
  </si>
  <si>
    <t>The Elders of the Concord Spire refuse to acknowledge The Spear of Forgotten Kings, calling it 'a mistake in the fabric of the world.' Yet, the forbidden archives tell another story.</t>
  </si>
  <si>
    <t>At Higher Levels.  
When cast using a 9th-level spell slot:
- You may affect up to 5 creatures instead of 3.
- The healing gained is equal to the full damage dealt rather than half.</t>
  </si>
  <si>
    <t>The rogue artificer Veyl Renshaw designed an enchanted device that could replicate Wogar's Harvest of Haunting Onyx. She activated it only once—her house was later found standing, but all its doors opened into an endless void.
To cast Wogar's Harvest of Haunting Onyx is to invite a presence that does not belong. The words taste of static, the gestures feel like echoes of hands not your own.</t>
  </si>
  <si>
    <t>&gt; “The onyx grows only where memory decays. Wogar learned this by cutting too deeply into the mind of a god—and feeding on what was left.”</t>
  </si>
  <si>
    <t>a juniper sprig</t>
  </si>
  <si>
    <t>Skin Unwoven</t>
  </si>
  <si>
    <t>7th-level</t>
  </si>
  <si>
    <t>You weave an invisible suture in the air, connecting it to the target’s flesh and nerves. The thread does not cut, it unravels, pulling the skin away in delicate layers.
- The target must make a Constitution saving throw. On a failure, their flesh begins to separate from their body, piece by piece.
- Round 1: Their fingertips and lips begin to curl and peel, exposing raw flesh.
- Round 2: The skin along their arms and jaw pulls loose, hanging like discarded parchment.
- Round 3: Their entire face and chest are stripped, leaving only muscle and exposed nerves.
- The target takes 4d10 chiaric damage per round and suffers disadvantage on all Dexterity-based actions due to agony.
- If the spell lasts the full minute, the target is left entirely skinless, a raw, quivering thing, forced to exist in constant, unbearable sensation.
Skinless Condition:  
- The creature has disadvantage on all saving throws against pain, stun, or fear effects.  
- They are vulnerable to pyric and radiation damage.  
- They cannot benefit from healing spells other than *Reconstructive Audit* or *First Responder Algorithm* until ritually treated.  
- They are permanently disfigured, unless magically or surgically restored.  
End of the Spell:  
- The target may repeat the Constitution save at the end of each of their turns. On a success, the unweaving halts but does not reverse—what has been lost remains lost.  
- If the spell is cast multiple times on the same target, their skin may begin to regrow incorrectly, forming anomalous grafts that twitch and whisper in forgotten tongues.</t>
  </si>
  <si>
    <t>&gt; “Flesh can be carved. Bone can be broken. But to be skinless… is to be unprotected even from the wind.”  
&gt; —Archivist Trellian Vahl, *On Nerves and the Ritual of Peeling*</t>
  </si>
  <si>
    <t>- If cast repeatedly, the peeled skin may attempt to reform itself into something separate, crawling and watching from the corners of the room.</t>
  </si>
  <si>
    <t>a thread soaked in human blood</t>
  </si>
  <si>
    <t>A.S.T.R.A.L. Protocol Override</t>
  </si>
  <si>
    <t>When a creature within 60 feet casts a spell, you interrupt and delay its activation. The targeted spell has no immediate effect. Instead, roll 1d4. After that many rounds have passed (at the beginning of your turn), the delayed spell automatically fails, expending its original caster’s spell slot or resources without taking effect.
During the delay, the original caster is aware the spell is stalled but cannot cancel or change the delayed spell, nor recover the spell slot or resources used. Until the spell fails, it counts as “being cast,” preventing the caster from concentrating on another spell if it required concentration. You may only have one spell delayed by A.S.T.R.A.L. Protocol Override active at a time. If you cast this spell again before the previous delayed spell fails, the original delayed spell immediately resolves as normal (taking effect instantly) instead of failing.</t>
  </si>
  <si>
    <t>When a creature casts a spell</t>
  </si>
  <si>
    <t>an encoded directive</t>
  </si>
  <si>
    <t>Dyrnar's Doom of Despair</t>
  </si>
  <si>
    <t>You speak a cursed word in a language not meant for mortals, invoking the forbidden knowledge of Dyrnar’s Doom. Choose one creature within range. The target becomes marked for death. Lines of black sigils appear on the target’s hands and neck, and the target learns that they will die in 4d8 + 12 hours unless certain conditions are met. They know how much time they have and how to avoid the doom:
 1. Curse Removal: The target can make a successful Wisdom saving throw at the end of each day to break the curse.
 2. Kill a Humanoid: The target must kill a humanoid within the time frame to delay the curse. The humanoid must be a creature capable of being killed by the target.
If the conditions are not met, the target dies when the time expires.
The sigils continue to spread as the time runs out, covering the target’s body in dark ink. If the conditions are met or the curse is removed, the sigils vanish, and the target is freed from the impending doom.
Saving Throw: Wisdom save to resist being marked for death.</t>
  </si>
  <si>
    <t>The last known user of Dyrnar's Doom of Despair, the warlock Darsil Veil, was found with his eyes hollowed out and his veins scorched black. His journal spoke of 'the whispering ones' who demanded a price for forbidden knowledge.
There are words that should not be spoken, thoughts that should not be held. Dyrnar's Doom of Despair is one such secret—a spell that fractures reality just enough for something else to listen.</t>
  </si>
  <si>
    <t>When casting this spell, roll a d20. On a roll of 15 or higher, reality trembles slightly, causing a ripple that lingers unseen. This subtle shift in the balance may leave its marks on the world, though it is not always clear what effect it will have.</t>
  </si>
  <si>
    <t>4d8 + 12 hours</t>
  </si>
  <si>
    <t>a vial of springwater</t>
  </si>
  <si>
    <t>Bureaucratic Erasure</t>
  </si>
  <si>
    <t>Corporate, Stealth</t>
  </si>
  <si>
    <t>You remove a target from all bureaucratic, digital, and magical records, making them a ghost within the system.
- Facial recognition, biometric scans, and identity checks automatically fail against them.
- They cannot be arrested, fined, or legally prosecuted, as no records of their crimes exist.
- Once erased, the target cannot re-establish their identity without magical intervention.</t>
  </si>
  <si>
    <t>an official government form with the target’s name redacted, stamped with an erasure approval seal</t>
  </si>
  <si>
    <t>Requires government approval and processing, costing 500 credits. Unauthorized attempts may trigger forensic restoration protocols or counter-investigations.</t>
  </si>
  <si>
    <t>Due to its permanent nature, casting this spell inflicts Major Arcane Strain.</t>
  </si>
  <si>
    <t>Collapse Algorithm</t>
  </si>
  <si>
    <t>You introduce a corrupting function into the target’s existence, forcing their structure to rapidly deteriorate. The target must make a Constitution saving throw.
- On a failure, they take 12d12 void damage, become Altered, and gain vulnerability to one damage type of your choice (chosen upon casting).
- On a success, they take half damage and are not Altered.</t>
  </si>
  <si>
    <t>a crumbling stone tablet</t>
  </si>
  <si>
    <t>Corporate Erasure</t>
  </si>
  <si>
    <t>You remove a target from all corporate records, databases, and bureaucratic systems. All digital and physical proof of their existence disappears, including employment records, bank accounts, and credentials. They must make an Intelligence saving throw or be considered a non-entity by all corporate institutions.</t>
  </si>
  <si>
    <t>a shredded personnel file</t>
  </si>
  <si>
    <t>Disciplinary Reassignment</t>
  </si>
  <si>
    <t>A creature that fails a Wisdom saving throw is assigned a new life.
- They forget who they were and assume a new corporate-approved persona.
- They believe they have always held this false identity.
- Any attempt to convince them otherwise fails unless *Wish* or *Greater Restoration* is used.</t>
  </si>
  <si>
    <t>a stamped reassignment order</t>
  </si>
  <si>
    <t>Alerrim's Solitude</t>
  </si>
  <si>
    <t>Unhinged, Debuff, Rework, BETA</t>
  </si>
  <si>
    <t>Warlock, Wizard, Druid</t>
  </si>
  <si>
    <t>You overwhelm the senses of up to six creatures within range with a hallucinated scent so vivid and strange that it threatens their grip on reality. The scent can be chosen by you upon casting and changes the spell’s effect. You may also choose whether the scent feels directional or all-consuming. Affected creatures must make a Constitution saving throw or suffer the selected effect.
At the end of each of their turns, affected creatures must repeat the saving throw. On two failed saves, the target becomes Stunned until the end of their next turn as the olfactory hallucination overwhelms their nervous system.
Choose one scent effect upon casting:
Rot and Filth: Targets that fail their save are Poisoned and suffer disadvantage on saving throws against charm and fear effects for the duration .
Sweet Perfume: Targets must succeed on a Wisdom save or be Charmed by you until the end of that turn.
Burnt Ozone: On a failed save, targets cannot take reactions until the start of their next turn and The creature has disadvantage on Perception and Insight checks.
You may use a bonus action on your turn to change the scent’s directionality (e.g., from everywhere to a specific direction).
The illusion lingers for 1 minute, and affected creatures must repeat the saving throw at the end of each of their turns. On a success, the effect ends for them.
Condition Synergy: If a target is already Frightened, Charmed, or Poisoned when affected, it has disadvantage on the initial saving throw.
Obscured Battlefield: While under the spell’s effect, affected creatures are considered heavily obscured to others—they constantly shift position in reaction to the scent, creating a surreal mirage-like presence. This effect ends if the scent illusion ends.
Additionally, while the spell is active, you may use an action to cause the scent to mimic a recognizable compound—such as smoke, fuel, or blood—potentially triggering scent-based detection systems or distracting creatures with scent-based senses.</t>
  </si>
  <si>
    <t>In the city of Concord, Alerrim's Solitude is outlawed, for it was once used by the cult of the Silent Maw to unmake a senator in broad daylight. Witnesses swore they saw his shadow scream before vanishing entirely.
Those who cast Alerrim's Solitude often find that they dream differently afterward. They dream of corridors that stretch into infinity, doors that lead to places older than time.</t>
  </si>
  <si>
    <t>a small wax candle</t>
  </si>
  <si>
    <t>Erasure of Pain</t>
  </si>
  <si>
    <t>Up to 6 creatures of your choice in range become immune to pain, fear, and exhaustion for 1 hour. This spell does not remove injuries but suppresses all negative physical sensations.</t>
  </si>
  <si>
    <t>a pill dissolving in water</t>
  </si>
  <si>
    <t>Echoing Pulse of Time</t>
  </si>
  <si>
    <t>You fracture the timeline around you, surrounding yourself in rippling echoes of potential futures and discarded pasts. While the spell is active, time fractures and repairs itself in chaotic pulses.</t>
  </si>
  <si>
    <t>Rework</t>
  </si>
  <si>
    <t>| d6 Roll | Temporal Effect                                                                                      |
|---------|------------------------------------------------------------------------------------------------------|
| 1–2     | Slowed Flow – Enemies within range have disadvantage on attack rolls against you until the start of your next turn. |
| 3–4     | Accelerated Momentum – You may take a second bonus action this turn.                             |
| 5       | Echo Step – You teleport up to 15 feet to a location you occupied on your last turn.             |
| 6       | Temporal Mirror – A flickering afterimage of yourself performs the same action you just did (repeating your action once, targeting a different creature if possible; no additional cost). |</t>
  </si>
  <si>
    <t xml:space="preserve">At Higher Levels.
When cast using a 9th-level spell slot, you may roll twice each turn and choose the result.
</t>
  </si>
  <si>
    <t>The rogue artificer Veyl Renshaw designed an enchanted device that could replicate Echoing Pulse of Time. She activated it only once—her house was later found standing, but all its doors opened into an endless void.
To cast Echoing Pulse of Time is to invite a presence that does not belong. The words taste of static, the gestures feel like echoes of hands not your own.</t>
  </si>
  <si>
    <t>Anomaly Effect:
When casting this spell, roll a d20. On a 15 or higher: Reality trembles slightly, causing a ripple that lingers unseen.</t>
  </si>
  <si>
    <t>30-foot radius</t>
  </si>
  <si>
    <t>A watch with a cracked face</t>
  </si>
  <si>
    <t>Flawless Diamond of Dread</t>
  </si>
  <si>
    <t>You lift a wooden coin between two fingers, and for a moment it refracts light like a perfect diamond. Then it cracks—soundlessly—and the world flinches. A prismatic spike of psychic light erupts from your palm, targeting one creature within range.
The target must make a Constitution saving throw. On a failure, they take 9d8 chiaric damage, their soul briefly exposed to the void between form and perception. On a success, they take half damage.
While the damage is instant, the wound is not:  
- If the creature survives, their shadow refuses to follow their movements for 1 hour.  
- Affected creatures cannot be healed by magical means until the start of your next turn.  
- If this spell reduces a creature to 0 HP, they vanish silently—no body, no mark, only a lingering echo of their name.
- The target cannot be hidden from magical detection (such as *Ghost Circuit* or *Giocrin’s Hunt*).  
- If they speak, their voice echoes unnaturally, revealing their position to any creature within 60 feet.
For 1 minute after taking damage from this spell, the target becomes crystalline within. Whenever they take radiation, cognitive, or chiaric damage, roll a d4. On a 1, the damage is reflected onto a random creature within 10 feet instead, as internal refractions lash outward unpredictably.
Fracture Point: If the creature is reduced to 0 hit points by this spell, they break into dust-fine crystal, leaving behind only a single perfect diamond worth 100 credit (tainted with residual dread).
At the end of the duration, the crystals dissolve harmlessly, leaving only lingering static in their nervous system.</t>
  </si>
  <si>
    <t>During the Calamity of Shrouded Stars, Flawless Diamond of Dread was unleashed upon a battlefield, reducing an entire legion to nameless husks. Those who survived swore they heard their own names whispered by the void.
Spellcasters who use Flawless Diamond of Dread are marked—subtly at first. Their reflections blink at the wrong times, their shadows do not always align with their bodies.</t>
  </si>
  <si>
    <t>a wooden coin</t>
  </si>
  <si>
    <t>Giocrin's Incantation of Bitterness</t>
  </si>
  <si>
    <t xml:space="preserve">You whisper an ancient syllable not meant to be spoken—a fractured word dredged from beneath time itself. The target must succeed on a Charisma saving throw or be branded by a lingering metaphysical wound.
- The target becomes vulnerable to either tearing or impact damage (your choice). This vulnerability cannot be removed by ordinary means.
- While affected, any time the target takes damage from the chosen type, they must succeed on a DC 18 Constitution saving throw or gain one level of exhaustion.
- If the target reaches 3 levels of exhaustion in this way, the damage type reverberates within their soul: all resistances to that damage type are lost permanently, and they are always considered flanked, even when not surrounded.
The curse is subtle at first. The skin bruises too easily. The bone aches before it breaks. Eventually, even the lightest touch feels like betrayal.
This effect lasts until removed by powerful means such as some spells, or an A.S.T.R.A.L. anomaly purge.
</t>
  </si>
  <si>
    <t>Level 5</t>
  </si>
  <si>
    <t>At the start of each of your turns, roll a d6 to determine the temporal echo:
1–2. Slowed Flow – Enemies within range have disadvantage on attack rolls against you until the start of your next turn.
3–4. Accelerated Momentum – You may take a second bonus action this turn.
5. Echo Step – You teleport up to 15 feet to a location you occupied on your last turn.
6. Temporal Mirror – A flickering afterimage of yourself performs the same action you just did (repeating your action once, targeting a different creature if possible; no additional cost).</t>
  </si>
  <si>
    <t>Legend says that Giocrin's Incantation of Bitterness was first cast by the exiled wizard Iosephine Blackquill, who sought to trap a god within a single word. The spell succeeded—but the god did not remain silent for long.
The ancients who first uttered Giocrin's Incantation of Bitterness did not record its effects, only their warnings: 'It does not unmake. It remembers. And it will remember you, too.'</t>
  </si>
  <si>
    <t xml:space="preserve">Reality trembles slightly, causing a ripple that lingers unseen. For 1 minute, any creature within 60 feet that speaks hears its words echoed in reverse, as if remembered before they were spoken.
</t>
  </si>
  <si>
    <t>Premanent (until removed)</t>
  </si>
  <si>
    <t>Incantation of Viridian Determination</t>
  </si>
  <si>
    <t>You invoke a forgotten rite whispered only in the darkest forests of the world’s memory. Verdant energy coils around your body or that of a chosen creature, weaving an invisible knot of resolve that defies mortal limits. This knot pulses with an unnatural green glow, visible only in reflections and peripheral vision.
While under the effects of this spell, the creature gains the following benefits:
- Last Stand Ward: The next time the creature would fall to 0 hit points, they instead regain 3d10 + your spellcasting modifier hit points, immediately stand upright without using movement, and are immune to being reduced to 0 HP again until the end of their next turn. The spell then ends.
- Defiance of Death: Until the ward is triggered, the target cannot gain the *Unconscious* or *Paralysed* conditions.  
- Aura of Persistence: Allies within 10 feet gain advantage on saving throws against effects that would cause *Frightened*, *Paralysed*, or *Charmed*.
If the ward is not triggered within the spell’s duration, the energy fades—leaving behind a faint green sigil burned into the target’s aura, visible only to the dead.</t>
  </si>
  <si>
    <t>During the Calamity of Shrouded Stars, Incantation of Viridian Determination was unleashed upon a battlefield, reducing an entire legion to nameless husks. Those who survived swore they heard their own names whispered by the void.
Spellcasters who use Incantation of Viridian Determination are marked—subtly at first. Their reflections blink at the wrong times, their shadows do not always align with their bodies.</t>
  </si>
  <si>
    <t xml:space="preserve">When casting this spell, roll a d20. On a 15 or higher:  
A trail of green luminescence clings to the caster’s shadow for the next 24 hours. The shadow moves half a second out of sync, as though it remembers a version of you that no longer exists.
</t>
  </si>
  <si>
    <t>Self or Touch</t>
  </si>
  <si>
    <t>honeysuckle root or an empty bottle</t>
  </si>
  <si>
    <t>Mnemonic Fortress</t>
  </si>
  <si>
    <t>You fortify the mind of a creature against forced memory alterations, cognitive tampering, and external data manipulation.
- The target becomes immune to Memory Fragmentation, A.S.T.R.A.L. Redaction, and similar effects.
- Any attempt to modify their memory fails outright, and the caster of the effect must make a Wisdom saving throw or suffer 5d8 cognitive damage.
- The target also remembers everything perfectly for 24 hours, with a near-photographic recall of events.</t>
  </si>
  <si>
    <t>- At 9th level, this effect becomes permanent unless dispelled.</t>
  </si>
  <si>
    <t>a glass bead filled with silver ink</t>
  </si>
  <si>
    <t>Obsolescence Protocol</t>
  </si>
  <si>
    <t>You mark a creature as obsolete, and reality enforces the correction. The target must make a Constitution saving throw. On a failure, it takes 10d10 impact damage and suffers disadvantage on all attack rolls and ability checks for 1 minute. If the creature has legendary resistances, it must expend one to automatically succeed.</t>
  </si>
  <si>
    <t>an outdated ID badge</t>
  </si>
  <si>
    <t>Plasma Meltdown</t>
  </si>
  <si>
    <t>You rupture a paranormal energy grid, causing an unstable plasma explosion that engulfs an area.
- Creatures in the blast must make a Dexterity saving throw. On a failure, they take 10d8 impact damage and gain 1 level of Exhaustion from radiation exposure.
- Objects and structures in the area melt or disintegrate as if subjected to high-voltage energy.
- Any spell weaker than 5th level in the area is automatically dispelled.</t>
  </si>
  <si>
    <t>90 feet (30-feet radius)</t>
  </si>
  <si>
    <t>a reactor coolant sample</t>
  </si>
  <si>
    <t>Reality Sidestep</t>
  </si>
  <si>
    <t>You exist half inside reality, half outside of it. While active:
- You can pass through walls and barriers as long as they are not magical.
- You gain resistance to all physical damage.
- You leave behind a blurred, static afterimage that lingers for 6 seconds before catching up.</t>
  </si>
  <si>
    <t>an embossed containment sigil, notarized</t>
  </si>
  <si>
    <t>The containment sigil must be notarized at an A.S.T.R.A.L.-approved office, costing 2,500 credits. Unauthorized usage may result in legal fines or containment nullification.</t>
  </si>
  <si>
    <t>Reality Stabilization Directive</t>
  </si>
  <si>
    <t>You impose order upon unstable reality, restoring creatures to their natural state before corruption, conditioning, or anomaly influence.
- Removes all magical or corporate mind control, forced allegiance effects, and reality distortions affecting the target.
- Fully cures madness, paranoia, and supernatural trauma.
- If the target is possessed, controlled, or overwritten, the controlling entity must make a Charisma saving throw or be ejected instantly.</t>
  </si>
  <si>
    <t>- At 9th level, this spell affects all willing creatures in a 30-foot radius.</t>
  </si>
  <si>
    <t>a shard of uncorrupted reality</t>
  </si>
  <si>
    <t>Rebuild Reality</t>
  </si>
  <si>
    <t>You restore a destroyed or corrupted location (up to 1,000 square feet) to a prior state. This includes buildings, roads, and technological structures—but not living creatures. The restored state must have existed within the last 100 years, and anomalies within the area may resist reconstruction.</t>
  </si>
  <si>
    <t>Reconstructive Audit</t>
  </si>
  <si>
    <t>The target’s body is reconstructed, restoring all hit points and replacing any lost limbs or organs. If the target was subject to severe mutation or anomalous corruption, the spell attempts to restore their original form.</t>
  </si>
  <si>
    <t>a medical report detailing the target’s injuries</t>
  </si>
  <si>
    <t>System Reboot</t>
  </si>
  <si>
    <t>You reset the target’s physical and mental state. They remove all levels of exhaustion, regain 50 hit points, and end one curse, disease, or madness. However, they forget the last hour of their memories.</t>
  </si>
  <si>
    <t>a shattered data drive</t>
  </si>
  <si>
    <t>Looming Obsidian of Anarchy</t>
  </si>
  <si>
    <t>You conjure a monolithic shard of shadowed obsidian that floats, silent and watching, above the battlefield. Its presence is metaphysical—part hallucination, part intrusion from another plane. All who gaze upon it feel a pressure behind their eyes, as if something ancient is clawing through their thoughts.
Choose up to five creatures within range. Each must make an Intelligence saving throw at the start of each of their turns while the shard persists. On a failed save:
- The creature takes 6d6 cognitive damage.
- They suffer disadvantage on all Intelligence, Wisdom, and Charisma checks until the end of their next turn.
- If they fail by 5 or more, they also gain the Paranoid condition until the end of the spell.
On a successful save, a creature takes half damage and suffers no other effects that round.
The Obsidian Effect:  
At the end of each of your turns, the shard lashes out at a random creature of your choice within range that has already failed a saving throw this round. That creature immediately takes an additional 3d6 cognitive damage and must make a Wisdom saving throw or be frightened until the end of their next turn.</t>
  </si>
  <si>
    <t>Before the disaster at Hollowwatch, scribes documented the sudden, inexplicable disappearance of a scholar who had been researching Looming Obsidian of Anarchy. The books on his desk were found neatly stacked, except for one—a tome that had no title, and no pages inside.
Ancient tablets unearthed beneath the ruins of Gilded Hollow show early inscriptions of Looming Obsidian of Anarchy, yet none can determine the language it was written in. The characters shift when no one is looking.</t>
  </si>
  <si>
    <t xml:space="preserve">When casting this spell, roll a d20. On a 15 or higher:  
The obsidian shard briefly reflects the face of someone long dead. All creatures who fail their saves this round hear their name spoken in a voice they should not recognize.
</t>
  </si>
  <si>
    <t>Thallan's Saffron Truth</t>
  </si>
  <si>
    <t xml:space="preserve">
You conjure an arcane seal of forgotten syllables—a 15-foot-radius circle inscribed with runes that shimmer like powdered saffron. The circle centers on you and moves with you. For the duration:
- Allied creatures within the circle gain a +5 bonus to damage on all weapon and spell attacks targeting enemies outside the circle. This damage is impact type and manifests as reverberating glyphs striking in tandem with the blow.  
- If this spell was cast using your final remaining spell slot, this bonus increases to +10, and the runes emit a low harmonic tone audible only to allies.  
- Enemies who enter or begin their turn within the circle must succeed on a Charisma saving throw or suffer disadvantage on all melee attacks until the start of their next turn.  
- Any creature affected by a Condition (such as Paranoid, Compelled, or Frightened) takes an additional 1d6 cognitive damage when hit by attacks made from within the circle.
</t>
  </si>
  <si>
    <t xml:space="preserve">  
When cast with a spell slot of 8th level or higher, the radius increases by 5 feet per level, and the cognitive damage increases by 1d6 for each level above 7th.</t>
  </si>
  <si>
    <t>Legend says that Thallan's Saffron Truth was first cast by the exiled wizard Iosephine Blackquill, who sought to trap a god within a single word. The spell succeeded—but the god did not remain silent for long.
The ancients who first uttered Thallan's Saffron Truth did not record its effects, only their warnings: 'It does not unmake. It remembers. And it will remember you, too.'</t>
  </si>
  <si>
    <t xml:space="preserve">When casting this spell, roll a d20. On a 15 or higher:  
A shimmering sigil appears in the air above the circle. While it remains (1 round), all critical hits made from inside the circle deal maximum damage.
</t>
  </si>
  <si>
    <t>15 ft radius</t>
  </si>
  <si>
    <t>crushed eggshells</t>
  </si>
  <si>
    <t>The Spear of Forgotten Kings</t>
  </si>
  <si>
    <t>Unhinged, Damage, Rework, BETA</t>
  </si>
  <si>
    <t>Warlock, Wizard</t>
  </si>
  <si>
    <t xml:space="preserve">You conjure a colossal spectral spear—a jagged relic made from the reigns of long-erased monarchs and the regrets that bound them. The spear surges forward in a straight line up to 120 feet long and 5 feet wide.
All creatures in the area must make a Constitution saving throw. On a failure, a creature takes 6d10 chiaric damage. A creature reduced to 0 hit points by this spell has its soul torn from memory and imprisoned within a spectral throne—unable to be resurrected or contacted by any means short of a *Wish* or *Sovereign Accord*.
Success: A creature takes half damage and is not affected by the soul imprisonment effect.
While affected by this spell:
- The area traversed by the spear echoes faintly with overlapping royal decrees in unknown tongues.  
- Any creature standing within 10 feet of the line for the next minute suffers disadvantage on Charisma checks, as their voice seems small and forgotten.  
- You may sense the presence of monarchic or noble bloodlines within range for 1 round, as they resonate with the spear’s memory.
</t>
  </si>
  <si>
    <t>The Veil Market traders whisper of an artifact that contains The Spear of Forgotten Kings—a single black page that cannot be burned, torn, or marked. Those who read it vanish, leaving behind only the scent of ink and decay.</t>
  </si>
  <si>
    <t xml:space="preserve">At Higher Levels.  
When cast with a 9th-level spell slot:
- The damage increases to 8d10 chiaric.
- You may designate up to two lines extending from you in separate directions.
- Any creature slain by this spell also causes one creature of your choice within 30 feet to become Frightened of you for 1 minute (Wisdom save negates).
</t>
  </si>
  <si>
    <t xml:space="preserve">When casting this spell, roll a d20. On a 15 or higher:  
A ghostly coronation takes place in silence at the end of the line—an echo of an ancient ruler briefly manifesting. All who see it must succeed a DC 15 Wisdom saving throw or fall prone in reverence or horror.
</t>
  </si>
  <si>
    <t>Line (120 feet)</t>
  </si>
  <si>
    <t>A rusted crown from a long-dead ruler</t>
  </si>
  <si>
    <t>Tortak's Siphon of Haunting Moss</t>
  </si>
  <si>
    <t xml:space="preserve">You release a parasitic curse woven from the hunger of haunted moss. Choose a point within range. Any number of creatures within a 15-foot-radius sphere centered on that point must make a Constitution saving throw.
On a failed save:
- For the duration, the next 45 hit points of healing the target would receive are stolen. Instead of regaining hit points, you regain that amount instead, and the target receives nothing.
- Each time this transfer occurs, spectral moss visibly spreads along the target’s skin or clothing.
- While affected, targets have disadvantage on Constitution saving throws to maintain concentration on spells.
On a success:
- The creature is unaffected, but faint lichen-like patterns momentarily crawl across their skin before vanishing.
The spell ends early for a creature when it has had 45 HP of healing siphoned, when it drops to 0 hit points, or if you lose concentration.
</t>
  </si>
  <si>
    <t>At Higher Levels.  
When cast using a 9th-level spell slot:
- The siphon cap increases to 90 hit points per target.  
- You may choose up to two separate areas to apply this effect simultaneously (each requiring concentration to be maintained independently).</t>
  </si>
  <si>
    <t>&gt; “They say the moss grows where the dead still think of life—and that Tortak found a way to make it drink instead.”  
&gt; — Folk saying, forbidden in Concord’s inner districts</t>
  </si>
  <si>
    <t xml:space="preserve">When casting this spell, roll a d20. On a 15 or higher:  
A spectral overgrowth of bioluminescent moss blooms within the area. All creatures inside the sphere must succeed on a DC 15 Wisdom saving throw or be frightened of you until the start of your next turn.
</t>
  </si>
  <si>
    <t>Sphere/15 ft</t>
  </si>
  <si>
    <t>Yarol's Solitude</t>
  </si>
  <si>
    <t>Wizard, Warlock, Druid</t>
  </si>
  <si>
    <t xml:space="preserve">As poison takes hold of a creature, you interject a fragment of forgotten transmutation—an ancient algorithm embedded in the bones of the world. The poison twists, sharpens, and magnifies into something far more insidious.
When a creature within range becomes poisoned, you may use your reaction to invoke Yarol’s Solitude. That creature must make a Constitution saving throw.
- On a failure, the poison mutates into a paralytic toxin. The creature becomes paralyzed for 1d3 rounds, instead of poisoned. Their body stiffens in place, overwhelmed by the sudden chemical transformation.
- On a success, the creature resists paralysis, but the altered poison still takes hold. They are slowed for 1d3 rounds, and remain poisoned. While slowed, they cannot take reactions and their movement speed is halved.
</t>
  </si>
  <si>
    <t>Deep within the catacombs of Old Concord, the walls bear carvings of Yarol's Solitude. The inscriptions shift when unobserved, as if the stone itself is trying to remember something it once forgot.
Some scholars believe that Yarol's Solitude was not invented, but rather discovered—a piece of an equation written in the bones of the world itself.</t>
  </si>
  <si>
    <t>Yarol’s Solitude is whispered of in hushed tones by toxicologists and arcane alchemists. It’s not just a spell—it’s a vector for the evolution of poisons, a whispered equation that redefines toxicity itself. Some who survive the altered venom report glimpsing equations etched into the air, shifting endlessly out of focus.
---</t>
  </si>
  <si>
    <t>&gt; — Inquisition Record 432-AY (“Words that Should Not Be Spoken”)</t>
  </si>
  <si>
    <t xml:space="preserve">When casting this spell, roll a d20. On a 15 or higher:  
An obsidian bloom briefly sprouts beneath the target. The next spell you cast on them (before the end of your next turn) has advantage to hit, or they have disadvantage on their saving throw.
</t>
  </si>
  <si>
    <t>When a creature becomes poisoned</t>
  </si>
  <si>
    <t>1d3 rounds</t>
  </si>
  <si>
    <t>A.S.T.R.A.L. Protocol: Finality</t>
  </si>
  <si>
    <t>8th-level</t>
  </si>
  <si>
    <t>You invoke A.S.T.R.A.L.’s highest authority, temporarily imposing absolute corporate law upon reality.
- Creatures within the area must make a Wisdom saving throw. On a failure, they are rendered "non-actors" in reality and can take no hostile actions for the duration.
- Magical and anomalous effects cease functioning in the area, including spells, supernatural abilities, and reality distortions.
- Creatures, objects, and spells summoned by external forces are forcibly ejected.</t>
  </si>
  <si>
    <t>60 feet (20-feet-radius sphere)</t>
  </si>
  <si>
    <t>an encrypted containment directive</t>
  </si>
  <si>
    <t>Anomalous Energy Discharge</t>
  </si>
  <si>
    <t>Wizard, Druid, Warlock</t>
  </si>
  <si>
    <t>You trigger an uncontrolled anomaly event at a point you choose within range. All creatures in a 20-foot-radius sphere must make a Dexterity saving throw. On a failure, they take 12d10 impact damage and are thrown 30 feet away. On a success, they take half damage and are not pushed.
 The environment is warped by this discharge, causing random gravitational shifts and distorted colors in the area for 1 minute.</t>
  </si>
  <si>
    <t>an unstable anomaly, a crushed blueprint soaked in rainwater</t>
  </si>
  <si>
    <t>Due to its instability, use of this spell without a permit is classified as an extreme containment risk.</t>
  </si>
  <si>
    <t>Contractual Paradox</t>
  </si>
  <si>
    <t>You trap a creature in a recursive bureaucratic loop, forcing them to relive the same procedural nightmare indefinitely. The target must make a Wisdom saving throw or be unable to act for 1d10 days, believing themselves stuck in an endless cycle of paperwork, hearings, and bureaucratic review.</t>
  </si>
  <si>
    <t>a signed contract</t>
  </si>
  <si>
    <t>Fragmentation Rift</t>
  </si>
  <si>
    <t>You summon a dimensional rift in an unoccupied space you can see. Any creature within 20 feet of the rift must make a Dexterity saving throw or take 14d10 impact damage as the very fabric of reality slices through them. On a success, they take half damage.
 Any creature reduced to 0 HP by this spell is torn from reality, their fate unknown. The rift collapses at the end of your next turn.</t>
  </si>
  <si>
    <t>150 feet</t>
  </si>
  <si>
    <t>Kiss of the Nereid</t>
  </si>
  <si>
    <t>Rework, Rename</t>
  </si>
  <si>
    <t>The caster places a kiss upon the target’s lips, feeling their breath flutter like candlelight in the abyss.
- The target must make a Constitution saving throw (-2 penalty). On a failure, they drown instantly, as if submerged in unseen waters.
- Those who survive describe a vision of something immense, watching from beneath the surface.
- Those who fail leave behind no corpse, only a damp outline where they once stood.
 Some whisper that victims of this spell are not truly dead, but merely waiting… elsewhere.</t>
  </si>
  <si>
    <t>Man ↔ Cock</t>
  </si>
  <si>
    <t>Mispelled, Alteration, BETA</t>
  </si>
  <si>
    <t>You perform a questionable and extremely localized reality shift, transforming a humanoid creature into a very aggressive rooster (or vice versa).
- If the target is willing, the transformation is automatic and lasts for the duration or until reversed.
- If the target is unwilling, they must succeed on a Constitution saving throw or be transformed for the spell’s duration. They may repeat the save at the end of each of their turns.
- If the caster uses a Vitality and a Unique Offering blood pact the transformation becomes permanent unless reversed with Greater Restoration, Remove Curse, or Wish.
- A rooster (or chicken) transformed into a humanoid is always willing, if inexplicably smug about it.
Forms:
- A humanoid becomes a rooster (tiny beast, 1 HP, peck attack, high aggression, prone to crowing loudly).
- A rooster becomes a humanoid of the caster’s choice, with basic clothing and no memory of being a bird (but with lingering sass).
Reversing the Spell:
The caster may end the spell early as an action. Recasting the spell on the same target (while transformed) reverts them.</t>
  </si>
  <si>
    <t>Rooster Traits:
- Crowing: Emits a deafening *COCK-A-DOODLE-DOO!* once per hour.
- Aggressive: Will charge anything larger than it.
- Peck: Melee Weapon Attack, +3 to hit, 1 tearing damage.</t>
  </si>
  <si>
    <t>up to 10 minutes (or until dispelled)</t>
  </si>
  <si>
    <t>a rooster feather</t>
  </si>
  <si>
    <t>Unique Offering, Vitality Sacrifice</t>
  </si>
  <si>
    <t>Flesh to Paper</t>
  </si>
  <si>
    <t>Something unknown has touched this magic, leaving behind traces of those who have cast it before.
Before the disaster at Hollowwatch, scribes documented the sudden, inexplicable disappearance of a scholar who had been researching Flesh to Paper. The books on his desk were found neatly stacked, except for one—a tome that had no title, and no pages inside.
Ancient tablets unearthed beneath the ruins of Gilded Hollow show early inscriptions of Flesh to Paper, yet none can determine the language it was written in. The characters shift when no one is looking.
You rewrite a creature’s very being. They must make a Constitution saving throw or be transformed into a parchment scroll, trapped in written form until the scroll is burned.</t>
  </si>
  <si>
    <t>At 9th level, you may choose to inscribe their mind into a book instead, preserving their thoughts.</t>
  </si>
  <si>
    <t>A page torn from an ancient book</t>
  </si>
  <si>
    <t>Plasma Breach Event</t>
  </si>
  <si>
    <t>Wizard, Sorceror, Warlock</t>
  </si>
  <si>
    <t>You create a catastrophic energy discharge, rupturing space with raw plasma instability.
- Creatures in the area take 10d10 plasma damage (Dexterity save for half).
- Shielding, barriers, and magical defenses are disrupted for 1 minute.
- The affected zone becomes superheated and irradiated, making it hazardous for the next 24 hours.</t>
  </si>
  <si>
    <t>- At 9th level, the explosion becomes a chain reaction, affecting an additional 30-foot-radius area every round for 3 rounds.</t>
  </si>
  <si>
    <t>120 feet (40-feet-radius explosion)</t>
  </si>
  <si>
    <t>a volatile energy cell</t>
  </si>
  <si>
    <t>Reality Desync</t>
  </si>
  <si>
    <t>The target must make a Charisma saving throw. On a failure, they flicker between states of existence, giving all attacks against them advantage while they suffer disadvantage on all actions. They must re-roll all saving throws twice and take the worst result.</t>
  </si>
  <si>
    <t>You create a glitch in reality, causing multiple overlapping timelines to unfold at once.
- Creatures in the area must make an Intelligence saving throw.
- On a failure: They suffer 6d12 cognitive damage, as their mind struggles to process fractured existence.
- On a success: They take half damage and experience sensory distortion, giving them disadvantage on all attacks and saves for 1 round.
- Each round, a random anomaly occurs:
- 1-2: The area repeats itself, duplicating any actions that happened in the previous round.
- 3-4: The terrain briefly vanishes, exposing raw void, causing creatures to fall before space reforms.
- 5-6: Time accelerates or slows, making movement speeds randomly double or halve.</t>
  </si>
  <si>
    <t>60 feet (20-feet radius)</t>
  </si>
  <si>
    <t>a shard of distorted glass</t>
  </si>
  <si>
    <t>Reality Quarantine</t>
  </si>
  <si>
    <t>You seal an area within a 60-foot radius in a paranormal quarantine field, cutting it off from reality. While inside, creatures cannot enter or exit via teleportation, portals, or extradimensional travel. The barrier is invisible, but all attempts to perceive or interact with the area from outside automatically fail.
- Extremely powerful creatures (CR 20+) or anomalies may attempt a Charisma saving throw once per hour to destabilize the field.</t>
  </si>
  <si>
    <t>1 hours per caster level</t>
  </si>
  <si>
    <t>a reinforced containment module</t>
  </si>
  <si>
    <t>The Specter’s Invitation</t>
  </si>
  <si>
    <t>You invite a spirit back into the world of the living, but only for a limited time.
- The summoned spirit returns in physical form for 24 hours.
- They remember everything from their death and are aware that this is temporary.
- At the end of the spell’s duration, the spirit knows who summoned them—and may not be happy about it.</t>
  </si>
  <si>
    <t>a candle made from human tallow, burned over the target’s unburied remains</t>
  </si>
  <si>
    <t>True Name Etchings are highly dangerous and must be carved into the spirit’s remains before summoning. Without both a Blood Pact and True Name Etching, the spirit returns malformed, vengeful, or hollow.</t>
  </si>
  <si>
    <t>Time-Locked Asset</t>
  </si>
  <si>
    <t>You place an object, structure, or creature into a localized time stasis. It becomes immune to damage, aging, and movement, as if frozen in time. Attempts to interact with it fail as if it were an illusion.</t>
  </si>
  <si>
    <t>a corporate time-freeze contract, sealed within a wristwatch stuck at midnight</t>
  </si>
  <si>
    <t>Corporate contracts must be notarized and signed before casting.</t>
  </si>
  <si>
    <t>Freezing a sentient entity in time induces Moderate Arcane Strain.</t>
  </si>
  <si>
    <t>Bloom Canker</t>
  </si>
  <si>
    <t>Cleric, Sorceror, Druid</t>
  </si>
  <si>
    <t>You rupture the boundaries of cell cohesion in a targeted area, causing violent outgrowths of alien flesh and rapid, cancerous mutation.
All creatures in the area must make a Constitution saving throw. On a failure:
- They take 8d10 biologic damage.
- They are Mutated for the duration.
- Difficult terrain forms as cancerous masses spread across the ground.
On a success, creatures take half damage and are not mutated.
If cast in an urban area, strange organic material fuses with infrastructure, leaving behind semi-living architecture.</t>
  </si>
  <si>
    <t>20 ft radius sphere</t>
  </si>
  <si>
    <t>a scalpel sealed in wax</t>
  </si>
  <si>
    <t>Final Seal of Denial</t>
  </si>
  <si>
    <t>You lock a creature’s existence behind bureaucratic impossibility, stamping them out of authorized reality.
Choose one creature within range. Until the spell ends:
- It is immune to beneficial spells and healing effects.
- It cannot be resurrected or revived while under the effect.
- If it dies while the spell is active, no remains are left, and it is considered non-recoverable by any means short of a 9th-level anomaly correction.</t>
  </si>
  <si>
    <t>Denied. Reason: Incorrect form submitted.</t>
  </si>
  <si>
    <t>an expired authorization form and a drop of wax</t>
  </si>
  <si>
    <t>Living Archive Conversion</t>
  </si>
  <si>
    <t xml:space="preserve">You forcibly transcribe a creature’s memories, emotions, and essence into a self-sustaining organic record. The flesh remembers, even when the mind forgets.
Choose one creature you can see. It must make a Wisdom saving throw. On a failure:
- It becomes Incapacitated as its senses are hijacked by the recording process.
- For the duration, it speaks aloud its own memories in distorted, overlapping phrases.
- You can ask up to 3 questions, which the creature will answer truthfully—but often abstractly, as its mind is partially unspooled.
If the creature is killed during the effect, its body transforms into an autonomous fleshy codex. The codex:
- Contains full recollections of its life.
- Can be read with an Intelligence (Arcana) check (DC 17).
- May leak emotional residue to those nearby.
</t>
  </si>
  <si>
    <t>The final pages are still being written as it breathes.</t>
  </si>
  <si>
    <t>a bundle of sinew-bound paper</t>
  </si>
  <si>
    <t>Seam Ripper of the Living World</t>
  </si>
  <si>
    <t>Reality was stitched together for convenience. You simply choose to pull at the thread.
You target a location within range and unravel the physical rules governing that terrain. For the duration, the area becomes Sutured Terrain:
- Matter Becomes Pliable – Stone flows like fabric. Walls bulge and flex. Ground can ripple like water underfoot. All movement is halved unless the creature succeeds a Strength saving throw at the start of its turn.
- Gravity Buckles – Gravity shifts every round. Roll 1d4:
Objects Drift Apart – Doors fall off frames. Windows become free-floating. Anchored structures must pass a DC 18 Constitution saving throw each round or begin to unravel into ambient material.
- Creatures Warped by Terrain – At the end of each round, any creature in the area must succeed a Constitution saving throw or gain a random minor mutation (DM’s discretion). Mutations last until the end of their next long rest.</t>
  </si>
  <si>
    <t>| d4 | Gravity Effect                                                                 |
|----|---------------------------------------------------------------------------------|
| 1  | Gravity reverses. Non-anchored creatures fall upward.                      |
| 2  | Gravity pulls sideways. Creatures are dragged 10 feet to the left.         |
| 3  | Gravity flattens. Jumping is impossible, all creatures feel compressed.    |
| 4  | Gravity vanishes. Creatures float, gaining a flying speed equal to half their walking speed. |</t>
  </si>
  <si>
    <t>60 ft radius</t>
  </si>
  <si>
    <t>a surgeon’s needle dipped in your own blood</t>
  </si>
  <si>
    <t>Divine Audit of Worth</t>
  </si>
  <si>
    <t xml:space="preserve">You cast judgment not as punishment, but to clarify value. Up to six creatures of your choice gain the following benefits:
- Advantage on saving throws against fear, charm, and coercion.
- Once per round, when they miss an attack or fail a check, they may add 1d10 to the result.
- If they would drop to 0 HP, they instead drop to 1 and become immune to death until the start of their next turn.
</t>
  </si>
  <si>
    <t>Your worth is not in your success. It is in your endurance.</t>
  </si>
  <si>
    <t>a balance scale and a sliver of gold</t>
  </si>
  <si>
    <t>Concord of Dissonant Hearts</t>
  </si>
  <si>
    <t>You enforce a miraculous ceasefire between all present minds. Creatures of your choice within range must succeed on a Charisma saving throw or be overcome with a temporary wave of shared understanding and empathy.
- Affected creatures cannot attack, cast harmful spells, or willingly cause damage.
- They may still speak, act, or flee. If harmed by an external source, they may re-attempt the save at the end of their turn.
- Creatures under this spell see brief flashes of each other’s memories, chosen by the GM.</t>
  </si>
  <si>
    <t>For one impossible moment, everyone saw everyone else. And the fighting stopped.</t>
  </si>
  <si>
    <t>30 ft radius sphere</t>
  </si>
  <si>
    <t>a looping tape of static</t>
  </si>
  <si>
    <t>Blackout Protocol</t>
  </si>
  <si>
    <t>Grid</t>
  </si>
  <si>
    <t>9th-level</t>
  </si>
  <si>
    <t>You overload the power grid in a 1-mile radius, shutting down all lights, electronics, security systems, and communication networks. Magical effects dependent on technology, such as arcane encryption or digital barriers, are suppressed for the duration.</t>
  </si>
  <si>
    <t>a power relay</t>
  </si>
  <si>
    <t>Unregistered use of this spell is categorized as an act of digital terrorism.</t>
  </si>
  <si>
    <t>Corporate Directive: Population Lockdown</t>
  </si>
  <si>
    <t>You execute a high-level corporate lockdown order, activating mass control measures across an entire urban district.
- All creatures within range must make a Charisma saving throw. On a failure, they are mentally overridden, believing they must remain in place and comply with corporate orders.
- Affected creatures automatically fail Fear checks and cannot initiate hostilities unless attacked first.
- Electronic devices shut down or enter emergency lockdown mode unless directly authorized.</t>
  </si>
  <si>
    <t>- If cast at 10th level, the effect lasts until dispelled, and creatures who fail their save cannot willingly leave the area.</t>
  </si>
  <si>
    <t>1 mile (citywide effect)</t>
  </si>
  <si>
    <t>a digital broadcast signal</t>
  </si>
  <si>
    <t>Data Purge Cascade</t>
  </si>
  <si>
    <t>You invoke a catastrophic memory purge, erasing all stored information within a creature’s mind and body. The target must make an Intelligence saving throw. On a failure, it takes 15d10 cognitive damage and forgets all spells and abilities for 1 minute. On a success, it takes half damage and suffers no effect.
 A creature reduced to 0 hit points by this spell is permanently erased from all records, including memories, archives, and digital storage. Only a wish spell or divine intervention can restore them.</t>
  </si>
  <si>
    <t>a terminal with administrative access</t>
  </si>
  <si>
    <t>Major Arcane Strain – Memory fragmentation or long-term reality instability may occur.</t>
  </si>
  <si>
    <t>Exiled from the Self</t>
  </si>
  <si>
    <t>You force a target to become a stranger to themselves.
- The target must make a Charisma saving throw (DC 20) or lose all memories of who they are, what they believe, and what they have done.
- They retain skills and knowledge but have no personal attachment to any of it.
- The effect can only be undone by tracing their past through physical records or using a Wish spell.</t>
  </si>
  <si>
    <t>a mirror that has never reflected the caster</t>
  </si>
  <si>
    <t>Existence Audit</t>
  </si>
  <si>
    <t>The target must make a Charisma saving throw. On a failure, they are retroactively erased from history—no records, memories, or traces of their existence remain. Their equipment, personal effects, and any impacts they made on reality remain, but they are gone from time itself.</t>
  </si>
  <si>
    <t xml:space="preserve"> &gt;- The caster gains the Unstable condition
 &gt;- Casting this spell draws the attention of an entity known as “The Auditor.” Within 1d6 weeks, a paranormal force investigates whether the spell was justified. If not, it may attempt to restore the erased target—or worse, erase the caster in return.</t>
  </si>
  <si>
    <t>a forensic reality ledger, bound in classified government seals</t>
  </si>
  <si>
    <t>Existence Redacted</t>
  </si>
  <si>
    <t>You invoke an ultimate bureaucratic decree, striking a being from the known fabric of reality. Choose one creature within range. It must make a Charisma saving throw. On a failure, it takes 20d12 impact damage, and its name, face, and presence are erased from all documents and memories of those who fail a DC 20 Intelligence saving throw.
 On a success, it takes half damage and remains in existence.</t>
  </si>
  <si>
    <t>a blank, untouched book</t>
  </si>
  <si>
    <t>Final Expense Reimbursement</t>
  </si>
  <si>
    <t>You restore one creature to life, no matter how long they’ve been dead, provided a contract with a binding entity exists to authorize their return. If no contract exists, the spell fails.</t>
  </si>
  <si>
    <t>a signed resurrection contract</t>
  </si>
  <si>
    <t>Heartbreaker</t>
  </si>
  <si>
    <t>You speak a single phrase—a word whispered directly into the soul. The target alone hears it. A secret so unbearable, so cosmically cruel, that their body betrays them in its attempt to cope.- The target must make a Constitution saving throw.- On a failure, their heart seizes violently, and they instantly die. Their body remains intact, but their life cannot be restored by any means short of a Wish.- On a success, the target is left paralyzed for 1d6 + 6 weeks, gasping and broken. They cannot take actions, move, or speak for the duration.- Regardless of outcome, the target permanently suffers –1 Strength and –1 Constitution.</t>
  </si>
  <si>
    <t>Some believe the word is not magic, but a truth—a terrible, ancient syllable buried beneath existence. It cannot be remembered, but once spoken, its echo never fades.</t>
  </si>
  <si>
    <t>True Name Etching, (Optional)</t>
  </si>
  <si>
    <t>If the caster speaks the true name of the target as part of the spell, the target has disadvantage on the saving throw. This use is rare and dangerous, and permanently marks the caster’s aura with a traceable curse.</t>
  </si>
  <si>
    <t>Vow of Erasure</t>
  </si>
  <si>
    <t>You press your lips to the target’s skin—cheek, brow, hand, or lips. They do not cry out. They do not resist. There is no flash of light, no scream, no struggle.
There is only absence.- A creature with 150 hit points or fewer instantly dies.- After 1d10 rounds, their body crumbles into dust, leaving no corpse, no remains, and no residue.- They cannot be resurrected by any means—not by Wish, True Resurrection, or divine intervention. Their soul is simply gone, erased from all known realms.- Creatures immune to necrotic damage or undeath are not immune to this spell. It bypasses resistance and death saves.</t>
  </si>
  <si>
    <t>Some say the victims of this spell are not destroyed—but taken. To where, none dare ask.</t>
  </si>
  <si>
    <t>Manifest Anomalous Cataclysm</t>
  </si>
  <si>
    <t>Sorceror, Druid, Wizard</t>
  </si>
  <si>
    <t>You awaken a dormant anomaly, unleashing an event-scale paranormal disaster.
- Reality in the area distorts, causing gravity fluctuations, spatial rifts, and shifting architecture.
- Anomalous creatures and hazards begin manifesting, acting unpredictably.
- Any spell cast within the zone has a 50% chance of unexpected effects.</t>
  </si>
  <si>
    <t>- If cast at 10th level, the effect becomes permanent, transforming the area into a quarantined anomaly site.</t>
  </si>
  <si>
    <t>300 feet (1-mile-radius event)</t>
  </si>
  <si>
    <t>a classified A.S.T.R.A.L. document</t>
  </si>
  <si>
    <t>Mirabel's Final Verse</t>
  </si>
  <si>
    <t>Wizard, Bard, Warlock</t>
  </si>
  <si>
    <t>You press a lingering, soul-bound kiss onto the target—searing an immortal affliction into their very being. The kiss binds them not to life, but to endless suffering.
- The target contracts a disease or madness of your choice (DM discretion or chosen from existing rules).
- They cannot die by any means—not from wounds, fire, aging, poison, or deprivation.
- When reduced to 0 hit points, the target falls into a state of paralyzed consciousness: aware, feeling pain, but unable to move or speak.
- They do not regenerate, heal, or lose hit points unless healed or damaged magically.
- Only a Greater Restoration or Cure Disease cast by a Cleric of higher level than the caster can remove the affliction.</t>
  </si>
  <si>
    <t>Creatures cursed in this way have been found years—sometimes centuries—later, whispering forgotten apologies into the void.</t>
  </si>
  <si>
    <t>a vial of black salt, dissolved in a lover’s tear</t>
  </si>
  <si>
    <t>Total Contamination Event</t>
  </si>
  <si>
    <t>You rupture containment protocols in the fabric of the city. All creatures in the affected area take 8d10 radiation damage (CON save for half) and begin to emit unstable pulses.
- Creatures that fail are Contaminated. For 1 minute, any creature that ends its turn within 10 feet of them takes 1d4 radiation damage, stacking per exposure.
- Contaminated targets glow faintly and are unable to benefit from invisibility or stealth.
- Each contaminated target has a 10% chance to develop a unique anomaly (DM choice).</t>
  </si>
  <si>
    <t>40 ft radius</t>
  </si>
  <si>
    <t>a Geiger counter that flatlines</t>
  </si>
  <si>
    <t>Mutagenic Injection</t>
  </si>
  <si>
    <t>Damage, Medical</t>
  </si>
  <si>
    <t xml:space="preserve">You unleash a catastrophic surge of bio-alchemical corruption that destabilizes the target’s physical form on a cellular level.
Choose one creature within range. The target must make a Constitution saving throw.
- On a failed save, the target takes 8d10 biologic damage and gains the Mutated condition for the duration.  
- On a successful save, the target takes half damage and is not mutated.
Ending the Mutation:  
The target may repeat the Constitution saving throw at the end of each of its turns, ending the mutation on a success. If the target drops to 0 hit points while Mutated, its corpse becomes a biological hazard, exuding a 10-foot aura of corruption (DM determines lingering effects).
</t>
  </si>
  <si>
    <t xml:space="preserve">While Mutated:
- At the start of each of the target’s turns, roll 1d6 to determine a mutation:
  | d6 | Mutation Effect |
  |----|------------------|
  | 1  | Their limbs distend uncontrollably. They have disadvantage on melee attacks. |
  | 2  | Eyeless growths bloom across their face. They are blinded until the start of their next turn. |
  | 3  | Tumorous bone spines burst outward. The creature takes 2d6 piercing damage. |
  | 4  | Their flesh becomes translucent and jelly-like. They gain vulnerability to impact damage. |
  | 5  | Parasitic nerves wriggle under their skin. They cannot take reactions. |
  | 6  | Their lungs restructure into gills. They begin suffocating unless submerged in liquid. |
</t>
  </si>
  <si>
    <t>a shriveled piece of cloned flesh</t>
  </si>
  <si>
    <t>Obliteration Memorandum</t>
  </si>
  <si>
    <t>Bureaucratic, Corporate</t>
  </si>
  <si>
    <t xml:space="preserve">You issue a sanctioned directive that targets the body itself—its fluids, its functions, its very architecture. The spell sends a binding sigil through the bloodstream of one creature within range, turning their own vital systems against them.
The target must make a Constitution saving throw.
- On a failure, their blood ignites with administrative intent, warping to fulfill the directive. They take 10d10 biologic damage, and for the duration, they are affected by Internal Rebellion (see below).
- On a success, the target takes half damage and is not otherwise affected.
Internal Rebellion:  
For the duration of the spell, the creature suffers the following effects:
- Hemorrhagic Pulses: At the start of each of their turns, roll 1d6. On a 1–3, they take 3d6 biologic damage as their blood attempts to exit through eyes, ears, and pores.  
- Command Override: The caster may use a bonus action on their turn to force the target to use half their movement in a direction of the caster’s choosing, as their own muscle tissue spasms against them.  
- Hostile System Rejection: If the target attempts to cast a spell or take a reaction, they must first succeed on a Constitution saving throw or the action fails and they take 2d6 psychic damage.
If this spell reduces a creature to 0 hit points, their body implodes into mist and splinters of bone, leaving behind no remains.
</t>
  </si>
  <si>
    <t>a black file folder stamped “TOP SECRET”</t>
  </si>
  <si>
    <t>Classes</t>
  </si>
  <si>
    <t>Tags</t>
  </si>
  <si>
    <t>Area Tag</t>
  </si>
  <si>
    <t>Conditions</t>
  </si>
  <si>
    <t>Ability</t>
  </si>
  <si>
    <t>Skill</t>
  </si>
  <si>
    <t>Distance Type</t>
  </si>
  <si>
    <t>Duration Units</t>
  </si>
  <si>
    <t>Until</t>
  </si>
  <si>
    <t>Spell Attack Type</t>
  </si>
  <si>
    <t>Component Type</t>
  </si>
  <si>
    <t>Component ABRV</t>
  </si>
  <si>
    <t>A</t>
  </si>
  <si>
    <t>HL</t>
  </si>
  <si>
    <t>Single Target</t>
  </si>
  <si>
    <t>ST</t>
  </si>
  <si>
    <t>Under Contract</t>
  </si>
  <si>
    <t>Strength</t>
  </si>
  <si>
    <t>Athletics</t>
  </si>
  <si>
    <t>Sonic</t>
  </si>
  <si>
    <t>Fire</t>
  </si>
  <si>
    <t>Point</t>
  </si>
  <si>
    <t>Turns</t>
  </si>
  <si>
    <t>Dispelled</t>
  </si>
  <si>
    <t>V</t>
  </si>
  <si>
    <t>C</t>
  </si>
  <si>
    <t>Grants Temporary Hit Points</t>
  </si>
  <si>
    <t>THP</t>
  </si>
  <si>
    <t>Multiple Targets</t>
  </si>
  <si>
    <t>MT</t>
  </si>
  <si>
    <t>Under Surveillance</t>
  </si>
  <si>
    <t>Dexterity</t>
  </si>
  <si>
    <t>Acrobatics</t>
  </si>
  <si>
    <t>Electric</t>
  </si>
  <si>
    <t>Bludgeoning</t>
  </si>
  <si>
    <t>Line</t>
  </si>
  <si>
    <t>Bonus action</t>
  </si>
  <si>
    <t>Timed</t>
  </si>
  <si>
    <t>Rounds</t>
  </si>
  <si>
    <t>Triggered</t>
  </si>
  <si>
    <t>Ranged</t>
  </si>
  <si>
    <t>S</t>
  </si>
  <si>
    <t>D</t>
  </si>
  <si>
    <t>Requires Sight</t>
  </si>
  <si>
    <t>SGT</t>
  </si>
  <si>
    <t>Cube</t>
  </si>
  <si>
    <t>Constitution</t>
  </si>
  <si>
    <t>Sleight of Hand</t>
  </si>
  <si>
    <t>Cryonic</t>
  </si>
  <si>
    <t>Radiant</t>
  </si>
  <si>
    <t>Feet</t>
  </si>
  <si>
    <t>Minutes</t>
  </si>
  <si>
    <t>Discharged</t>
  </si>
  <si>
    <t>Other/Unknown</t>
  </si>
  <si>
    <t>R</t>
  </si>
  <si>
    <t>E</t>
  </si>
  <si>
    <t>Permanent Effects</t>
  </si>
  <si>
    <t>PRM</t>
  </si>
  <si>
    <t>N</t>
  </si>
  <si>
    <t>Delayed</t>
  </si>
  <si>
    <t>Intelligence</t>
  </si>
  <si>
    <t>Pyric</t>
  </si>
  <si>
    <t>Necrotic</t>
  </si>
  <si>
    <t>Yards</t>
  </si>
  <si>
    <t>Hours</t>
  </si>
  <si>
    <t>T</t>
  </si>
  <si>
    <t>Utility</t>
  </si>
  <si>
    <t>Scaling Effects</t>
  </si>
  <si>
    <t>SCL</t>
  </si>
  <si>
    <t>Cylinder</t>
  </si>
  <si>
    <t>Y</t>
  </si>
  <si>
    <t>Unstable</t>
  </si>
  <si>
    <t>Wisdom</t>
  </si>
  <si>
    <t>Arcana</t>
  </si>
  <si>
    <t>Tearing</t>
  </si>
  <si>
    <t>Psychic</t>
  </si>
  <si>
    <t>Emanation</t>
  </si>
  <si>
    <t>Miles</t>
  </si>
  <si>
    <t>Days</t>
  </si>
  <si>
    <t>I</t>
  </si>
  <si>
    <t>(Optional)</t>
  </si>
  <si>
    <t>Unhinged</t>
  </si>
  <si>
    <t>Scaling Targets</t>
  </si>
  <si>
    <t>SCT</t>
  </si>
  <si>
    <t>Sphere</t>
  </si>
  <si>
    <t>Erased</t>
  </si>
  <si>
    <t>Charisma</t>
  </si>
  <si>
    <t>History</t>
  </si>
  <si>
    <t>Impact</t>
  </si>
  <si>
    <t>Cold</t>
  </si>
  <si>
    <t>Radius</t>
  </si>
  <si>
    <t>Sight</t>
  </si>
  <si>
    <t>Weeks</t>
  </si>
  <si>
    <t>Summons Creature</t>
  </si>
  <si>
    <t>SMN</t>
  </si>
  <si>
    <t>Circle</t>
  </si>
  <si>
    <t>Altered</t>
  </si>
  <si>
    <t>Investigation</t>
  </si>
  <si>
    <t>Radiation</t>
  </si>
  <si>
    <t>Force</t>
  </si>
  <si>
    <t>Unlimited on the same plane</t>
  </si>
  <si>
    <t>Months</t>
  </si>
  <si>
    <t>Modifies AC</t>
  </si>
  <si>
    <t>MAC</t>
  </si>
  <si>
    <t>Square</t>
  </si>
  <si>
    <t>Q</t>
  </si>
  <si>
    <t>Displaced</t>
  </si>
  <si>
    <t>Nature</t>
  </si>
  <si>
    <t>Biologic</t>
  </si>
  <si>
    <t>Elemental</t>
  </si>
  <si>
    <t>Hemisphere</t>
  </si>
  <si>
    <t>Unlimited</t>
  </si>
  <si>
    <t>Years</t>
  </si>
  <si>
    <t>Psionic</t>
  </si>
  <si>
    <t>P</t>
  </si>
  <si>
    <t>Corporate</t>
  </si>
  <si>
    <t>TP</t>
  </si>
  <si>
    <t>L</t>
  </si>
  <si>
    <t>Paranoid</t>
  </si>
  <si>
    <t>Religion</t>
  </si>
  <si>
    <t>Void</t>
  </si>
  <si>
    <t>Lightning</t>
  </si>
  <si>
    <t>Forced Movement</t>
  </si>
  <si>
    <t>FMV</t>
  </si>
  <si>
    <t>Hemishpere</t>
  </si>
  <si>
    <t>H</t>
  </si>
  <si>
    <t>Bleeding</t>
  </si>
  <si>
    <t>Animal Handling</t>
  </si>
  <si>
    <t>Cognitive</t>
  </si>
  <si>
    <t>Piercing</t>
  </si>
  <si>
    <t>Alteration</t>
  </si>
  <si>
    <t>Rollable Effects</t>
  </si>
  <si>
    <t>RO</t>
  </si>
  <si>
    <t>Blinded</t>
  </si>
  <si>
    <t>Insight</t>
  </si>
  <si>
    <t>Distortive</t>
  </si>
  <si>
    <t>Thunder</t>
  </si>
  <si>
    <t>Creates Sunlight</t>
  </si>
  <si>
    <t>LGTS</t>
  </si>
  <si>
    <t>Charmed</t>
  </si>
  <si>
    <t>Medicine</t>
  </si>
  <si>
    <t>Chiaric</t>
  </si>
  <si>
    <t>Acid</t>
  </si>
  <si>
    <t>Creates Light</t>
  </si>
  <si>
    <t>Deafened</t>
  </si>
  <si>
    <t>Perception</t>
  </si>
  <si>
    <t>Poison</t>
  </si>
  <si>
    <t>Plane</t>
  </si>
  <si>
    <t>Uses Bonus Action</t>
  </si>
  <si>
    <t>UBA</t>
  </si>
  <si>
    <t>Aroused</t>
  </si>
  <si>
    <t>Survival</t>
  </si>
  <si>
    <t>Slashing</t>
  </si>
  <si>
    <t>Plane Shifting</t>
  </si>
  <si>
    <t>PS</t>
  </si>
  <si>
    <t>Frightened</t>
  </si>
  <si>
    <t>Deception</t>
  </si>
  <si>
    <t>Physical</t>
  </si>
  <si>
    <t>Obscures Vision</t>
  </si>
  <si>
    <t>OBS</t>
  </si>
  <si>
    <t>Grappeled</t>
  </si>
  <si>
    <t>Intimidation</t>
  </si>
  <si>
    <t>Light</t>
  </si>
  <si>
    <t>Difficult Terrain</t>
  </si>
  <si>
    <t>DFT</t>
  </si>
  <si>
    <t>Incapacitated</t>
  </si>
  <si>
    <t>Performance</t>
  </si>
  <si>
    <t>Shadow</t>
  </si>
  <si>
    <t>Additional Attack Damage</t>
  </si>
  <si>
    <t>AAD</t>
  </si>
  <si>
    <t>Invisible</t>
  </si>
  <si>
    <t>Persuasion</t>
  </si>
  <si>
    <t>Affects Objects</t>
  </si>
  <si>
    <t>OBJ</t>
  </si>
  <si>
    <t>Paralysed</t>
  </si>
  <si>
    <t>Zone</t>
  </si>
  <si>
    <t>Grants Advantage</t>
  </si>
  <si>
    <t>ADV</t>
  </si>
  <si>
    <t>Petrified</t>
  </si>
  <si>
    <t>Permanent If Repeated</t>
  </si>
  <si>
    <t>PIR</t>
  </si>
  <si>
    <t>Poisoned</t>
  </si>
  <si>
    <t>Prone</t>
  </si>
  <si>
    <t>Firearm</t>
  </si>
  <si>
    <t>Restrained</t>
  </si>
  <si>
    <t>Stunned</t>
  </si>
  <si>
    <t>Tracking</t>
  </si>
  <si>
    <t>Unconscious</t>
  </si>
  <si>
    <t>Security</t>
  </si>
  <si>
    <t>Exhaustion</t>
  </si>
  <si>
    <t>Influence</t>
  </si>
  <si>
    <t>Mutated</t>
  </si>
  <si>
    <t>Consecrated</t>
  </si>
  <si>
    <t>Desecrated</t>
  </si>
  <si>
    <t>Multi-Target</t>
  </si>
  <si>
    <t>Movement</t>
  </si>
  <si>
    <t>Morph</t>
  </si>
  <si>
    <t>Shoving</t>
  </si>
  <si>
    <t>Atomic</t>
  </si>
  <si>
    <t>Signal</t>
  </si>
  <si>
    <t>Bureaucratic</t>
  </si>
  <si>
    <t>Defense</t>
  </si>
  <si>
    <t>Horror</t>
  </si>
  <si>
    <t>Medical</t>
  </si>
  <si>
    <t>Component</t>
  </si>
  <si>
    <t>Animate Beard</t>
  </si>
  <si>
    <t>Artificer, Sorcerer, Warlock</t>
  </si>
  <si>
    <t>The caster’s beard (or the nearest beard within range) becomes sentient. (Randomness) → Beard Mutations – Roll a d6 for beard effects: 1.Beard attacks an enemy (1d6 slashing) 2.Beard grows 5 feet long 3.Beard wraps around your face, muffling speech 4.Beard turns into a snake 5.Beard jumps off and runs away 6.Beard bursts into flames. It cannot speak but dramatically strokes itself during moments of deep thought. Occasionally, it tries to look smug. One of the earliest anomalies was a set of facial hair strands that twitched and coiled unnaturally. Rogers' notes mention an 'uncontrollable follicular animation event' that caused panic in Lab 12.</t>
  </si>
  <si>
    <t>1d6</t>
  </si>
  <si>
    <t>slashing</t>
  </si>
  <si>
    <t>500 ft.</t>
  </si>
  <si>
    <t>Animate Fred</t>
  </si>
  <si>
    <t>Sorcerer, Warlock</t>
  </si>
  <si>
    <t xml:space="preserve">Temporarily animates a random inanimate object and names it Fred. (Roleplay) → Every time the spell is cast, Fred remembers past lives but never gets a happy ending. (Combat) → Fred is a Fighter – The object turns into a Tiny sentient combatant (AC 14, HP 10, 1d8 slam attack) for 1 minute. (Scaling) → Bigger Fred – At higher levels, Fred gets more HP, damage, or even casts spells.. Fred has no special abilities and a bad attitude. Roll a d10 to determine the spell's effect from the chaos table. There was never a 'Fred' on the A.S.T.R.A.L. personnel list. Yet, security logs document multiple reports of an unknown figure walking through the black site, only for footage to reveal an empty hallway. </t>
  </si>
  <si>
    <t>1d8</t>
  </si>
  <si>
    <t>S, V</t>
  </si>
  <si>
    <t>Banish Mint</t>
  </si>
  <si>
    <t>All traces of mint—including gum, toothpaste, and even the *concept* of mint—are erased within a 50-foot radius. (Synergy) → Could be disastrous if cast on a druid’s garden or used to manipulate a poison-based encounter. (Roleplay) → Entire cultures could outlaw this spell for ruining their cuisine. (Scaling) → Erase Stronger Substances – Higher levels allow banishing larger amounts of substances (e.g., removing all water from a creature).. Affected individuals immediately forget that mint ever existed, and chaos follows. A garbled A.S.T.R.A.L. directive warns against 'categorical erasure of conceptual flavors.' The document repeatedly glitches on the word 'mint' before cutting off entirely.</t>
  </si>
  <si>
    <t>Reaction (when an enemy attacks)</t>
  </si>
  <si>
    <t>Remove aromates of perfumes. EG food becomes fade, Remove deodorant, give bad breath etc.</t>
  </si>
  <si>
    <t>Bestow Coitus</t>
  </si>
  <si>
    <t>Mispelled, Sexual</t>
  </si>
  <si>
    <t>Artificer, Bard, Ranger</t>
  </si>
  <si>
    <t>The target immediately feels a strong urge to engage in intimate activities. (Randomness) → Love or Lust? – Roll a d6 for unintended effects: 1.The target falls in love with the nearest inanimate object 2.They become incredibly awkward for 1 hour (Charisma checks at disadvantage) 3.They propose marriage to the caster 4.They gain +2 AC but can’t attack creatures they’re attracted to 5.They take 1d4 cognitive damage from embarrassment 6.They summon a Cupid-like being who judges them (Roleplay) → Can be horribly misinterpreted in social settings and cause massive cultural misunderstandings.. The target must succeed on a Charisma saving throw or be charmed for 10 minute. The target must succeed on a Wisdom saving throw or be controlled for the duration. A scrambled footnote in an old A.S.T.R.A.L. archive mentions a 'linguistic corruption phenomenon' that rendered test subjects unable to distinguish intimacy from compulsive enchantment. The record ends abruptly, with entire pages missing.</t>
  </si>
  <si>
    <t>1d4</t>
  </si>
  <si>
    <t>cognitive</t>
  </si>
  <si>
    <t>Wisdom, Charisma</t>
  </si>
  <si>
    <t>10 minutes (Concentration)</t>
  </si>
  <si>
    <t>Charm Pierson</t>
  </si>
  <si>
    <t>Ranger, Sorcerer</t>
  </si>
  <si>
    <t>Enchants a random person named Pierson within 30 feet. Can affect anyone whose name the caster correctly guesses (Does not work on people you already know their name) (Roleplay) → Entire Pierson-based cults or factions could emerge because of this spell.. If no such person is present, the spell fizzles. Roll a d10 to determine the spell's effect from the chaos table. No known Piersons were ever assigned to A.S.T.R.A.L. Yet, scattered field reports reference individuals responding to that name before vanishing entirely.</t>
  </si>
  <si>
    <t>Chromatic Orc</t>
  </si>
  <si>
    <t>Temporarily turns a single orc into a shimmering, multicolored version of themselves. The orc emits dim light (Scaling) →Better lights, dim turns to bright, then the area enlarges. No other effect.</t>
  </si>
  <si>
    <t>Color Stray</t>
  </si>
  <si>
    <t>Temporarily gives all stray animals in the area a neon hue. The effect is harmless but deeply confusing to onlookers</t>
  </si>
  <si>
    <t>A random minor annoyance appears within 30 feet—such as a missing sock, an incorrectly labeled book, or an itch that cannot be scratched. The spell mention a chaos table but it is missing. No one is harmed, but everyone is frustrated. Roll a d10 to determine the spell's effect from the chaos table.</t>
  </si>
  <si>
    <t xml:space="preserve"> Additional Effects: The spell mention a chaos table but it is missing</t>
  </si>
  <si>
    <t>30 ft.</t>
  </si>
  <si>
    <t>Dancing Wights</t>
  </si>
  <si>
    <t>Sorcerer, Wizard</t>
  </si>
  <si>
    <t>Summons a group of undead who can only communicate through synchronized dance. (Randomness) → What Dance? – Roll a d6 for the dance style, which affects the wights’ behavior: 1.Waltz – Slow, elegant, hard to hit (bonus AC) 2.Breakdance – Spinning kicks deal 1d6 damage in melee 3.Ballet – Floating movement (ignore difficult terrain) 4.Flamenco – Makes loud stomping noises (draws attention) 5.Disco – Emits light (cancels invisibility in 10 ft radius) 6.Macarena – All creatures must make a Wisdom save or join in. The undead wights have AC 12, 20 HP, and can perform a coordinated melee attack dealing 1d6 chiaric damage. They vanish after 10 minutes. Make a ranged spell attack against a target. On a hit, the target takes 1d8 impact damage. The creature must make a Charisma saving throw. On a failure, it is banished to another plane for 1 minute. An internal A.S.T.R.A.L. memo, flagged for deletion, describes an 'incident in containment chamber Theta-7' where the dead began to mimic human movement patterns. The memo notes that personnel reported hearing music from no discernible source. Additional Effects: (Randomness) → What Dance? – Roll a d6 for the dance style, which affects the wights’ behavior: 1.Waltz – Slow, elegant, hard to hit (bonus AC) 2.Breakdance – Spinning kicks deal 1d6 damage in melee 3.Ballet – Floating movement (ignore difficult terrain) 4.Flamenco – Makes loud stomping noises (draws attention) 5.Disco – Emits light (cancels invisibility in 10 ft radius) 6.Macarena – All creatures must make a Wisdom save or join in (Randomness) → What Dance? – Roll a d6 for the dance style, which affects the wights’ behavior: 1.Waltz – Slow, elegant, hard to hit (bonus AC) 2.Breakdance – Spinning kicks deal 1d6 damage in melee 3.Ballet – Floating movement (ignore difficult terrain) 4.Flamenco – Makes loud stomping noises (draws attention) 5.Disco – Emits light (cancels invisibility in 10 ft radius) 6.Macarena – All creatures must make a Wisdom save or join in</t>
  </si>
  <si>
    <t>Delayed Blast Nap</t>
  </si>
  <si>
    <t>Artificer, Druid, Wizard</t>
  </si>
  <si>
    <t>The caster targets a creature, who immediately falls asleep for 1 minute. (Combat) → Tactical Sleep Bomb – The caster sets a timer (1-3 rounds) before the spell takes effect, forcing enemies to strategize around it. (Scaling) → Bigger Nap Radius – Higher levels increase the affected creatures and duration of sleep. (Combat) → Summon Dancing Undead Minions – The wights provide a passive aura that charms nearby creatures or causes disadvantage to attackers who fail a Wisdom save (too distracted by the dance).. The target must make a Wisdom saving throw or be rendered unconscious. A loud noise or physical disturbance wakes them. There was a time when this spell was a precision tool for battlefield control. But after the Event, its formula destabilized. Now, some claim that those who sleep under its effect speak in tongues and wake up murmuring words that don't exist. Additional Effects: (Combat) → Tactical Sleep Bomb – The caster sets a timer (1-3 rounds) before the spell takes effect, forcing enemies to strategize around it. (Scaling) → Bigger Nap Radius – Higher levels increase the affected creatures and duration of sleep. (Combat) → Summon Dancing Undead Minions – The wights provide a passive aura that charms nearby creatures or causes disadvantage to attackers who fail a Wisdom save (too distracted by the dance). (Combat) → Tactical Sleep Bomb – The caster sets a timer (1-3 rounds) before the spell takes effect, forcing enemies to strategize around it. (Scaling) → Bigger Nap Radius – Higher levels increase the affected creatures and duration of sleep. (Combat) → Summon Dancing Undead Minions – The wights provide a passive aura that charms nearby creatures or causes disadvantage to attackers who fail a Wisdom save (too distracted by the dance).</t>
  </si>
  <si>
    <t>Reaction (when an ally takes damage)</t>
  </si>
  <si>
    <t>1 minute</t>
  </si>
  <si>
    <t>120 ft.</t>
  </si>
  <si>
    <t>Detect Droppings</t>
  </si>
  <si>
    <t>Mispelled, Utility</t>
  </si>
  <si>
    <t>For the next hour, the caster can locate the most recent droppings of any creature within a 60 ft radius. (Scaling) → More Detailed Information – At higher levels, learn diet, age, and even possible magical contamination of the creature.. The droppings give a vague insight into the creature's nature. One of Zachary Rogers' personal logs includes a frantic note: 'THEY KEEP ASKING FOR TRACES. WE NEED TO STOP. SOMETHING IS LISTENING.' The rest of the entry is blacked out. Additional Effects: (Scaling) → More Detailed Information – At higher levels, learn diet, age, and even possible magical contamination of the creature. (Scaling) → More Detailed Information – At higher levels, learn diet, age, and even possible magical contamination of the creature.</t>
  </si>
  <si>
    <t>Reaction (when an object is thrown at you)</t>
  </si>
  <si>
    <t>Detect Food</t>
  </si>
  <si>
    <t>The caster instantly knows where all nearby snacks are located. (Scaling) → Identifies Poisoned Food – At higher levels, the spell distinguishes safe vs. dangerous food.. This does not include full meals, just snacks. Additional Effects: (Scaling) → Identifies Poisoned Food – At higher levels, the spell distinguishes safe vs. dangerous food. (Scaling) → Identifies Poisoned Food – At higher levels, the spell distinguishes safe vs. dangerous food.</t>
  </si>
  <si>
    <t>Detect Tropes</t>
  </si>
  <si>
    <t>For the next hour, the caster gains an uncanny ability to point out clichés. (Roleplay) → Perfect for breaking the fourth wall and ruining a DM’s twists. If the DM manifest its irritation in anyway, subtle or not, the character can break the fourth wall. Effect: He can ask a question to the DM. The DM has to answer but he can answer in cryptic way. After the DM answer, the character forget the answer on a conscious level but it’s subconsious still remembers. The player will have gut feelings, instinct and such. Roleplay accordingly.. They can sense when a villain is about to monologue, when a side character has ‘tragic backstory energy,’ or when an ancient prophecy is about to be relevant. This knowledge, however, is insufferable to everyone else. Additional Effects: (Roleplay) → Perfect for breaking the fourth wall and ruining a DM’s twists. If the DM manifest its irritation in anyway, subtle or not, the character can break the fourth wall. Effect: He can ask a question to the DM. The DM has to answer but he can answer in cryptic way. After the DM answer, the character forget the answer on a conscious level but it’s subconsious still remembers. The player will have gut feelings, instinct and such. Roleplay accordingly. (Roleplay) → Perfect for breaking the fourth wall and ruining a DM’s twists. If the DM manifest its irritation in anyway, subtle or not, the character can break the fourth wall. Effect: He can ask a question to the DM. The DM has to answer but he can answer in cryptic way. After the DM answer, the character forget the answer on a conscious level but it’s subconsious still remembers. The player will have gut feelings, instinct and such. Roleplay accordingly.</t>
  </si>
  <si>
    <t>1 hour (Concentration)</t>
  </si>
  <si>
    <t>Mispelled, Damage</t>
  </si>
  <si>
    <t>Rains thousands of small dice onto the battlefield, dealing 2d6 impact damage to all creatures in a 10 ft radius. (Scaling) → Bigger Dice, Bigger Damage – At higher levels, damage scales up and dice get larger (e.g., at 6th level, you’re throwing d20s like boulders). When bigger they start doing damage, but only non-lethal damage. You roll an attack roll. Not to see if you hit the target, but it give you a special effect on a critical hit (effect at the DM’s discretion). Affected creatures must make a Dexterity saving throw or take full damage. A corrupted entry in an A.S.T.R.A.L. database refers to 'probability distortions manifesting as anomalous projectiles.' The file name was simply 'd1.ce'. Additional Effects: (Scaling) → Bigger Dice, Bigger Damage – At higher levels, damage scales up and dice get larger (e.g., at 6th level, you’re throwing d20s like boulders). When bigger they start doing damage, but only non-lethal damage. You roll an attack roll. Not to see if you hit the target, but it give you a special effect on a critical hit (effect at the DM’s discretion) (Scaling) → Bigger Dice, Bigger Damage – At higher levels, damage scales up and dice get larger (e.g., at 6th level, you’re throwing d20s like boulders). When bigger they start doing damage, but only non-lethal damage. You roll an attack roll. Not to see if you hit the target, but it give you a special effect on a critical hit (effect at the DM’s discretion)</t>
  </si>
  <si>
    <t>2d6</t>
  </si>
  <si>
    <t>Selft</t>
  </si>
  <si>
    <t>Disguise Serf</t>
  </si>
  <si>
    <t>Cleric, Sorcerer, Warlock</t>
  </si>
  <si>
    <t>Transforms a lowly peasant into a slightly better-dressed peasant. (Scaling) → Larger Disguise Scope – At higher levels, this affects multiple creatures. They still can’t enter noble estates. Additional Effects: (Scaling) → Larger Disguise Scope – At higher levels, this affects multiple creatures (Scaling) → Larger Disguise Scope – At higher levels, this affects multiple creatures</t>
  </si>
  <si>
    <t>Dope Trick</t>
  </si>
  <si>
    <t>Bard, Druid, Wizard</t>
  </si>
  <si>
    <t>The caster performs an absolutely sick trick on a skateboard that impresses everyone but grants no combat advantage. If enough people are impressed, (clarify of to quantify that), the character gains advantage on all charisma skill checks and saving throw until a long rest.. Additional Effects: If enough people are impressed, (clarify of to quantify that), the character gains advantage on all charisma skill checks and saving throw until a long rest. If enough people are impressed, (clarify of to quantify that), the character gains advantage on all charisma skill checks and saving throw until a long rest.</t>
  </si>
  <si>
    <t>Mispelled, Unhinged</t>
  </si>
  <si>
    <t>Allows the caster to see nerds through walls. At higher level, you can see through their clothes but the target becomes aware that they is being watched.. No other vision enhancement is granted. Additional Effects: At higher level, you can see through their clothes but the target becomes aware that they is being watched. At higher level, you can see through their clothes but the target becomes aware that they is being watched.</t>
  </si>
  <si>
    <t>Enrage Person</t>
  </si>
  <si>
    <t>Sorcerer</t>
  </si>
  <si>
    <t>Selects one creature and makes them inexplicably furious. (Combat) → Forced Aggro – Target must make a Wisdom saving throw or immediately attack the nearest creature (friend or foe). (Roleplay) → Could be used in social sabotage, bar fights, or destabilizing political figures. (Randomness) → Unpredictable Anger – Roll a d6 for what makes them mad: 1.They rage against the caster (focused aggression) 2.They rage against themselves (disadvantage on all attacks) 3.They rage against the nearest wall (wasting their turn) 4.They rage against their own clothing (ripping it off) 5.They rage against a random inanimate object 6.They rage against an unseen cosmic force (looking paranoid). The target must succeed on a Wisdom saving throw or be forced to attack the nearest creature for 1 minute. Make a ranged spell attack against a target. On a hit, the target takes 1d8 impact damage. The creature must make a Charisma saving throw. On a failure, it is banished to another plane for 1 minute. Survivors of the black site recall an experiment labeled 'RAGE-031'. Test subjects were exposed to audio loops of distorted whispers. None of them retained the ability to reason afterward. Additional Effects: (Combat) → Forced Aggro – Target must make a Wisdom saving throw or immediately attack the nearest creature (friend or foe). (Roleplay) → Could be used in social sabotage, bar fights, or destabilizing political figures. (Randomness) → Unpredictable Anger – Roll a d6 for what makes them mad: 1.They rage against the caster (focused aggression) 2.They rage against themselves (disadvantage on all attacks) 3.They rage against the nearest wall (wasting their turn) 4.They rage against their own clothing (ripping it off) 5.They rage against a random inanimate object 6.They rage against an unseen cosmic force (looking paranoid) (Combat) → Forced Aggro – Target must make a Wisdom saving throw or immediately attack the nearest creature (friend or foe). (Roleplay) → Could be used in social sabotage, bar fights, or destabilizing political figures. (Randomness) → Unpredictable Anger – Roll a d6 for what makes them mad: 1.They rage against the caster (focused aggression) 2.They rage against themselves (disadvantage on all attacks) 3.They rage against the nearest wall (wasting their turn) 4.They rage against their own clothing (ripping it off) 5.They rage against a random inanimate object 6.They rage against an unseen cosmic force (looking paranoid)</t>
  </si>
  <si>
    <t>Explosive Runes?</t>
  </si>
  <si>
    <t>A written document is imbued with unstable magic. Change for a random innofensive effect (Roll on a table of effect, confettis, trumpets, raspberry, mild insults) (Scaling) → More Runes, More Chaos – At higher levels, place multiple runes with random effects. (All effects are innofensive). When case at higher levels all the documents have the same effect.. Upon reading, the text almost explodes—but then changes its mind and simply bursts into aggressive confetti instead. Additional Effects: Change for a random innofensive effect (Roll on a table of effect, confettis, trumpets, raspberry, mild insults) (Scaling) → More Runes, More Chaos – At higher levels, place multiple runes with random effects. (All effects are innofensive). When case at higher levels all the documents have the same effect. Change for a random innofensive effect (Roll on a table of effect, confettis, trumpets, raspberry, mild insults) (Scaling) → More Runes, More Chaos – At higher levels, place multiple runes with random effects. (All effects are innofensive). When case at higher levels all the documents have the same effect.</t>
  </si>
  <si>
    <t>Feather Ball</t>
  </si>
  <si>
    <t>Creates a lightweight sphere made of feathers. No new effects. It’s fun to toss around but otherwise entirely useless. Additional Effects: No new effects No new effects</t>
  </si>
  <si>
    <t>Sphere/10 ft</t>
  </si>
  <si>
    <t>M, S, V</t>
  </si>
  <si>
    <t>(A doll's eye)</t>
  </si>
  <si>
    <t>Feeblemime</t>
  </si>
  <si>
    <t>Artificer, Druid, Paladin</t>
  </si>
  <si>
    <t>The target is cursed to act out everything they say. No new effects. The target must make a Charisma saving throw or be unable to communicate normally for 1 minute. The target must make a Constitution saving throw or suffer the curse's effects for 1 minute. Security footage from the black site shows an entire research team miming silently in unison for three hours. No audio recorded. The final frames show them turning toward the camera, mouths moving—but no sound was ever heard. Additional Effects: No new effects No new effects</t>
  </si>
  <si>
    <t>Constitution, Charisma</t>
  </si>
  <si>
    <t>Fight</t>
  </si>
  <si>
    <t>Artificer, Paladin, Sorcerer</t>
  </si>
  <si>
    <t>Causes two creatures within range to develop an overwhelming desire to settle their differences through dramatic fisticuffs. (Combat) → Forced Duel – Both creatures must succeed on a Charisma save or attack each other until the spell ends. (Scaling) → Bigger Brawls – At higher levels, affects more creatures, turning it into an all-out brawl.. If no valid targets exist, the caster begins punching the air aggressively. A restricted A.S.T.R.A.L. file contains an altered combat training protocol where personnel would fight without instruction. The log notes: 'Speech patterns compromised. They cannot refuse. THEY CANNOT REFUSE.'</t>
  </si>
  <si>
    <t>Paladin, Ranger, Wizard</t>
  </si>
  <si>
    <t>Summons a tiny, flaming horse. (Combat) → Flaming Warhorse – The colt can be ridden into battle, deals 1d6 pyric damage on melee attacks, and explodes when dismissed (2d6 pyric damage). Roll a dc 10 wisdom saving throw, on a fail. The spell ends and it explodes Requires Concentration. It has AC 14, 20 HP, and fire resistance. It can charge an enemy, dealing 1d6 pyric damage. The colt vanishes after 10 minutes. A failed thaumaturgical experiment in Lab 4B resulted in a flickering equine figure that trotted endlessly in a closed loop. Its presence caused minor memory inconsistencies in personnel who observed it for extended periods.</t>
  </si>
  <si>
    <t>pyric</t>
  </si>
  <si>
    <t>Frog Cloud</t>
  </si>
  <si>
    <t>Cleric, Paladin, Ranger</t>
  </si>
  <si>
    <t>A dense cloud of tiny frogs rains from the sky. (Combat) → Slippery Hazard – The cloud rains frogs, creating difficult terrain in a 10-ft. radius. (Scaling) → More Frogs, More Chaos – At higher levels, the cloud expands, affecting a larger area.. They are non-hostile but insist on croaking in harmony. Additional Effects: (Combat) → Slippery Hazard – The cloud rains frogs, creating difficult terrain in a 10-ft. radius. (Scaling) → More Frogs, More Chaos – At higher levels, the cloud expands, affecting a larger area. (Combat) → Slippery Hazard – The cloud rains frogs, creating difficult terrain in a 10-ft. radius. (Scaling) → More Frogs, More Chaos – At higher levels, the cloud expands, affecting a larger area.</t>
  </si>
  <si>
    <t>1 hour</t>
  </si>
  <si>
    <t>Gaseous Fart</t>
  </si>
  <si>
    <t>Produces a massive, lingering odor cloud. Enemies within 5 feet must make a Constitution. On a failed save must take the rest of their turn to find who dealt it. If someone succeed the saving throw he will humiliate the caster because that’s who dealt it. The caster becomes demoralized. 1 success: disadvantage on skill check for the next hour 2 success: disadvantage on saving throw 3 success: disadvantage on attack roll. It is silent, deadly, and utterly inescapable. Additional Effects: Enemies within 5 feet must make a Constitution. On a failed save must take the rest of their turn to find who dealt it. If someone succeed the saving throw he will humiliate the caster because that’s who dealt it. The caster becomes demoralized. 1 success: disadvantage on skill check for the next hour 2 success: disadvantage on saving throw 3 success: disadvantage on attack roll Enemies within 5 feet must make a Constitution. On a failed save must take the rest of their turn to find who dealt it. If someone succeed the saving throw he will humiliate the caster because that’s who dealt it. The caster becomes demoralized. 1 success: disadvantage on skill check for the next hour 2 success: disadvantage on saving throw 3 success: disadvantage on attack roll</t>
  </si>
  <si>
    <t>Glade Ward</t>
  </si>
  <si>
    <t>Artificer, Druid, Sorcerer</t>
  </si>
  <si>
    <t>The affected creature is blessed—or cursed—with an unnatural connection to forests. The spell in ironically named. There are no forest in Concord City. Instead it grows lichen in a big area around the caster. It he is blessed, the lichens are friendly, if he is cursed, they will not be friendly Maybe something about finding a secret para-dimensional park?. They struggle to find any opening in dense foliage but can effortlessly avoid tripping on hidden roots. Also, deer just kind of stare at them. An unwilling target must make a Wisdom saving throw. The effect lasts for 1 hour or until dispelled. The target must make a Constitution saving throw or suffer the curse's effects for 1 minute. A heavily censored document refers to an experiment with 'environmental stabilization anomalies.' The notes are vague, but one section mentions a ward that 'defied categorization, neither boon nor curse—only rewritten fate.' Additional Effects: The spell in ironically named. There are no forest in Concord City. Instead it grows lichen in a big area around the caster. It he is blessed, the lichens are friendly, if he is cursed, they will not be friendly Maybe something about finding a secret para-dimensional park? The spell in ironically named. There are no forest in Concord City. Instead it grows lichen in a big area around the caster. It he is blessed, the lichens are friendly, if he is cursed, they will not be friendly Maybe something about finding a secret para-dimensional park?</t>
  </si>
  <si>
    <t>Constitution, Wisdom</t>
  </si>
  <si>
    <t>Glibness 2: The Lies Continue</t>
  </si>
  <si>
    <t>For the next hour, the caster can lie with absolute confidence. (Combat) → Reality-Bending Lies – Once per round, the caster can convince the DM of something minor, forcing it to be true. (Scaling) → More Powerful Lies – At 9th level, the caster can temporarily alter laws of physics.. Unfortunately, the lies are always completely unbelievable, such as ‘I invented bread’ or ‘I once punched the moon.’ Additional Effects: (Combat) → Reality-Bending Lies – Once per round, the caster can convince the DM of something minor, forcing it to be true. (Scaling) → More Powerful Lies – At 9th level, the caster can temporarily alter laws of physics. (Combat) → Reality-Bending Lies – Once per round, the caster can convince the DM of something minor, forcing it to be true. (Scaling) → More Powerful Lies – At 9th level, the caster can temporarily alter laws of physics.</t>
  </si>
  <si>
    <t>Paladin, Ranger, Warlock</t>
  </si>
  <si>
    <t>Summons an assortment of decorative gourds and a single miniature dock. (Scaling) → Bigger Objects – At higher levels, the spell summons entire sections of wooden piers or giant pumpkins. (Randomness) → Roll a d6 for Summon Result: 1.Small pile of gourds (no effect). 2.Gourds explode into harmless sparks. 3.A dock appears 10 feet away. 4.A small boat materializes on the dock. 5.A talking scarecrow appears briefly. 6.A single, massive gourd appears.. The meaning of this spell is lost to time. Additional Effects: (Scaling) → Bigger Objects – At higher levels, the spell summons entire sections of wooden piers or giant pumpkins. (Randomness) → Roll a d6 for Summon Result: 1.Small pile of gourds (no effect). 2.Gourds explode into harmless sparks. 3.A dock appears 10 feet away. 4.A small boat materializes on the dock. 5.A talking scarecrow appears briefly. 6.A single, massive gourd appears. (Scaling) → Bigger Objects – At higher levels, the spell summons entire sections of wooden piers or giant pumpkins. (Randomness) → Roll a d6 for Summon Result: 1.Small pile of gourds (no effect). 2.Gourds explode into harmless sparks. 3.A dock appears 10 feet away. 4.A small boat materializes on the dock. 5.A talking scarecrow appears briefly. 6.A single, massive gourd appears.</t>
  </si>
  <si>
    <t>Illusory Wallflower</t>
  </si>
  <si>
    <t>A spectral figure manifests in the corner of the room, radiating unbearable social awkwardness. (Combat) → Stealth Aura – Enemies must make a Wisdom save or be unable to target the caster unless attacked. (Scaling) → Stronger Social Camouflage – At higher levels, the caster becomes functionally unnoticeable even when speaking. (Randomness) → Roll a d6 for Weird Side Effects: 1.People ignore you, even if you shout. 2.Your voice echoes slightly. 3.Your reflection disappears. 4.All written text about you vanishes. 5.Animals seem nervous around you. 6.People only remember vague things about you.. Anyone who notices it immediately forgets why they entered the room. Additional Effects: (Combat) → Stealth Aura – Enemies must make a Wisdom save or be unable to target the caster unless attacked. (Scaling) → Stronger Social Camouflage – At higher levels, the caster becomes functionally unnoticeable even when speaking. (Randomness) → Roll a d6 for Weird Side Effects: 1.People ignore you, even if you shout. 2.Your voice echoes slightly. 3.Your reflection disappears. 4.All written text about you vanishes. 5.Animals seem nervous around you. 6.People only remember vague things about you. (Combat) → Stealth Aura – Enemies must make a Wisdom save or be unable to target the caster unless attacked. (Scaling) → Stronger Social Camouflage – At higher levels, the caster becomes functionally unnoticeable even when speaking. (Randomness) → Roll a d6 for Weird Side Effects: 1.People ignore you, even if you shout. 2.Your voice echoes slightly. 3.Your reflection disappears. 4.All written text about you vanishes. 5.Animals seem nervous around you. 6.People only remember vague things about you.</t>
  </si>
  <si>
    <t>Reaction (when a spell is cast nearby)</t>
  </si>
  <si>
    <t>Inject Sword</t>
  </si>
  <si>
    <t>The caster attempts to administer a sword directly into the target, as if it were a life-saving injection. (Combat) → Instant Stab – Forces a Dexterity save or embeds a sword into the target (1d8 tearing damage). (Scaling) → Bigger Weapons, Weirder Targets – At higher levels, can inject weapons with piercing or slashing type. Unfortunately, swords are not meant for medical use, and the results are both ineffective and deeply concerning. Additional Effects: (Combat) → Instant Stab – Forces a Dexterity save or embeds a sword into the target (1d8 tearing damage). (Scaling) → Bigger Weapons, Weirder Targets – At higher levels, can inject weapons with piercing or slashing type (Combat) → Instant Stab – Forces a Dexterity save or embeds a sword into the target (1d8 tearing damage). (Scaling) → Bigger Weapons, Weirder Targets – At higher levels, can inject weapons with piercing or slashing type</t>
  </si>
  <si>
    <t>piercing</t>
  </si>
  <si>
    <t>Insect Sword</t>
  </si>
  <si>
    <t>The caster conjures a sword composed entirely of writhing, venomous insects. remove the ranged spell attack. Remove the banishment to another plane. (Combat) → Swarm Blade – Deals 1d8 slashing + 1d4 poison damage, but dissolves into bugs when dropped. (Randomness) → What Type of Bug Sword? 1.Beetle Blade – Heavily armored, but slower. 2.Wasp Rapier – Has a venomous sting (extra poison damage). 3.Centipede Saber – Extra attacks, but writhes unnervingly. 4.Butterfly Greatsword – Looks beautiful, but does nothing extra. 5.Scarab Shortsword – Glows in the dark. 6.Mosquito Dagger – Steals 1 HP on a hit.. The sword buzzes and occasionally tries to bite its wielder. On a critical hit, the swarm disassembles and scatters, leaving the wielder holding only a suspiciously empty hilt. Make a ranged spell attack against a target. On a hit, the target takes 1d8 impact damage. The creature must make a Charisma saving throw. On a failure, it is banished to another plane for 1 minute. Additional Effects: remove the ranged spell attack. Remove the banishment to another plane. (Combat) → Swarm Blade – Deals 1d8 slashing + 1d4 poison damage, but dissolves into bugs when dropped. (Randomness) → What Type of Bug Sword? 1.Beetle Blade – Heavily armored, but slower. 2.Wasp Rapier – Has a venomous sting (extra poison damage). 3.Centipede Saber – Extra attacks, but writhes unnervingly. 4.Butterfly Greatsword – Looks beautiful, but does nothing extra. 5.Scarab Shortsword – Glows in the dark. 6.Mosquito Dagger – Steals 1 HP on a hit. remove the ranged spell attack. Remove the banishment to another plane. (Combat) → Swarm Blade – Deals 1d8 slashing + 1d4 poison damage, but dissolves into bugs when dropped. (Randomness) → What Type of Bug Sword? 1.Beetle Blade – Heavily armored, but slower. 2.Wasp Rapier – Has a venomous sting (extra poison damage). 3.Centipede Saber – Extra attacks, but writhes unnervingly. 4.Butterfly Greatsword – Looks beautiful, but does nothing extra. 5.Scarab Shortsword – Glows in the dark. 6.Mosquito Dagger – Steals 1 HP on a hit.</t>
  </si>
  <si>
    <t>Legend Leer</t>
  </si>
  <si>
    <t>Artificer, Bard, Druid</t>
  </si>
  <si>
    <t>The caster’s gaze becomes so intense that it forces everyone in range to acknowledge them dramatically. Just remove the banishment and keep the spell without additional effects. The creature must make a Charisma saving throw. On a failure, it is banished to another plane for 1 minute. Additional Effects: Just remove the banishment and keep the spell without additional effects Just remove the banishment and keep the spell without additional effects</t>
  </si>
  <si>
    <t>Leomunds Magic Chess</t>
  </si>
  <si>
    <t>Summons an enchanted chessboard where the pieces move themselves. Keep it as is. Unfortunately, the game always ends in a stalemate. Additional Effects: Keep it as is Keep it as is</t>
  </si>
  <si>
    <t>Lightning Belt</t>
  </si>
  <si>
    <t>Creates a belt crackling with electricity. (Combat) → Static Field Aura – Enemies within 5 feet take 1d4 electric damage every time the caster moves. Even the caster, Metallic objects in a 10 foot radius becomes magnetized, a faint hum is heard, It emits dim light in a 60 feet radius every time it shocks, The air on the caster’s head raises.. Unfortunately, it shocks the wearer every time they try to sit down. Additional Effects: (Combat) → Static Field Aura – Enemies within 5 feet take 1d4 electric damage every time the caster moves. Even the caster, Metallic objects in a 10 foot radius becomes magnetized, a faint hum is heard, It emits dim light in a 60 feet radius every time it shocks, The air on the caster’s head raises. (Combat) → Static Field Aura – Enemies within 5 feet take 1d4 electric damage every time the caster moves. Even the caster, Metallic objects in a 10 foot radius becomes magnetized, a faint hum is heard, It emits dim light in a 60 feet radius every time it shocks, The air on the caster’s head raises.</t>
  </si>
  <si>
    <t>electric</t>
  </si>
  <si>
    <t>The caster instantly knows the exact location of their misplaced keys. Keep it as is. Unfortunately, this spell cannot retrieve them—it merely confirms they are somewhere deeply inconvenient. Additional Effects: Keep it as is Keep it as is</t>
  </si>
  <si>
    <t>(A broken gear)</t>
  </si>
  <si>
    <t>Creates a single, perfectly ordinary log. The log appears anywhere in a 50 feet area around the caster. Roll on a random table for the essence of the wood.. The caster can use it as a seat, a weapon, or just admire its log-ness. Additional Effects: The log appears anywhere in a 50 feet area around the caster. Roll on a random table for the essence of the wood. The log appears anywhere in a 50 feet area around the caster. Roll on a random table for the essence of the wood.</t>
  </si>
  <si>
    <t>Lurning Hands</t>
  </si>
  <si>
    <t>The caster’s hands suddenly crave knowledge and try to grab as many books as possible. (Combat) → Auto-Skill Hands – Hands gain proficiency in one tool or weapon for 10 minutes. (Scaling) → More Hands, More Knowledge – At higher levels, the hands gain multiple proficiencies or act independently. Roll a Wisdom save to keep control of your hands.. Additional Effects: (Combat) → Auto-Skill Hands – Hands gain proficiency in one tool or weapon for 10 minutes. (Scaling) → More Hands, More Knowledge – At higher levels, the hands gain multiple proficiencies or act independently. Roll a Wisdom save to keep control of your hands. (Combat) → Auto-Skill Hands – Hands gain proficiency in one tool or weapon for 10 minutes. (Scaling) → More Hands, More Knowledge – At higher levels, the hands gain multiple proficiencies or act independently. Roll a Wisdom save to keep control of your hands.</t>
  </si>
  <si>
    <t>M, V</t>
  </si>
  <si>
    <t>(A scrap of parchment with gibberish)</t>
  </si>
  <si>
    <t>Magic Mistletoe</t>
  </si>
  <si>
    <t>A floating mistletoe aggressively hovers over two creatures, refusing to be ignored. Charm Field – Targets under the mistletoe if the target agrees to kiss them, must make a Wisdom save or be charmed for 1 minute.. If they do not kiss, the mistletoe follows them for 24 hours, humming an awkwardly romantic tune. Attempts to destroy it result in it respawning—larger and slightly angrier. Additional Effects: Charm Field – Targets under the mistletoe if the target agrees to kiss them, must make a Wisdom save or be charmed for 1 minute. Charm Field – Targets under the mistletoe if the target agrees to kiss them, must make a Wisdom save or be charmed for 1 minute.</t>
  </si>
  <si>
    <t>Magic Mussel</t>
  </si>
  <si>
    <t>Summons an ancient, enchanted mussel that refuses to open. Keep as is. If forced, it vanishes with an offended 'pop' and leaves behind a faint smell of saltwater. If spoken to kindly, it occasionally whispers vague, cryptic wisdom that is completely useless. The creature must make a Charisma saving throw. On a failure, it is banished to another plane for 1 minute. Additional Effects: Keep as is Keep as is</t>
  </si>
  <si>
    <t>Mire Bolt</t>
  </si>
  <si>
    <t>Fires a bolt of sticky swamp muck at the target. Remove the banishment to another plan. The target is annoyed but otherwise unharmed. Make a ranged spell attack against a target. On a hit, the target takes 1d8 impact damage. The creature must make a Charisma saving throw. On a failure, it is banished to another plane for 1 minute. Additional Effects: Remove the banishment to another plan Remove the banishment to another plan</t>
  </si>
  <si>
    <t>Passweed</t>
  </si>
  <si>
    <t>Allows the caster to bypass most social obstacles, as long as they confidently say ‘I know a guy.’ Additional Effects: Touch spell, on a failed charisma saving throw, the target takes the blind and smoke a bit. Touch spell, on a failed charisma saving throw, the target takes the blind and smoke a bit. Roll on d6 Passweed Side Effects: 1.Nearby creatures suddenly get philosophical. 2.It hums softly when touched. 3.A small pocket of smoke appears above it. 4.It attracts strange moths. 5.Time seems to slow near it. 6.A ghostly voice whispers, “Chill.”. Roll on d6 Passweed Side Effects: 1.Nearby creatures suddenly get philosophical. 2.It hums softly when touched. 3.A small pocket of smoke appears above it. 4.It attracts strange moths. 5.Time seems to slow near it. 6.A ghostly voice whispers, “Chill.” Touch spell, on a failed charisma saving throw, the target takes the blind and smoke a bit. Roll on d6 Passweed Side Effects: 1.Nearby creatures suddenly get philosophical. 2.It hums softly when touched. 3.A small pocket of smoke appears above it. 4.It attracts strange moths. 5.Time seems to slow near it. 6.A ghostly voice whispers, “Chill.”</t>
  </si>
  <si>
    <t>Artificer, Druid, Ranger</t>
  </si>
  <si>
    <t>Conjures a perfectly chilled drink of the caster’s choice. Rework this spell completely. The beverage disappears right before they can take a sip. The creature must make a Charisma saving throw. On a failure, it is banished to another plane for 1 minute. Additional Effects: Rework this spell completely Rework this spell completely</t>
  </si>
  <si>
    <t>M</t>
  </si>
  <si>
    <t>(A plastic bowl)</t>
  </si>
  <si>
    <t>Phantom Stud</t>
  </si>
  <si>
    <t>Summons an illusory attractive individual who only flirts with the target, but vanishes the moment they get a date. (Combat) → Charming Illusion – Targets who see it must make a Charisma save or be momentarily flustered (disadvantage on Insight checks).. Additional Effects: (Combat) → Charming Illusion – Targets who see it must make a Charisma save or be momentarily flustered (disadvantage on Insight checks). (Combat) → Charming Illusion – Targets who see it must make a Charisma save or be momentarily flustered (disadvantage on Insight checks).</t>
  </si>
  <si>
    <t>Poison Stray</t>
  </si>
  <si>
    <t>A random stray animal becomes mildly venomous. This is an ethical nightmare. Roll a d10 to determine the spell's effect from the chaos table. Additional Effects: nan</t>
  </si>
  <si>
    <t>Prismatic Spore</t>
  </si>
  <si>
    <t>A burst of vividly colored fungal spores explodes into the air, covering everything in a thin, neon dust. Force creatures to speak only in rhymes.. The spores have no known harmful effects, but anyone affected sneezes in a full rainbow sequence for the next 24 hours. Additional Effects: Force creatures to speak only in rhymes. Force creatures to speak only in rhymes.</t>
  </si>
  <si>
    <t>Rat of Frost</t>
  </si>
  <si>
    <t>Summons a single icy rat. The rat will seek the coldest place in a 200ft radius. It can feel the cold even when hermetically sealed, eg: a refrigerator. The rat will Leave tiny icy footprints.. It is cold, unimpressed, and leaves the moment combat starts. Additional Effects: The rat will seek the coldest place in a 200ft radius. It can feel the cold even when hermetically sealed, eg: a refrigerator. The rat will Leave tiny icy footprints. The rat will seek the coldest place in a 200ft radius. It can feel the cold even when hermetically sealed, eg: a refrigerator. The rat will Leave tiny icy footprints.</t>
  </si>
  <si>
    <t>Cleric, Sorcerer</t>
  </si>
  <si>
    <t>Allows the caster to communicate with their own shadow. Gains advantage on persuasion and investigation check for the next hour. The shadow is sarcastic and unhelpful. Additional Effects: Gains advantage on persuasion and investigation check for the next hour Gains advantage on persuasion and investigation check for the next hour</t>
  </si>
  <si>
    <t>Shill Touch</t>
  </si>
  <si>
    <t>Artificer, Ranger, Wizard</t>
  </si>
  <si>
    <t>The target feels an overwhelming compulsion to promote a corporate product, whether they like it or not. The target will pull a corporate product out of his pocket. It can be any size, the item will magically come out of the pocket even if the pocket seems too small. There is a very small chance that the item is cursed.. Additional Effects: The target will pull a corporate product out of his pocket. It can be any size, the item will magically come out of the pocket even if the pocket seems too small. There is a very small chance that the item is cursed. The target will pull a corporate product out of his pocket. It can be any size, the item will magically come out of the pocket even if the pocket seems too small. There is a very small chance that the item is cursed.</t>
  </si>
  <si>
    <t>Shocking Grass</t>
  </si>
  <si>
    <t>Electrifies a patch of grass. Synthetic grass grows in a 20 ft radius around a specified point Creatures on the grass radius must make a Dexterity save or take 2d6 electric damage. (Scaling) Larger Shock Field – At higher levels, affects a wider area and the effect lasts longer. The grass never disappears but the static effect last 1 minute. Anyone stepping on it experiences static shock and mild regret. Additional Effects: Synthetic grass grows in a 20 ft radius around a specified point Creatures on the grass radius must make a Dexterity save or take 2d6 electric damage. (Scaling) Larger Shock Field – At higher levels, affects a wider area and the effect lasts longer. The grass never disappears but the static effect last 1 minute Synthetic grass grows in a 20 ft radius around a specified point Creatures on the grass radius must make a Dexterity save or take 2d6 electric damage. (Scaling) Larger Shock Field – At higher levels, affects a wider area and the effect lasts longer. The grass never disappears but the static effect last 1 minute</t>
  </si>
  <si>
    <t>Sphere of Conciliation</t>
  </si>
  <si>
    <t>Artificer, Bard, Sorcerer</t>
  </si>
  <si>
    <t>A glowing orb appears, urging all creatures to ‘just talk it out.’ Surprisingly ineffective in battle. Creatures in the 10-ft. radius must make a Wisdom save or become non-hostile. make the DC scale with the creature’s CR. Additional Effects: Creatures in the 10-ft. radius must make a Wisdom save or become non-hostile. make the DC scale with the creature’s CR Creatures in the 10-ft. radius must make a Wisdom save or become non-hostile. make the DC scale with the creature’s CR</t>
  </si>
  <si>
    <t>M, S</t>
  </si>
  <si>
    <t>(A rusted key)</t>
  </si>
  <si>
    <t>Summons a ship made entirely of stone. Scale the size of the ship with levels. (First level creates a tiny ship). It sinks instantly, but remains structurally sound at the bottom of the ocean. Additional Effects: Scale the size of the ship with levels. (First level creates a tiny ship) Scale the size of the ship with levels. (First level creates a tiny ship)</t>
  </si>
  <si>
    <t>Summon Mobster</t>
  </si>
  <si>
    <t>A confused and irritated gangster appears, adjusting his pinstripe suit. The mobster will help in a fight but demand payment upfront 1.Calls the caster “kid.” 2.Insists this is “just business.” 3.Casually lights a cigar during combat. 4.Will break someone’s kneecaps for gold. 5.Refuses to explain why they owe him. 6.Mysteriously vanishes when the spell ends.. He has no weapons, zero loyalty to the caster, and an overwhelming need to complain about ‘kids these days.’ If given a sandwich, he sighs, mutters ‘yeah, yeah, alright,’ and vanishes in a puff of cigar smoke. Additional Effects: The mobster will help in a fight but demand payment upfront 1.Calls the caster “kid.” 2.Insists this is “just business.” 3.Casually lights a cigar during combat. 4.Will break someone’s kneecaps for gold. 5.Refuses to explain why they owe him. 6.Mysteriously vanishes when the spell ends. The mobster will help in a fight but demand payment upfront 1.Calls the caster “kid.” 2.Insists this is “just business.” 3.Casually lights a cigar during combat. 4.Will break someone’s kneecaps for gold. 5.Refuses to explain why they owe him. 6.Mysteriously vanishes when the spell ends.</t>
  </si>
  <si>
    <t>Summon Monster F</t>
  </si>
  <si>
    <t>Summons an eldritch being whose name starts with ‘F.’ The creature refuses to elaborate further. (Combat) → Random Useless Creature – Summons a CR 0-1 monster that may or may not help.. Additional Effects: (Combat) → Random Useless Creature – Summons a CR 0-1 monster that may or may not help. (Combat) → Random Useless Creature – Summons a CR 0-1 monster that may or may not help.</t>
  </si>
  <si>
    <t>(A small clay figurine)</t>
  </si>
  <si>
    <t>Artificer, Paladin, Ranger</t>
  </si>
  <si>
    <t>A single, immortal mosquito appears and immediately targets the most important person in the room. (Combat) → Distracting Menace – The pest flies around a target, imposing disadvantage on their next skill roll.. It cannot be killed, swatted, or reasoned with. Additional Effects: (Combat) → Distracting Menace – The pest flies around a target, imposing disadvantage on their next skill roll. (Combat) → Distracting Menace – The pest flies around a target, imposing disadvantage on their next skill roll.</t>
  </si>
  <si>
    <t>Reaction (when someone draws a weapon)</t>
  </si>
  <si>
    <t>(A feather from a random bird)</t>
  </si>
  <si>
    <t>Druid, Sorcerer, Wizard</t>
  </si>
  <si>
    <t>This spell guarantees that the target contracts an illness. The spell mentions a chaos table but it’s not added into the description. The affliction is never fatal but always inconvenient, such as uncontrollable sneezing, randomly itchy elbows, or an inability to properly pronounce the letter 'R'. The target must succeed on a Wisdom saving throw or be affected for the duration. Roll a d10 to determine the spell's effect. The target must make a Constitution saving throw or suffer the curse's effects for 1 minute. The target must succeed on a Wisdom saving throw or be controlled for the duration. Roll a d10 to determine the spell's effect from the chaos table. Additional Effects: The spell mentions a chaos table but it’s not added into the description The spell mentions a chaos table but it’s not added into the description</t>
  </si>
  <si>
    <t>Symbol of Pear</t>
  </si>
  <si>
    <t>Artificer, Ranger, Warlock</t>
  </si>
  <si>
    <t>Draws a mystical sigil in the shape of a pear. (Combat) → Fruitful Magic Trap – When touched, the symbol casts a random enchantment spell (DM’s choice). (Scaling) → More Powerful Pear Magic – At higher levels, The spell will cast a spell of the spell slot used.. It does nothing except make everyone hungry. Additional Effects: (Combat) → Fruitful Magic Trap – When touched, the symbol casts a random enchantment spell (DM’s choice). (Scaling) → More Powerful Pear Magic – At higher levels, The spell will cast a spell of the spell slot used. (Combat) → Fruitful Magic Trap – When touched, the symbol casts a random enchantment spell (DM’s choice). (Scaling) → More Powerful Pear Magic – At higher levels, The spell will cast a spell of the spell slot used.</t>
  </si>
  <si>
    <t>The caster’s clothes fit perfectly for the duration of the spell. The spell can make complex clothing easy and fast to do. Eg: Can Don or Doff an armour in 1 turn, Can put on simple clothes as a bonus action, The spell can also undress rapidly but only on a willing creature. When undressing it happens in the blink of an eye. Confidence is restored. Additional Effects: The spell can make complex clothing easy and fast to do. Eg: Can Don or Doff an armour in 1 turn, Can put on simple clothes as a bonus action, The spell can also undress rapidly but only on a willing creature. When undressing it happens in the blink of an eye The spell can make complex clothing easy and fast to do. Eg: Can Don or Doff an armour in 1 turn, Can put on simple clothes as a bonus action, The spell can also undress rapidly but only on a willing creature. When undressing it happens in the blink of an eye</t>
  </si>
  <si>
    <t>Transmute Man to Cock (and the reverse)</t>
  </si>
  <si>
    <t>Mispelled, Alteration</t>
  </si>
  <si>
    <t>Druid, Ranger, Sorcerer</t>
  </si>
  <si>
    <t>Temporarily transforms the target into a very aggressive rooster. This should be higher level and require a check and a duration, unless the target is willing, the change is permanent until dispelled. Requires concentration. Can also change a rooster (or a chicken) into a man (or a woman). The rooster is always willing.. Reversing the spell is optional. Additional Effects: This should be higher level and require a check and a duration, unless the target is willing, the change is permanent until dispelled. Requires concentration. Can also change a rooster (or a chicken) into a man (or a woman). The rooster is always willing. This should be higher level and require a check and a duration, unless the target is willing, the change is permanent until dispelled. Requires concentration. Can also change a rooster (or a chicken) into a man (or a woman). The rooster is always willing.</t>
  </si>
  <si>
    <t>True Peeing</t>
  </si>
  <si>
    <t>For the next minute, the caster cannot miss the target when using a bathroom. When in a bathroom, the next strike will always hit. Also works if someone is publicly urinating nearby. A rare but powerful ability.</t>
  </si>
  <si>
    <t>Bard, Sorcerer</t>
  </si>
  <si>
    <t>An invisible entity appears and demands that all paperwork in the vicinity be filed in triplicate. Nobody can leave the room until the paperwork is triplicated. If no paperwork is present in the room, the entity will bring some. If cast outdoor. The entity will cast “Remote Office” and every creature within 60 ft will be teleported in. This should be a higher level spell. Failure to comply results in an official warning that no one knows how to appeal. Additional Effects: Nobody can leave the room until the paperwork is triplicated. If no paperwork is present in the room, the entity will bring some. If cast outdoor. The entity will cast “Remote Office” and every creature within 60 ft will be teleported in. This should be a higher level spell Nobody can leave the room until the paperwork is triplicated. If no paperwork is present in the room, the entity will bring some. If cast outdoor. The entity will cast “Remote Office” and every creature within 60 ft will be teleported in. This should be a higher level spell</t>
  </si>
  <si>
    <t>Creates an illusory wall that occasionally shouts bad puns and slapstick sound effects. Someone can investigate the wall with a wisdom saving throw. On a success, the wall disappear. On a fail, he will start to laugh uncontrollably and be incapacitated until the spell ends.. Additional Effects: Someone can investigate the wall with a wisdom saving throw. On a success, the wall disappear. On a fail, he will start to laugh uncontrollably and be incapacitated until the spell ends. Someone can investigate the wall with a wisdom saving throw. On a success, the wall disappear. On a fail, he will start to laugh uncontrollably and be incapacitated until the spell ends.</t>
  </si>
  <si>
    <t>Wall of Fog</t>
  </si>
  <si>
    <t>Artificer, Paladin</t>
  </si>
  <si>
    <t>A thick, impenetrable fog appears, but only in the shape of a perfectly vertical wall. The wall blocks any vision, but not light. Cast 1 ft thick, 120 feet long, 40 feet high wall. Creatur can pass through easily. When cast indoor, the wall stops when it reach something solid (Walls, Ceiling, Floors). The wall might go around solid object (Doorway, Desk, etc.). It serves no strategic purpose but deeply confuses anyone trying to walk through it.</t>
  </si>
  <si>
    <t>Mispelled, Unhinged, Communication</t>
  </si>
  <si>
    <t>Bard, Ranger, Wizard</t>
  </si>
  <si>
    <t>Creates a bottle of wine that murmurs soft, cryptic advice when sipped. (Combat) → Truth Serum Effect – Anyone drinking the wine must make a Wisdom save or blurt out a secret.. It is almost never helpful.</t>
  </si>
  <si>
    <t xml:space="preserve">  </t>
  </si>
  <si>
    <t xml:space="preserve"> </t>
  </si>
  <si>
    <t xml:space="preserve">      </t>
  </si>
  <si>
    <t>Vestigium</t>
  </si>
  <si>
    <t>SRD</t>
  </si>
  <si>
    <t xml:space="preserve">   </t>
  </si>
  <si>
    <t>Target/Area</t>
  </si>
  <si>
    <t>Component(s)</t>
  </si>
  <si>
    <t>Attack/Saving Throw (Effect)</t>
  </si>
  <si>
    <t>Damage/Heal</t>
  </si>
  <si>
    <t>Sourcebook</t>
  </si>
  <si>
    <t>Page #</t>
  </si>
  <si>
    <t>Additional Detail</t>
  </si>
  <si>
    <t>Per Higher Spell Level</t>
  </si>
  <si>
    <t>Acid Splash</t>
  </si>
  <si>
    <t>1 action</t>
  </si>
  <si>
    <t>1 or 2 adjacent targets</t>
  </si>
  <si>
    <t>DEX (Fail)</t>
  </si>
  <si>
    <t>DAM: 1d6</t>
  </si>
  <si>
    <t>PHB</t>
  </si>
  <si>
    <t>DAM: Add extra 1d6 at 5th level, 11th level, and 17th level.</t>
  </si>
  <si>
    <t>Aid</t>
  </si>
  <si>
    <t>3 allies</t>
  </si>
  <si>
    <t>white cloth strip</t>
  </si>
  <si>
    <t>HEAL: 5</t>
  </si>
  <si>
    <t>Each target also increases maximum HP by 5.</t>
  </si>
  <si>
    <t>HEAL extra 5 HP</t>
  </si>
  <si>
    <t>Alarm</t>
  </si>
  <si>
    <t>1 door/window/area</t>
  </si>
  <si>
    <t>tiny bell, silver wire</t>
  </si>
  <si>
    <t>Audible or silent alarm triggered on entry by those you haven't said can enter</t>
  </si>
  <si>
    <t>Alter Self</t>
  </si>
  <si>
    <t>Choose one: breathe/swim underwater, natural weapons, change appearance</t>
  </si>
  <si>
    <t>Animal Friendship</t>
  </si>
  <si>
    <t>1 beast</t>
  </si>
  <si>
    <t>morsel of food</t>
  </si>
  <si>
    <t>WIS (Fail)</t>
  </si>
  <si>
    <t>Charm beasts with INT &lt;= 3; spell fails if you hurt beast</t>
  </si>
  <si>
    <t>One more beast</t>
  </si>
  <si>
    <t>Cleric(Nature)</t>
  </si>
  <si>
    <t>Animal Messenger</t>
  </si>
  <si>
    <t>1 Tiny beast</t>
  </si>
  <si>
    <t>Beast will relay 25 word message to a target you describe</t>
  </si>
  <si>
    <t>48 hours longer</t>
  </si>
  <si>
    <t>Animal Shapes</t>
  </si>
  <si>
    <t>Any willing targets</t>
  </si>
  <si>
    <t>Transform targets into Large or smaller beasts with CR &lt;= 4</t>
  </si>
  <si>
    <t>Animate Dead</t>
  </si>
  <si>
    <t>10 ft.</t>
  </si>
  <si>
    <t>&lt;= Medium corpse</t>
  </si>
  <si>
    <t>blood, flesh, bone</t>
  </si>
  <si>
    <t>Creates skeleton or zombie servant that accepts simple directions</t>
  </si>
  <si>
    <t>Two more undead</t>
  </si>
  <si>
    <t>Paladin(Oathbreaker)</t>
  </si>
  <si>
    <t>Animate Objects</t>
  </si>
  <si>
    <t>&lt;= 10 objects</t>
  </si>
  <si>
    <t>Animate objects to accept simple commands.</t>
  </si>
  <si>
    <t>Two more objects</t>
  </si>
  <si>
    <t>Antilife Shell</t>
  </si>
  <si>
    <t>10 ft. radius</t>
  </si>
  <si>
    <t>Erects barrier around you that moves with you. Living creatures cannot enter.</t>
  </si>
  <si>
    <t>Cleric(Death)</t>
  </si>
  <si>
    <t>Antimagic Field</t>
  </si>
  <si>
    <t>powdered iron or filings</t>
  </si>
  <si>
    <t>Erects a sphere around you in which all magic no longer works.</t>
  </si>
  <si>
    <t>Antipathy/Sympathy</t>
  </si>
  <si>
    <t>1 Huge or smaller target</t>
  </si>
  <si>
    <t>lump of alum or honey</t>
  </si>
  <si>
    <t>10 days</t>
  </si>
  <si>
    <t>Target object/creature attracts or repels specifc creature types.</t>
  </si>
  <si>
    <t>Arcane Eye</t>
  </si>
  <si>
    <t>a bit of bat fur</t>
  </si>
  <si>
    <t>Create invisible eye with darkvision(30ft) moves 30ft/rd you can see through.</t>
  </si>
  <si>
    <t>Cleric(Knowledge)</t>
  </si>
  <si>
    <t>Arcane Gate</t>
  </si>
  <si>
    <t>Point(10ft),Point(500ft.)</t>
  </si>
  <si>
    <t>Create two linked portals 10ft. across anybody can travel between.</t>
  </si>
  <si>
    <t>Arcane Lock</t>
  </si>
  <si>
    <t>1 openable object</t>
  </si>
  <si>
    <t>GOLD DUST</t>
  </si>
  <si>
    <t>25 gp</t>
  </si>
  <si>
    <t>Until Dispelled</t>
  </si>
  <si>
    <t>Locks object until password is spoken or dispel/knock. Object break DC +10.</t>
  </si>
  <si>
    <t>Armor of Agathys</t>
  </si>
  <si>
    <t>cup of water</t>
  </si>
  <si>
    <t>DAM: 5</t>
  </si>
  <si>
    <t>Gain 5 THP. Melee attackers take 5 DAM.</t>
  </si>
  <si>
    <t>5 temp HP and 5 DAM</t>
  </si>
  <si>
    <t>Arms of Hadar</t>
  </si>
  <si>
    <t>STR (Half DAM, no effect)</t>
  </si>
  <si>
    <t>DAM: 2d6</t>
  </si>
  <si>
    <t>Targets can't take reactions until next turn</t>
  </si>
  <si>
    <t>Extra 1d6 DAM</t>
  </si>
  <si>
    <t>Astral Projection</t>
  </si>
  <si>
    <t>Self and 8 willing targets</t>
  </si>
  <si>
    <t>JACINTH(1k), SILVER(100)</t>
  </si>
  <si>
    <t>1100 gp</t>
  </si>
  <si>
    <t>Project to Astral Plane. See Sourcebook.</t>
  </si>
  <si>
    <t>Augury</t>
  </si>
  <si>
    <t>special tokens</t>
  </si>
  <si>
    <t>See omen predicting results of action taken within 30 minutes.</t>
  </si>
  <si>
    <t>Aura of Life</t>
  </si>
  <si>
    <t>Gain necrotic resistance, HEAL 1 HP if at 0 HP, HP max can't go down.</t>
  </si>
  <si>
    <t>Aura of Purity</t>
  </si>
  <si>
    <t>Gain poison resist, disease immune, advantage on status saving throws.</t>
  </si>
  <si>
    <t>Aura of Vitality</t>
  </si>
  <si>
    <t>HEAL: 2d6</t>
  </si>
  <si>
    <t>Use bonus action to HEAL 1 target in aura.</t>
  </si>
  <si>
    <t>Awaken</t>
  </si>
  <si>
    <t>1 beast/plant &lt;= Huge</t>
  </si>
  <si>
    <t>AGATE</t>
  </si>
  <si>
    <t>1000 gp</t>
  </si>
  <si>
    <t>Target with INT &lt;= 3 gaints INT 10 and can speak. Charmed for 30 days.</t>
  </si>
  <si>
    <t>Bane</t>
  </si>
  <si>
    <t>&lt;= 3 creatures</t>
  </si>
  <si>
    <t>drop of blood</t>
  </si>
  <si>
    <t>CHA (Fail)</t>
  </si>
  <si>
    <t>Targets' attack rolls and saving throws are deducted 1d4.</t>
  </si>
  <si>
    <t>One more creature</t>
  </si>
  <si>
    <t>Paladin(Vengeance)</t>
  </si>
  <si>
    <t>Banishing Smite</t>
  </si>
  <si>
    <t>1 bonus action</t>
  </si>
  <si>
    <t>Weapon Attack</t>
  </si>
  <si>
    <t>DAM: 5d10</t>
  </si>
  <si>
    <t>Target banished if &lt;= 50 HP.</t>
  </si>
  <si>
    <t>Banishment</t>
  </si>
  <si>
    <t>1 target</t>
  </si>
  <si>
    <t>item disliked by target</t>
  </si>
  <si>
    <t>Banish target to another plane; native of other plane doesn't return after 1 min.</t>
  </si>
  <si>
    <t>Barkskin</t>
  </si>
  <si>
    <t>1 willing creature</t>
  </si>
  <si>
    <t>oak bark</t>
  </si>
  <si>
    <t>Target AC is never less than 16 during spell.</t>
  </si>
  <si>
    <t>Beacon of Hope</t>
  </si>
  <si>
    <t>Any targets in range</t>
  </si>
  <si>
    <t>Targets get advantage on WIS and death saving throws; heal spells heal max.</t>
  </si>
  <si>
    <t>Paladin(Devotion)</t>
  </si>
  <si>
    <t>Beast Sense</t>
  </si>
  <si>
    <t>1 willing beast</t>
  </si>
  <si>
    <t>Use action to see/hear whatever beast does. Use action to return.</t>
  </si>
  <si>
    <t>Bestow Curse</t>
  </si>
  <si>
    <t>1 creature</t>
  </si>
  <si>
    <t>Curse target. See Sourcebook.</t>
  </si>
  <si>
    <t>See Sourcebook.</t>
  </si>
  <si>
    <t>Bigby's Hand</t>
  </si>
  <si>
    <t>eggshell, snakeskin glove</t>
  </si>
  <si>
    <t>Create giant hand to do various things. See Sourcebook.</t>
  </si>
  <si>
    <t>Blade Barrier</t>
  </si>
  <si>
    <t>90 ft.</t>
  </si>
  <si>
    <t>5x20x(100 line/60 dia. circle)ft.</t>
  </si>
  <si>
    <t>DEX (Half DAM)</t>
  </si>
  <si>
    <t>DAM: 6d10</t>
  </si>
  <si>
    <t>Creatures entering wall/circle area take DAM.</t>
  </si>
  <si>
    <t>Blade Ward</t>
  </si>
  <si>
    <t>1 round</t>
  </si>
  <si>
    <t>Gain resistance to bludgeoning/piercing/slashing DMG from weapons.</t>
  </si>
  <si>
    <t>Bless</t>
  </si>
  <si>
    <t>sprinkling of holy water</t>
  </si>
  <si>
    <t>Targets add 1d4 to attack rolls and saving throws.</t>
  </si>
  <si>
    <t>One more creature.</t>
  </si>
  <si>
    <t>Blight</t>
  </si>
  <si>
    <t>CON (Half DAM)</t>
  </si>
  <si>
    <t>DAM: 8d8</t>
  </si>
  <si>
    <t>Plants have disadvantage on save and take max DAM.</t>
  </si>
  <si>
    <t>Extra 1d8 DAM.</t>
  </si>
  <si>
    <t>Blinding Smite</t>
  </si>
  <si>
    <t>CON per turn (Blindness ends)</t>
  </si>
  <si>
    <t>DAM: 3d8</t>
  </si>
  <si>
    <t>Next melee attack target takes DAM and is blinded until spell ends.</t>
  </si>
  <si>
    <t>Blindness/Deafness</t>
  </si>
  <si>
    <t>CON per turn (Fail)</t>
  </si>
  <si>
    <t>Target becomes blind or deaf (your choice).</t>
  </si>
  <si>
    <t>Blink</t>
  </si>
  <si>
    <t>Roll 11 or higher to go to Ethereal plane between turns; reapper within 10ft.</t>
  </si>
  <si>
    <t>Cleric(Trickery)</t>
  </si>
  <si>
    <t>Blur</t>
  </si>
  <si>
    <t>Creatures relying on sight have disadvantage to attack.</t>
  </si>
  <si>
    <t>Druid(Desert)</t>
  </si>
  <si>
    <t>Branding Smite</t>
  </si>
  <si>
    <t>Target becomes visible, sheds dim light.</t>
  </si>
  <si>
    <t>Extra 1d6 DAM.</t>
  </si>
  <si>
    <t>Burning Hands</t>
  </si>
  <si>
    <t>15 ft. cone</t>
  </si>
  <si>
    <t>DAM: 3d6</t>
  </si>
  <si>
    <t>Flammable objects ignite.</t>
  </si>
  <si>
    <t>Cleric(Light)</t>
  </si>
  <si>
    <t>Call Lightning</t>
  </si>
  <si>
    <t>60 ft. radius cylinder</t>
  </si>
  <si>
    <t>DAM: 3d10</t>
  </si>
  <si>
    <t>Targets take DAM each round. Can change targets each round.</t>
  </si>
  <si>
    <t>Extra 1d10 DAM.</t>
  </si>
  <si>
    <t>Cleric(Tempest)</t>
  </si>
  <si>
    <t>Calm Emotions</t>
  </si>
  <si>
    <t>20 ft. radius sphere</t>
  </si>
  <si>
    <t>Suppress charm effects or hostility on target.</t>
  </si>
  <si>
    <t>Chain Lightning</t>
  </si>
  <si>
    <t>150 ft.</t>
  </si>
  <si>
    <t>1 target, then 3 within 30ft.</t>
  </si>
  <si>
    <t>bit of fur,glass,3 silver pins</t>
  </si>
  <si>
    <t>DAM: 10d8</t>
  </si>
  <si>
    <t>Bolt hits one target then forks to up to 3 others.</t>
  </si>
  <si>
    <t>One more bolt in fork.</t>
  </si>
  <si>
    <t>Charm Person</t>
  </si>
  <si>
    <t>1 humanoid</t>
  </si>
  <si>
    <t>Wisdom (Fail)</t>
  </si>
  <si>
    <t>Charm target so it treats you as friendly. Gets advantage to save if fighting you.</t>
  </si>
  <si>
    <t>One more target &lt;= 30ft.</t>
  </si>
  <si>
    <t>Chill Touch</t>
  </si>
  <si>
    <t>Ranged Spell Attack</t>
  </si>
  <si>
    <t>Extra 1d6 DAM at 5th level, 11th level, and 17th level. Can't regain HP.</t>
  </si>
  <si>
    <t>Chromatic Orb</t>
  </si>
  <si>
    <t>diamond</t>
  </si>
  <si>
    <t>50 gp</t>
  </si>
  <si>
    <t>See Details</t>
  </si>
  <si>
    <t>Choose type: acid, cold, fire, lightning, poison, or thunder.</t>
  </si>
  <si>
    <t>Circle of Death</t>
  </si>
  <si>
    <t>60 ft. radius sphere</t>
  </si>
  <si>
    <t>crushed black pearl</t>
  </si>
  <si>
    <t>500 gp</t>
  </si>
  <si>
    <t>DAM: 8d6</t>
  </si>
  <si>
    <t>Extra 2d6 DAM.</t>
  </si>
  <si>
    <t>Circle of Power</t>
  </si>
  <si>
    <t>30 ft. radius sphere</t>
  </si>
  <si>
    <t>Friendlies: advantage on saving throws against magic/effects. No half DAM.</t>
  </si>
  <si>
    <t>Clairvoyance</t>
  </si>
  <si>
    <t>jeweled horn or glass eye</t>
  </si>
  <si>
    <t>100 gp</t>
  </si>
  <si>
    <t>Create sensor in area you can see or hear through.</t>
  </si>
  <si>
    <t>Clone</t>
  </si>
  <si>
    <t>3000 gp</t>
  </si>
  <si>
    <t>Create clone of living person; soul transfers to clone if original dies.</t>
  </si>
  <si>
    <t>Cloud of Daggers</t>
  </si>
  <si>
    <t>5 ft. cube</t>
  </si>
  <si>
    <t>sliver of glass</t>
  </si>
  <si>
    <t>DAM: 4d4</t>
  </si>
  <si>
    <t>DAM taken on entering or starting turn in area.</t>
  </si>
  <si>
    <t>Extra 2d4 DAM.</t>
  </si>
  <si>
    <t>Cloudkill</t>
  </si>
  <si>
    <t>DAM: 5d8</t>
  </si>
  <si>
    <t>DAM taken on entering or starting turn in area. Fog moves away 10 ft. per turn.</t>
  </si>
  <si>
    <t>Druid(Underdark)</t>
  </si>
  <si>
    <t>Color Spray</t>
  </si>
  <si>
    <t>pinch of colored powder</t>
  </si>
  <si>
    <t>Blinds 6d10 HP worth of creatures, starting with lowest HP.</t>
  </si>
  <si>
    <t>Extra 2d10 HP.</t>
  </si>
  <si>
    <t>Command</t>
  </si>
  <si>
    <t>Speak 1 word command to target. Can't cause harm. Doesn't affect undead.</t>
  </si>
  <si>
    <t>Commune</t>
  </si>
  <si>
    <t>incense, vial of holy water</t>
  </si>
  <si>
    <t>Ask 3 yes/no questions that are answered by deity. See Sourcebook.</t>
  </si>
  <si>
    <t>Commune with Nature</t>
  </si>
  <si>
    <t>Gain knowledge of the land around you. See Sourcebook.</t>
  </si>
  <si>
    <t>Paladin(Ancients)</t>
  </si>
  <si>
    <t>Compelled Duel</t>
  </si>
  <si>
    <t>Compel target to attack you one-on-one. See Sourcebook.</t>
  </si>
  <si>
    <t>Comprehend Languages</t>
  </si>
  <si>
    <t>pinch of soot and salt</t>
  </si>
  <si>
    <t>Know literal meaning of any speech. Understand written words while touching.</t>
  </si>
  <si>
    <t>Compulsion</t>
  </si>
  <si>
    <t>Creatures in range</t>
  </si>
  <si>
    <t>Compel targets to move in specified non-hazardous direction.</t>
  </si>
  <si>
    <t>Cone of Cold</t>
  </si>
  <si>
    <t>60 ft. cone</t>
  </si>
  <si>
    <t>crystal or glass cone</t>
  </si>
  <si>
    <t>Creatures killed become frozen statues.</t>
  </si>
  <si>
    <t>Druid(Arctic)</t>
  </si>
  <si>
    <t>Confusion</t>
  </si>
  <si>
    <t>10 ft. radius sphere</t>
  </si>
  <si>
    <t>3 nut shells</t>
  </si>
  <si>
    <t>Targets can't take reactions and do random actions. See Sourcebook.</t>
  </si>
  <si>
    <t>Increase radius by 5ft.</t>
  </si>
  <si>
    <t>Conjure Animals</t>
  </si>
  <si>
    <t>Summon fey spirits as creatures (total CR &lt;= 2) that act as a group.</t>
  </si>
  <si>
    <t>Conjure Barrage</t>
  </si>
  <si>
    <t>ammo or thrown weapon</t>
  </si>
  <si>
    <t>Damage type is same as ammo/weapon used as component.</t>
  </si>
  <si>
    <t>Conjure Celestial</t>
  </si>
  <si>
    <t>Summon celestial CR &lt;= 4. Obeys commands that don't violate alignment.</t>
  </si>
  <si>
    <t>9th level: CR &lt;= 5</t>
  </si>
  <si>
    <t>Conjure Elemental</t>
  </si>
  <si>
    <t>See Sourcebook</t>
  </si>
  <si>
    <t>Summon elemental CR &lt;= 5. Obeys commands. Hostile if control is lost.</t>
  </si>
  <si>
    <t>Increase max CR by 1.</t>
  </si>
  <si>
    <t>Conjure Fey</t>
  </si>
  <si>
    <t>Summon fey CR &lt;= 6. Obeys commands. Hostile if control is lost.</t>
  </si>
  <si>
    <t>Conjure Minor Elementals</t>
  </si>
  <si>
    <t>Summon elementals (total CR &lt;= 2) that obey commands.</t>
  </si>
  <si>
    <t>6th: CR &lt;= 4; 8th: CR &lt;= 6</t>
  </si>
  <si>
    <t>Conjure Volley</t>
  </si>
  <si>
    <t>40 ft. radius, 20 ft. high cylinder</t>
  </si>
  <si>
    <t>Conjure Woodland Beings</t>
  </si>
  <si>
    <t>1 holly berry per creature</t>
  </si>
  <si>
    <t>Summon fey creatures (CR &lt;= 2) that obey commands.</t>
  </si>
  <si>
    <t>Contact Other Plane</t>
  </si>
  <si>
    <t>INT DC:15(DAM, insane for day)</t>
  </si>
  <si>
    <t>DAM: 6d6</t>
  </si>
  <si>
    <t>Contact extraplanar being. YOU make save. 1-word answers to 5 questions.</t>
  </si>
  <si>
    <t>Contagion</t>
  </si>
  <si>
    <t>7 days</t>
  </si>
  <si>
    <t>CON (See Sourcebook)</t>
  </si>
  <si>
    <t>Give creature a disease. See Sourcebook.</t>
  </si>
  <si>
    <t>Contingency</t>
  </si>
  <si>
    <t>ivory statue of self</t>
  </si>
  <si>
    <t>1500 gp</t>
  </si>
  <si>
    <t>Spell &lt;= 5th level activates when condition occurs. That spell's slot used too.</t>
  </si>
  <si>
    <t>Continual Flame</t>
  </si>
  <si>
    <t>1 object</t>
  </si>
  <si>
    <t>RUBY DUST</t>
  </si>
  <si>
    <t>Heatless flame comes from object. Can be covered but not snuffed out.</t>
  </si>
  <si>
    <t>Control Water</t>
  </si>
  <si>
    <t>300 ft.</t>
  </si>
  <si>
    <t>100 ft. cube</t>
  </si>
  <si>
    <t>water drop, pinch of dust</t>
  </si>
  <si>
    <t>Control water. See Sourcebook.</t>
  </si>
  <si>
    <t>Control Weather</t>
  </si>
  <si>
    <t>5 mile radius</t>
  </si>
  <si>
    <t>incense, earth&amp;wood in water</t>
  </si>
  <si>
    <t>Control the weather. See Sourcebook.</t>
  </si>
  <si>
    <t>Cordon of Arrows</t>
  </si>
  <si>
    <t>5 ft.</t>
  </si>
  <si>
    <t>Spell components</t>
  </si>
  <si>
    <t>4 pieces of ammo</t>
  </si>
  <si>
    <t>Ammo fired at creatures within 30 ft. Spell ends when ammo gone.</t>
  </si>
  <si>
    <t>Two extra ammo.</t>
  </si>
  <si>
    <t>Counterspell</t>
  </si>
  <si>
    <t>1 reaction (spell cast)</t>
  </si>
  <si>
    <t>1 Spellcaster</t>
  </si>
  <si>
    <t>See Details.</t>
  </si>
  <si>
    <t>Interrupt spell &lt;= 4th. You make casting ability check (DC 10 + spell level).</t>
  </si>
  <si>
    <t>Interrupt spell &lt;= new level.</t>
  </si>
  <si>
    <t>Create Food and Water</t>
  </si>
  <si>
    <t>Create 45 lbs. of bland, nourishing food for 24 hours and 30 gallons of water.</t>
  </si>
  <si>
    <t>Create or Destroy Water</t>
  </si>
  <si>
    <t>10 gal. water/30 ft. cube of fog</t>
  </si>
  <si>
    <t>drop of water/sand</t>
  </si>
  <si>
    <t>Create/destroy 10 gal. of water or 30 ft. cube of rain/fog.</t>
  </si>
  <si>
    <t>Create Undead</t>
  </si>
  <si>
    <t>Source</t>
  </si>
  <si>
    <t>Create undead to serve you for 24 hours. See Sourcebook.</t>
  </si>
  <si>
    <t>Creation</t>
  </si>
  <si>
    <t>bit of matter you want to make</t>
  </si>
  <si>
    <t>Make nonliving object no larger than 5 ft. cube. See Sourcebook.</t>
  </si>
  <si>
    <t>Cube size increases by 5 ft.</t>
  </si>
  <si>
    <t>Crown of Madness</t>
  </si>
  <si>
    <t>WIS every turn (Fail)</t>
  </si>
  <si>
    <t>Charm humanoid to attack your target of choice. Use action to keep control.</t>
  </si>
  <si>
    <t>Crusader's Mantle</t>
  </si>
  <si>
    <t>Nonhostiles in aura deal an extra 1d4 radiant DAM.</t>
  </si>
  <si>
    <t>Cleric(War)</t>
  </si>
  <si>
    <t>Cure Wounds</t>
  </si>
  <si>
    <t>HEAL: 1d8 + spellcasting ability modifier. No effect on undead or constructs.</t>
  </si>
  <si>
    <t>Extra 1d8 HEAL.</t>
  </si>
  <si>
    <t>Dancing Lights</t>
  </si>
  <si>
    <t>phosphorous or glowworm</t>
  </si>
  <si>
    <t>Create 4 glowing, hovering objects that shed light out 10 ft. Can move 60 ft.</t>
  </si>
  <si>
    <t>Darkness</t>
  </si>
  <si>
    <t>15 ft. radius sphere</t>
  </si>
  <si>
    <t>bat fur and pitch or coal</t>
  </si>
  <si>
    <t>Creates darkness normal light can't dispel. Dispels light spells &lt;= 2nd level.</t>
  </si>
  <si>
    <t>Druid(Swamp)</t>
  </si>
  <si>
    <t>Darkvision</t>
  </si>
  <si>
    <t>dried carrot or agate</t>
  </si>
  <si>
    <t>Grants creature darkvision (60 ft.) but can't see in Darkness aura.</t>
  </si>
  <si>
    <t>Daylight</t>
  </si>
  <si>
    <t>Creates bright light. Dispels darkness spells &lt;= 3rd level it overlaps with.</t>
  </si>
  <si>
    <t>Death Ward</t>
  </si>
  <si>
    <t>1 use: Target drops to 1 HP instead of 0 HP or negates instant kill effect.</t>
  </si>
  <si>
    <t>Delayed Blast Fireball</t>
  </si>
  <si>
    <t>tiny ball of guano and sulfur</t>
  </si>
  <si>
    <t>DAM: 12d6</t>
  </si>
  <si>
    <t>Creates spot where fireball will erupt. See Sourcebook.</t>
  </si>
  <si>
    <t>Extra 1d6 base DAM.</t>
  </si>
  <si>
    <t>Demiplane</t>
  </si>
  <si>
    <t>Create door to 30 ft. cubic room in demiplane. Trapped if there when spell ends.</t>
  </si>
  <si>
    <t>Destructive Wave</t>
  </si>
  <si>
    <t>CON (Half DAM, not prone)</t>
  </si>
  <si>
    <t>DAM: 5d6+5d6</t>
  </si>
  <si>
    <t>Targets in circle take thunder DAM, then radiant or necrotic DAM; go prone.</t>
  </si>
  <si>
    <t>Detect Evil and Good</t>
  </si>
  <si>
    <t>Know location of aberration,celestial,elemental,fey,fiend,undead,(un)holy ground.</t>
  </si>
  <si>
    <t>Detect Magic</t>
  </si>
  <si>
    <t>Sense presence of magic. Use action to see auras around creatures/objects.</t>
  </si>
  <si>
    <t>Detect Poison and Disease</t>
  </si>
  <si>
    <t>yew leaf</t>
  </si>
  <si>
    <t>Sense location and type of disease, poison, or poisonous creature.</t>
  </si>
  <si>
    <t>Detect Thoughts</t>
  </si>
  <si>
    <t>a copper piece</t>
  </si>
  <si>
    <t>Read thoughts of those around you. See Sourcebook.</t>
  </si>
  <si>
    <t>Dimension Door</t>
  </si>
  <si>
    <t>Self (and ally within 5 ft.)</t>
  </si>
  <si>
    <t>Teleport yourself and ally to location. If occupied, 4d6 force DAM and spell fails.</t>
  </si>
  <si>
    <t>Disguise Self</t>
  </si>
  <si>
    <t>Create illusion to appear as someone else. Foiled by Investigation vs. spell DC.</t>
  </si>
  <si>
    <t>Disintegrate</t>
  </si>
  <si>
    <t>lodestone and pinch of dust</t>
  </si>
  <si>
    <t>DAM: 10d6+40</t>
  </si>
  <si>
    <t>If target drops to 0 HP, is disintegrated. Only revived by True Resurrection.</t>
  </si>
  <si>
    <t>Extra 3d6 DAM.</t>
  </si>
  <si>
    <t>Dispel Evil and Good</t>
  </si>
  <si>
    <t>holy water or silver/iron powder</t>
  </si>
  <si>
    <t>Fey,undead,extraplanar creatures have disadvantaged attacks. See Sourcebook.</t>
  </si>
  <si>
    <t>Dispel Magic</t>
  </si>
  <si>
    <t>1 creature/object/magical effect</t>
  </si>
  <si>
    <t>End spell &lt;= 3rd level. For &gt;= 4th level, casting ability check DC=10+spell level.</t>
  </si>
  <si>
    <t>End spell &lt;= new level.</t>
  </si>
  <si>
    <t>Dissonant Whispers</t>
  </si>
  <si>
    <t>Target immediately uses reaction to move as far away as possible.</t>
  </si>
  <si>
    <t>INCENSE, SAC. OFFERING</t>
  </si>
  <si>
    <t>Question about one event in next 7 days answered by phrase or omen.</t>
  </si>
  <si>
    <t>Druid(Forest,Grassland)</t>
  </si>
  <si>
    <t>Divine Favor</t>
  </si>
  <si>
    <t>Your weapon attacks deal extra 1d4 radiant DAM on a hit.</t>
  </si>
  <si>
    <t>Divine Word</t>
  </si>
  <si>
    <t>Targets suffer effects based on their current HP. See Sourcebook.</t>
  </si>
  <si>
    <t>Dominate Beast</t>
  </si>
  <si>
    <t>Charm beast to give it commands. Has advantage to save if attacking it.</t>
  </si>
  <si>
    <t>Dominate Monster</t>
  </si>
  <si>
    <t>Charm monster to give it commands. Has advantage to save if attacking it.</t>
  </si>
  <si>
    <t>9th: Duration is 8 hours.</t>
  </si>
  <si>
    <t>Dominate Person</t>
  </si>
  <si>
    <t>1 person</t>
  </si>
  <si>
    <t>Charm humanoid to give it commands. Has advantage to save if attacking it.</t>
  </si>
  <si>
    <t>Drawmij's Instant Summons</t>
  </si>
  <si>
    <t>1 object &lt;= 10 lb.</t>
  </si>
  <si>
    <t>sapphire</t>
  </si>
  <si>
    <t>Speak item name and crush gem to summon object unless it's held by other.</t>
  </si>
  <si>
    <t>Dream</t>
  </si>
  <si>
    <t>sand,ink,quill from asleep bird</t>
  </si>
  <si>
    <t>Shape creature's dreams. See Sourcebook.</t>
  </si>
  <si>
    <t>Druid(Grassland)</t>
  </si>
  <si>
    <t>Druidcraft</t>
  </si>
  <si>
    <t>Create minor druidic effect. See Sourcebook.</t>
  </si>
  <si>
    <t>Earthquake</t>
  </si>
  <si>
    <t>100 ft. radius</t>
  </si>
  <si>
    <t>piece of dirt, rock, and clay</t>
  </si>
  <si>
    <t>Create a seismic disturbance with various effects. See Sourcebook.</t>
  </si>
  <si>
    <t>Eldritch Blast</t>
  </si>
  <si>
    <t>DAM: 1d10</t>
  </si>
  <si>
    <t>Beam. 2 beams at 5th level, 3 at 11th, 4 at 17th. Can choose different targets.</t>
  </si>
  <si>
    <t>Elemental Weapon</t>
  </si>
  <si>
    <t>1 nonmagical weapon</t>
  </si>
  <si>
    <t>Weapon is +1 to hit and +1d4 acid, cold, fire, lightning, or thunder DAM.</t>
  </si>
  <si>
    <t>5th:+2,2d4 DAM;7th +3,3D4</t>
  </si>
  <si>
    <t>Enhance Ability</t>
  </si>
  <si>
    <t>fur or feather from a beast</t>
  </si>
  <si>
    <t>Target creature gains a beneficial effect. See Sourcebook.</t>
  </si>
  <si>
    <t>One additional creature.</t>
  </si>
  <si>
    <t>Enlarge/Reduce</t>
  </si>
  <si>
    <t>1 creature or object</t>
  </si>
  <si>
    <t>powdered iron</t>
  </si>
  <si>
    <t>CON (Fail)</t>
  </si>
  <si>
    <t>Enlarge or reduce target. See Sourcebook.</t>
  </si>
  <si>
    <t>Ensnaring Strike</t>
  </si>
  <si>
    <t>Attack target</t>
  </si>
  <si>
    <t>STR (Fail)</t>
  </si>
  <si>
    <t>DAM: 1d6 a turn</t>
  </si>
  <si>
    <t>Restrain target. Large and bigger creatures have advantage to save.</t>
  </si>
  <si>
    <t>Entangle</t>
  </si>
  <si>
    <t>20 ft. square</t>
  </si>
  <si>
    <t>Creatures become restrained.Use action to use STR against spell DC to escape.</t>
  </si>
  <si>
    <t>Enthrall</t>
  </si>
  <si>
    <t>Disadvantage to see anybody but you; attacked ones have advantage to save.</t>
  </si>
  <si>
    <t>Etherealness</t>
  </si>
  <si>
    <t>Up to 8 hours</t>
  </si>
  <si>
    <t>Become ethereal. Move up/down at half speed. Can't see past 60 ft.</t>
  </si>
  <si>
    <t>8th:3 targets;9th: 6 targets</t>
  </si>
  <si>
    <t>Evard's Black Tentacles</t>
  </si>
  <si>
    <t>piece of octopus temtacle</t>
  </si>
  <si>
    <t>DEX while in area (Fail)</t>
  </si>
  <si>
    <t>Also restrained. Restrained take DAM every turn. STR/DEX check to get free.</t>
  </si>
  <si>
    <t>Expeditious Retreat</t>
  </si>
  <si>
    <t>You can take Dash as a bonus action until spell ends.</t>
  </si>
  <si>
    <t>Eyebite</t>
  </si>
  <si>
    <t>1 creature within 60 ft.</t>
  </si>
  <si>
    <t>Affect targets negatively. New target each turn. See Sourcebook.</t>
  </si>
  <si>
    <t>Fabricate</t>
  </si>
  <si>
    <t>10 ft. cube</t>
  </si>
  <si>
    <t>Convert raw materials into object no bigger than 5 ft. cube.</t>
  </si>
  <si>
    <t>Faerie Fire</t>
  </si>
  <si>
    <t>20 ft. cube</t>
  </si>
  <si>
    <t>DEX (No Light)</t>
  </si>
  <si>
    <t>Objects/creatures in cube are outlined in light and are attacked with advantage.</t>
  </si>
  <si>
    <t>False Life</t>
  </si>
  <si>
    <t>alcohol or distilled spirits</t>
  </si>
  <si>
    <t>You gain 1d4+4 temp HP.</t>
  </si>
  <si>
    <t>Extra 5 temp HP.</t>
  </si>
  <si>
    <t>Fear</t>
  </si>
  <si>
    <t>30 ft. cone</t>
  </si>
  <si>
    <t>white feather or hen heart</t>
  </si>
  <si>
    <t>Targets drop everything and use Dash to run away. WIS save once out of sight.</t>
  </si>
  <si>
    <t>Feather Fall</t>
  </si>
  <si>
    <t>1 reaction (falling)</t>
  </si>
  <si>
    <t>&lt;= 5 falling creatures</t>
  </si>
  <si>
    <t>small feather or piece of down</t>
  </si>
  <si>
    <t>Targets' descent slows to 60 ft. per round, takes no DAM, and can land on feet.</t>
  </si>
  <si>
    <t>Feeblemind</t>
  </si>
  <si>
    <t>clay,crystal,or mineral spheres</t>
  </si>
  <si>
    <t>INT (DMG, but no INT effect)</t>
  </si>
  <si>
    <t>DAM: 4d6</t>
  </si>
  <si>
    <t>Creature INT and CHA scores become 1. See Sourcebook.</t>
  </si>
  <si>
    <t>Feign Death</t>
  </si>
  <si>
    <t>pinch of graveyard dirt</t>
  </si>
  <si>
    <t>Creature appears dead. Resists all non-psychic DMG. Disease/poison delayed.</t>
  </si>
  <si>
    <t>Find Familiar</t>
  </si>
  <si>
    <t>CHARCOAL,INCENSE,HERBS</t>
  </si>
  <si>
    <t>10 gp</t>
  </si>
  <si>
    <t>Gain the service of a familiar. See Sourcebook.</t>
  </si>
  <si>
    <t>Find Steed</t>
  </si>
  <si>
    <t>Summons a spirit in the form of a steed. See Sourcebook.</t>
  </si>
  <si>
    <t>Find the Path</t>
  </si>
  <si>
    <t>diviner tools,object from target</t>
  </si>
  <si>
    <t>1 day</t>
  </si>
  <si>
    <t>Find the shortest, most direct route to a place you are familiar with.</t>
  </si>
  <si>
    <t>Find Traps</t>
  </si>
  <si>
    <t>Any trap in range</t>
  </si>
  <si>
    <t>Sense the presence (not location) of any magical or mundane trap nearby.</t>
  </si>
  <si>
    <t>Finger of Death</t>
  </si>
  <si>
    <t>DAM: 7d8+30</t>
  </si>
  <si>
    <t>Humanoids killed rise as a zombie next turn permanently under your control.</t>
  </si>
  <si>
    <t>Fire Bolt</t>
  </si>
  <si>
    <t>1 creature/object</t>
  </si>
  <si>
    <t>DAM at 5th level: 2d10, at 11th level: 3d10, at 17th level: 4d10.</t>
  </si>
  <si>
    <t>Fire Shield</t>
  </si>
  <si>
    <t>bit of phosphorous or a firefly</t>
  </si>
  <si>
    <t>Fire/Cold</t>
  </si>
  <si>
    <t>DAM: 2d8</t>
  </si>
  <si>
    <t>Choose warm or chill shield. Melee attackers take DMG. Light out 10 ft./20 ft.</t>
  </si>
  <si>
    <t>Fire Storm</t>
  </si>
  <si>
    <t>&lt;= ten 10 ft. cubes</t>
  </si>
  <si>
    <t>DAM: 7d10</t>
  </si>
  <si>
    <t>Each cube must face at least one other cube. Can choose not to affect plants.</t>
  </si>
  <si>
    <t>Fireball</t>
  </si>
  <si>
    <t>Fire spreads around corners and ignites flammable objects.</t>
  </si>
  <si>
    <t>Flame Blade</t>
  </si>
  <si>
    <t>sumac leaf</t>
  </si>
  <si>
    <t>Melee Spell Attack</t>
  </si>
  <si>
    <t>Create fiery scimitar that sheds bright light 10ft. and dim light for another 10ft.</t>
  </si>
  <si>
    <t>Extra 1d6 DAM per 2 levels.</t>
  </si>
  <si>
    <t>Flame Strike</t>
  </si>
  <si>
    <t>40 ft. high 10 ft. rad. cylinder</t>
  </si>
  <si>
    <t>pinch of sulfur</t>
  </si>
  <si>
    <t>Fire + Radiant</t>
  </si>
  <si>
    <t>DAM: 4d6+4d6</t>
  </si>
  <si>
    <t>Creatures take fire and chiaric damage.</t>
  </si>
  <si>
    <t>1d6 DAM fire OR radiant</t>
  </si>
  <si>
    <t>Flaming Sphere</t>
  </si>
  <si>
    <t>5 ft. diameter sphere</t>
  </si>
  <si>
    <t>tallow,brimstone,iron powder</t>
  </si>
  <si>
    <t>Creatures next to spheres at end of turn take DAM. Move spheres 30 ft.</t>
  </si>
  <si>
    <t>Flesh to Stone</t>
  </si>
  <si>
    <t>pinch of lime, water, and earth</t>
  </si>
  <si>
    <t>Restrained on first fail. Petrified after 3 fails.</t>
  </si>
  <si>
    <t>Fly</t>
  </si>
  <si>
    <t>bird's wing feather</t>
  </si>
  <si>
    <t>Target gains fly (60 ft.). Fall if spell ends while in air.</t>
  </si>
  <si>
    <t>Fog Cloud</t>
  </si>
  <si>
    <t>Creates a foggy sphere. Can be banished by moderate wind.</t>
  </si>
  <si>
    <t>Increase radius by 20 ft.</t>
  </si>
  <si>
    <t>Forbiddance</t>
  </si>
  <si>
    <t>40,000 sq. ft, 30 ft. high</t>
  </si>
  <si>
    <t>holy water,incense,ruby powder</t>
  </si>
  <si>
    <t>Radiant or Necrotic</t>
  </si>
  <si>
    <t>Can't teleport/gate into area. A creature type you choose takes DMG in area.</t>
  </si>
  <si>
    <t>Forcecage</t>
  </si>
  <si>
    <t>100 ft.</t>
  </si>
  <si>
    <t>20 ft. square or 10 ft. cube</t>
  </si>
  <si>
    <t>ruby dust</t>
  </si>
  <si>
    <t>Creatures stuck in cage can only leave using magic after CHA save.</t>
  </si>
  <si>
    <t>Foresight</t>
  </si>
  <si>
    <t>hummingbird feather</t>
  </si>
  <si>
    <t>Not surprised. Advantage:attacks,checks,saves. Disadvantage getting attacked.</t>
  </si>
  <si>
    <t>Freedom of Movement</t>
  </si>
  <si>
    <t>leather strap around arm</t>
  </si>
  <si>
    <t>Immune to difficult terrain,slow,paralyze,restrain. Spend 5ft to escape restrain.</t>
  </si>
  <si>
    <t>Friends</t>
  </si>
  <si>
    <t>1 non-hostile creature</t>
  </si>
  <si>
    <t>makeup applied to face</t>
  </si>
  <si>
    <t>Advantage on CHA checks to target, who knows magic used once spell ends.</t>
  </si>
  <si>
    <t>Gaseous Form</t>
  </si>
  <si>
    <t>bit of gauze and wisp of smoke</t>
  </si>
  <si>
    <t>Cloud form. Fly(10ft.). Resist nonmagical DMG. STR/DEX/CON save advantage.</t>
  </si>
  <si>
    <t>Gate</t>
  </si>
  <si>
    <t>5-20 ft. diameter gate</t>
  </si>
  <si>
    <t>5000 gp</t>
  </si>
  <si>
    <t>Create portal to precise location on another plane or near a specific person.</t>
  </si>
  <si>
    <t>Geas</t>
  </si>
  <si>
    <t>30 days</t>
  </si>
  <si>
    <t>Target must perform task you set. 5d10 psychic DAM whenever it disobeys.</t>
  </si>
  <si>
    <t>7th: lasts 1 year;9th: forever</t>
  </si>
  <si>
    <t>Gentle Repose</t>
  </si>
  <si>
    <t>1 corpse</t>
  </si>
  <si>
    <t>salt and 1 cp on each eye</t>
  </si>
  <si>
    <t>Preserves corpse. Extends time limit of Raise Dead spell.</t>
  </si>
  <si>
    <t>Giant Insect</t>
  </si>
  <si>
    <t>Turn insects into giant insects that obey your commands.</t>
  </si>
  <si>
    <t>Glibness</t>
  </si>
  <si>
    <t>Can replace CHA check rolls with a 15. Spells always detect you telling truth.</t>
  </si>
  <si>
    <t>Globe of Invulnerability</t>
  </si>
  <si>
    <t>glass or crystal bead</t>
  </si>
  <si>
    <t>Spells &lt;= 5th level cannot affect those within the globe.</t>
  </si>
  <si>
    <t>1 higher spell level blocked.</t>
  </si>
  <si>
    <t>Glyph of Warding</t>
  </si>
  <si>
    <t>incense, DIAMOND POWDER</t>
  </si>
  <si>
    <t>200 gp</t>
  </si>
  <si>
    <t>Dispel/Triggered</t>
  </si>
  <si>
    <t>Create a magical trap. See Sourcebook.</t>
  </si>
  <si>
    <t>Goodberry</t>
  </si>
  <si>
    <t>sprig of mistletoe</t>
  </si>
  <si>
    <t>Create &lt;= 10 berries that HEAL 1 HP each. Expire after 24 hours.</t>
  </si>
  <si>
    <t>Grasping Vine</t>
  </si>
  <si>
    <t>Create vine that lashes out 30 ft. away. Targets failing save pulled 20 ft. to vine.</t>
  </si>
  <si>
    <t>Grease</t>
  </si>
  <si>
    <t>10 ft. square</t>
  </si>
  <si>
    <t>pork rind or butter</t>
  </si>
  <si>
    <t>Creatures in area or entering area fall prone if they fail DEX save.</t>
  </si>
  <si>
    <t>Greater Invisibility</t>
  </si>
  <si>
    <t>Self or willing creature</t>
  </si>
  <si>
    <t>Become invisible until spell ends.</t>
  </si>
  <si>
    <t>Greater Restoration</t>
  </si>
  <si>
    <t>DIAMOND DUST</t>
  </si>
  <si>
    <t>End a debilitating effect on target. See Sourcebook.</t>
  </si>
  <si>
    <t>Guardian of Faith</t>
  </si>
  <si>
    <t>DEX (No DAM)</t>
  </si>
  <si>
    <t>DAM: 20</t>
  </si>
  <si>
    <t>Create spectral guardian that attacks hostiles. Leaves after dealing 60 DAM.</t>
  </si>
  <si>
    <t>Guards and Wards</t>
  </si>
  <si>
    <t>See sourcebook.</t>
  </si>
  <si>
    <t>Protect an area of space. See Sourcebook.</t>
  </si>
  <si>
    <t>Guidance</t>
  </si>
  <si>
    <t>Once, add 1d4 to an ability check.</t>
  </si>
  <si>
    <t>Guiding Bolt</t>
  </si>
  <si>
    <t>Next attack roll against target before end of your next turn has advantage.</t>
  </si>
  <si>
    <t>Gust of Wind</t>
  </si>
  <si>
    <t>60 ft. line 10 ft. wide</t>
  </si>
  <si>
    <t>a legume seed</t>
  </si>
  <si>
    <t>Push targets 15 ft. in directon of wind. Creatures move half speed against wind.</t>
  </si>
  <si>
    <t>Hail of Thorns</t>
  </si>
  <si>
    <t>Target hit by ranged attack and those adjacent who fail save hit by thorns.</t>
  </si>
  <si>
    <t>Hallow</t>
  </si>
  <si>
    <t>60 ft. radius</t>
  </si>
  <si>
    <t>HERBS, OIL, INCENSE</t>
  </si>
  <si>
    <t>Infuse area with holy or unholy power. See Sourcebook.</t>
  </si>
  <si>
    <t>Hallucinatory Terrain</t>
  </si>
  <si>
    <t>150 ft. cube</t>
  </si>
  <si>
    <t>stone, twig, bit of green plant</t>
  </si>
  <si>
    <t>Make natural terrain seem like other terrain. Investigation check to disbelieve.</t>
  </si>
  <si>
    <t>Harm</t>
  </si>
  <si>
    <t>DAM: 14d6</t>
  </si>
  <si>
    <t>Max HP reduced by same amount as DAM. Target cannot fall below 1 HP.</t>
  </si>
  <si>
    <t>Haste</t>
  </si>
  <si>
    <t>shaving of licorice root</t>
  </si>
  <si>
    <t>Doubles speed. +2 AC. Advantage on DEX saves. Additional action to Dash.</t>
  </si>
  <si>
    <t>Heal</t>
  </si>
  <si>
    <t>HEAL: 70</t>
  </si>
  <si>
    <t>Ends blindness, deafness, any diseases. No effect on constructs/undead.</t>
  </si>
  <si>
    <t>Extra 10 HEAL.</t>
  </si>
  <si>
    <t>Healing Word</t>
  </si>
  <si>
    <t>Target HEAL 1d4 + spellcasting ability. No effect on constructs/undead.</t>
  </si>
  <si>
    <t>Extra 1d4 HEAL.</t>
  </si>
  <si>
    <t>Heat Metal</t>
  </si>
  <si>
    <t>1 metal object</t>
  </si>
  <si>
    <t>piece of iron and a flame</t>
  </si>
  <si>
    <t>Heat metallic objects including weapons and armor. See Sourcebook.</t>
  </si>
  <si>
    <t>Hellish Rebuke</t>
  </si>
  <si>
    <t>1 reaction (take DAM)</t>
  </si>
  <si>
    <t>1 creature that damaged you</t>
  </si>
  <si>
    <t>DAM: 2d10</t>
  </si>
  <si>
    <t>Magical counterattack to taking damage.</t>
  </si>
  <si>
    <t>Heroes' Feast</t>
  </si>
  <si>
    <t>&lt;= 12 feast goers</t>
  </si>
  <si>
    <t>GEM--ENCRUSTED BOWL</t>
  </si>
  <si>
    <t>Cure:disease,poison.Immune:poison,fright.HP max +2d10,WIS save advantage.</t>
  </si>
  <si>
    <t>Heroism</t>
  </si>
  <si>
    <t>Immune to being frightened. Temp HP equal to casting ability modifier each turn.</t>
  </si>
  <si>
    <t>1 additional creature.</t>
  </si>
  <si>
    <t>Hex</t>
  </si>
  <si>
    <t>petrified eye of a newt</t>
  </si>
  <si>
    <t>Target takes 1d6 necrotic DAM when you hit it;disadvantage on ability of choice.</t>
  </si>
  <si>
    <t>3rd: duration 8 hrs;5th 24 hrs</t>
  </si>
  <si>
    <t>Hold Monster</t>
  </si>
  <si>
    <t>small straight piece of iron</t>
  </si>
  <si>
    <t>Target is paralyzed. New saving throw at end of turn. Doesn't work on undead.</t>
  </si>
  <si>
    <t>Hold Person</t>
  </si>
  <si>
    <t>Target is paralyzed. New saving throw at end of turn.</t>
  </si>
  <si>
    <t>Holy Aura</t>
  </si>
  <si>
    <t>reliquary containing sacred relic</t>
  </si>
  <si>
    <t>Aura helps allies and hurts enemies. See Sourcebook.</t>
  </si>
  <si>
    <t>Hunger of Hadar</t>
  </si>
  <si>
    <t>pickled octopus tentacle</t>
  </si>
  <si>
    <t>Start turn in area: 2d6 cold DAM.End turn in area: DEX save or 2d6 acid DAM.</t>
  </si>
  <si>
    <t>Hunter's Mark</t>
  </si>
  <si>
    <t>Mark quarry. Extra 1d6 DAM on weapon hit. Advantage on rolls to find it.</t>
  </si>
  <si>
    <t>3rd: duration 8hrs;5th: 24hrs</t>
  </si>
  <si>
    <t>Hypnotic Pattern</t>
  </si>
  <si>
    <t>30 ft. cube</t>
  </si>
  <si>
    <t>glowing stick of incense</t>
  </si>
  <si>
    <t>Creatures charmed, incapacitated, speed = 0. Spell ends on DAM or shaking.</t>
  </si>
  <si>
    <t>Ice Storm</t>
  </si>
  <si>
    <t>20 ft. rad, 40ft. high cylinder</t>
  </si>
  <si>
    <t>pinch of dust, drop of water</t>
  </si>
  <si>
    <t>Bludgeoning+Cold</t>
  </si>
  <si>
    <t>DAM: 2d8+4d6</t>
  </si>
  <si>
    <t>Storm's area of effect becomes difficult terrain until end of next turn.</t>
  </si>
  <si>
    <t>Extra 1d8 bludgeoning DAM.</t>
  </si>
  <si>
    <t>Identify</t>
  </si>
  <si>
    <t>pearl, owl feather</t>
  </si>
  <si>
    <t>Learn what an item is and what spells affect it.</t>
  </si>
  <si>
    <t>Illusory Script</t>
  </si>
  <si>
    <t>writing surface</t>
  </si>
  <si>
    <t>LEAD-BASED INK</t>
  </si>
  <si>
    <t>Write magical script on surface that only designated people can read.</t>
  </si>
  <si>
    <t>Imprisonment</t>
  </si>
  <si>
    <t>Source.</t>
  </si>
  <si>
    <t>Magically restrain a creature. See sourcebook.</t>
  </si>
  <si>
    <t>Incendiary Cloud</t>
  </si>
  <si>
    <t>DEX every turn (Half DMG)</t>
  </si>
  <si>
    <t>Targets make save when cloud created or entering or exiting it. Cloud move: 10ft.</t>
  </si>
  <si>
    <t>Inflict Wounds</t>
  </si>
  <si>
    <t>Inflict necrotic damage on target.</t>
  </si>
  <si>
    <t>Insect Plague</t>
  </si>
  <si>
    <t>bit of sugar, grain, and fat</t>
  </si>
  <si>
    <t>DAM: 4d10</t>
  </si>
  <si>
    <t>Targets make save when swarm created or entering or exiting it.</t>
  </si>
  <si>
    <t>Invisibility</t>
  </si>
  <si>
    <t>eyelash in gum arabic</t>
  </si>
  <si>
    <t>Target becomes invisible. Ends if target attacks or casts a spell.</t>
  </si>
  <si>
    <t>Jump</t>
  </si>
  <si>
    <t>grasshopper's hind leg</t>
  </si>
  <si>
    <t>Target's jump distance tripled until spell ends.</t>
  </si>
  <si>
    <t>Knock</t>
  </si>
  <si>
    <t>Open mundane lock or suppress an Arcane Lock for 10 minutes. Loud knock.</t>
  </si>
  <si>
    <t>Legend Lore</t>
  </si>
  <si>
    <t>1 person, place, or object</t>
  </si>
  <si>
    <t>INCENSE(250),4 ivory strips(50)</t>
  </si>
  <si>
    <t>300 gp</t>
  </si>
  <si>
    <t>Learn lore about target. Information is accurate but might use figurative words.</t>
  </si>
  <si>
    <t>Leomund's Secret Chest</t>
  </si>
  <si>
    <t>1 chest</t>
  </si>
  <si>
    <t>chest(5000), replica chest(50)</t>
  </si>
  <si>
    <t>5050 gp</t>
  </si>
  <si>
    <t>Transport chest back and forth from Ethereal Plane using replica.</t>
  </si>
  <si>
    <t>Leomund's Tiny Hut</t>
  </si>
  <si>
    <t>10 ft. radius hemisphere</t>
  </si>
  <si>
    <t>small crystal bead</t>
  </si>
  <si>
    <t>Protect &lt;= 9 creatures in hut from spells, creatures, elements.</t>
  </si>
  <si>
    <t>Lesser Restoration</t>
  </si>
  <si>
    <t>End one disease or condition (blind, deaf, paralyzed, poisoned) on target.</t>
  </si>
  <si>
    <t>Levitate</t>
  </si>
  <si>
    <t>small leather loop or golden wire</t>
  </si>
  <si>
    <t>Target &lt;= 500 lbs. floats 20 ft.Can move up/down 20ft./turn. Floats down on end.</t>
  </si>
  <si>
    <t>1 object &lt;= 10 ft. cube</t>
  </si>
  <si>
    <t>firefly or phosphorescent moss</t>
  </si>
  <si>
    <t>Object sheds light in 20 ft. radious. Hostile targets get DEX save.</t>
  </si>
  <si>
    <t>Lightning Arrow</t>
  </si>
  <si>
    <t>Ranged Weapon Attack.</t>
  </si>
  <si>
    <t>DAM: 4d8</t>
  </si>
  <si>
    <t>Creatures within 10 ft. of initial target also take 2d8 DAM (DEX save for half).</t>
  </si>
  <si>
    <t>Both effects add 1d8 DAM.</t>
  </si>
  <si>
    <t>Lightning Bolt</t>
  </si>
  <si>
    <t>100 ft. line</t>
  </si>
  <si>
    <t>bit of fur and glass rod</t>
  </si>
  <si>
    <t>LIghtning</t>
  </si>
  <si>
    <t>Lightning ignites flammable objects.</t>
  </si>
  <si>
    <t>Druid(Mountain)</t>
  </si>
  <si>
    <t>Locate Animals or Plants</t>
  </si>
  <si>
    <t>Kind of beast or plant</t>
  </si>
  <si>
    <t>bloodhound fur</t>
  </si>
  <si>
    <t>Name a kind of beast or plant and find the nearest one within 5 miles.</t>
  </si>
  <si>
    <t>Locate Creature</t>
  </si>
  <si>
    <t>1 creature familiar to you</t>
  </si>
  <si>
    <t>Sense creature direction within 1000 ft. or locate it within 30 ft.</t>
  </si>
  <si>
    <t>Locate Object</t>
  </si>
  <si>
    <t>1 object familiar to you</t>
  </si>
  <si>
    <t>forked twig</t>
  </si>
  <si>
    <t>Sense object direction within 1000 ft. or locate it within 30 ft.</t>
  </si>
  <si>
    <t>Longstrider</t>
  </si>
  <si>
    <t>pinch of dirt</t>
  </si>
  <si>
    <t>Target's speed increases by 10 ft.</t>
  </si>
  <si>
    <t>Mage Armor</t>
  </si>
  <si>
    <t>piece of cured leather</t>
  </si>
  <si>
    <t>If target isn't wearing armor, its base AC becomes 13 + DEX modifier.</t>
  </si>
  <si>
    <t>Mage Hand</t>
  </si>
  <si>
    <t>Create spectral hand that manipulates objects. Can pick up &lt;= 10 lbs.</t>
  </si>
  <si>
    <t>Magic Circle</t>
  </si>
  <si>
    <t>10 ft. rad., 20 ft. high cylinder</t>
  </si>
  <si>
    <t>HOLY WATER or Fe/Ag DUST</t>
  </si>
  <si>
    <t>Hinder one creature type within cylinder. See Sourcebook.</t>
  </si>
  <si>
    <t>Duration increases 1 hour.</t>
  </si>
  <si>
    <t>Magic Jar</t>
  </si>
  <si>
    <t>ornamental container</t>
  </si>
  <si>
    <t>Your soul enters an external object. See sourcebook.</t>
  </si>
  <si>
    <t>Magic Missile</t>
  </si>
  <si>
    <t>Any creature in range.</t>
  </si>
  <si>
    <t>DAM:(1d4+1)x3</t>
  </si>
  <si>
    <t>You choose the target for each dart that does 1d4+1 DAM.</t>
  </si>
  <si>
    <t>One additional dart.</t>
  </si>
  <si>
    <t>Magic Mouth</t>
  </si>
  <si>
    <t>honeycomb and JADE DUST</t>
  </si>
  <si>
    <t>Magic mouth repeats &lt;= 25 word message once condition is met.</t>
  </si>
  <si>
    <t>Magic Weapon</t>
  </si>
  <si>
    <t>Nonmagical weapon becomes +1.</t>
  </si>
  <si>
    <t>4th: +2 weapon,6th: +3</t>
  </si>
  <si>
    <t>Major Image</t>
  </si>
  <si>
    <t>bit of fleece</t>
  </si>
  <si>
    <t>Create image of object including sounds, smells. Investigation check to foil.</t>
  </si>
  <si>
    <t>6th: lasts until dispelled</t>
  </si>
  <si>
    <t>Mass Cure Wounds</t>
  </si>
  <si>
    <t>&lt;= 6 creatures</t>
  </si>
  <si>
    <t>Creatures HEAL 3d8 + casting ability modifier. No effect on undead/constructs.</t>
  </si>
  <si>
    <t>HEAL extra 1d8.</t>
  </si>
  <si>
    <t>Mass Heal</t>
  </si>
  <si>
    <t>Targets HEAL total of 700 HP and cured of diseases, blindness, and deafness.</t>
  </si>
  <si>
    <t>Mass Healing Word</t>
  </si>
  <si>
    <t>Targets HEAL 1d4 + casting ability modifier. No effect on undead/constructs.</t>
  </si>
  <si>
    <t>HEAL extra 1d4.</t>
  </si>
  <si>
    <t>Mass Suggestion</t>
  </si>
  <si>
    <t>&lt;= 12 creatures</t>
  </si>
  <si>
    <t>snake's tongue, honeycomb</t>
  </si>
  <si>
    <t>Make creatures accept reasonable sounding suggestions. See Sourcebook.</t>
  </si>
  <si>
    <t>7th: 10 days;8th:30;9th:366</t>
  </si>
  <si>
    <t>Maze</t>
  </si>
  <si>
    <t>Target uses action each turn to make INT check (DC 20) to escape.</t>
  </si>
  <si>
    <t>Meld into Stone</t>
  </si>
  <si>
    <t>Stone object or surface</t>
  </si>
  <si>
    <t>Meld into stone walls or large stone objects. See Sourcebook.</t>
  </si>
  <si>
    <t>Melf's Acid Arrow</t>
  </si>
  <si>
    <t>rhubarb leaf, adder's stomach</t>
  </si>
  <si>
    <t>Half DAM on miss. On hit, target also takes 2d4 acid DAM at end of next turn.</t>
  </si>
  <si>
    <t>1d4 DAM on both effects</t>
  </si>
  <si>
    <t>Mending</t>
  </si>
  <si>
    <t>two lodestones</t>
  </si>
  <si>
    <t>Mends one break or tear no larger than 1ft. in a mundane object.</t>
  </si>
  <si>
    <t>Message</t>
  </si>
  <si>
    <t>1 creature in range</t>
  </si>
  <si>
    <t>piece of copper wire</t>
  </si>
  <si>
    <t>Point at target and whisper a message. They can whisper a response.</t>
  </si>
  <si>
    <t>Meteor Swarm</t>
  </si>
  <si>
    <t>40 ft. radius sphere</t>
  </si>
  <si>
    <t>Fire+Bludgeoning</t>
  </si>
  <si>
    <t>DAM20d6+20d6</t>
  </si>
  <si>
    <t>Also damages objects and ignites flammable objects.</t>
  </si>
  <si>
    <t>Mind Blank</t>
  </si>
  <si>
    <t>Target immune to psychic damage, charm, mind reading, divinations.</t>
  </si>
  <si>
    <t>Minor Illusion</t>
  </si>
  <si>
    <t>Create illusory sound or image. Investigation check against spell DC to detect.</t>
  </si>
  <si>
    <t>Mirage Arcane</t>
  </si>
  <si>
    <t>1 square mile</t>
  </si>
  <si>
    <t>Create audo,visual,tactile, and olfactory illusion. Only Truesight can detect.</t>
  </si>
  <si>
    <t>Mirror Image</t>
  </si>
  <si>
    <t>Create duplicates that make you harder to hit. See Sourcebook.</t>
  </si>
  <si>
    <t>Druid(Coast)</t>
  </si>
  <si>
    <t>Mislead</t>
  </si>
  <si>
    <t>Become invisible and create illusory double. Use action to move your double.</t>
  </si>
  <si>
    <t>Misty Step</t>
  </si>
  <si>
    <t>Teleport &lt;= 30 ft. away to unoccupied location.</t>
  </si>
  <si>
    <t>Paladin(Ancients,Vengeance)</t>
  </si>
  <si>
    <t>Modify Memory</t>
  </si>
  <si>
    <t>Reshape another creature's memories. See Sourcebook.</t>
  </si>
  <si>
    <t>Moonbeam</t>
  </si>
  <si>
    <t>5 ft. rad. 40 ft. high cylinder</t>
  </si>
  <si>
    <t>moonseed seeds, feldspar</t>
  </si>
  <si>
    <t>DAM taken entering/start turn in beam. Shapechanges disadvantage to save.</t>
  </si>
  <si>
    <t>Mordenkainen's Faithful Hound</t>
  </si>
  <si>
    <t>silver whistle, bone, thread</t>
  </si>
  <si>
    <t>Spectral hound guards area and can attack hostiles. See Sourcebook.</t>
  </si>
  <si>
    <t>Mordenkainen's Magnificent Mansion</t>
  </si>
  <si>
    <t>portal(5),marble(5),spoon(5)</t>
  </si>
  <si>
    <t>15 gp</t>
  </si>
  <si>
    <t>Summon portal to 50000 cubic ft. mansion with food for 100 people.</t>
  </si>
  <si>
    <t>Mordenkainen's Private Sanctum</t>
  </si>
  <si>
    <t>&lt;= 100 ft. cube</t>
  </si>
  <si>
    <t>lead,glass,cloth,chrysolite</t>
  </si>
  <si>
    <t>Create magically secure area. See Sourcebook.</t>
  </si>
  <si>
    <t>Extra 100 ft. per cube side</t>
  </si>
  <si>
    <t>Mordenkainen's Sword</t>
  </si>
  <si>
    <t>mini platinum sword</t>
  </si>
  <si>
    <t>250 gp</t>
  </si>
  <si>
    <t>Use bonus action each turn to move sword &lt;= 20 ft. and attack again.</t>
  </si>
  <si>
    <t>Move Earth</t>
  </si>
  <si>
    <t>40 ft. square of terrain</t>
  </si>
  <si>
    <t>iron blade, bag of soil</t>
  </si>
  <si>
    <t>2 hours</t>
  </si>
  <si>
    <t>Reshape dirt, sand, or clay. Can move to different square after 10 minutes.</t>
  </si>
  <si>
    <t>Nondetection</t>
  </si>
  <si>
    <t>1 object, place, or willing target</t>
  </si>
  <si>
    <t>Hide target from all divination and scrying magic.</t>
  </si>
  <si>
    <t>Nystul's Magic Aura</t>
  </si>
  <si>
    <t>small square of silk</t>
  </si>
  <si>
    <t>Divination spells reveal false info about target. See Sourcebook.</t>
  </si>
  <si>
    <t>Otiluke's Freezing Sphere</t>
  </si>
  <si>
    <t>small crystal sphere</t>
  </si>
  <si>
    <t>DAM: 10d6</t>
  </si>
  <si>
    <t>Water freezes. Can give globe to another who fires it and spell takes effect then.</t>
  </si>
  <si>
    <t>Otiluke's Resilient Sphere</t>
  </si>
  <si>
    <t>hemispheres of crystal,arabic</t>
  </si>
  <si>
    <t>Trap creature in sphere. Sphere only destroyed by Disintegrate spell.</t>
  </si>
  <si>
    <t>Otto's Irresistable Dance</t>
  </si>
  <si>
    <t>No movement.Disadvantage on DEX saves and attacks.Use action to WIS save.</t>
  </si>
  <si>
    <t>Pass without Trace</t>
  </si>
  <si>
    <t>Willing creatures in range</t>
  </si>
  <si>
    <t>mistletoe or spruce ash</t>
  </si>
  <si>
    <t>Targets get +10 to Stealth checks and can only be tracked by magic.</t>
  </si>
  <si>
    <t>Passwall</t>
  </si>
  <si>
    <t>pinch of sesame seeds</t>
  </si>
  <si>
    <t>Create 5ft wide, 8ft tall,20ft deep opening in wall, ceiling, or floor.</t>
  </si>
  <si>
    <t>Phantasmal Force</t>
  </si>
  <si>
    <t>INT (Fail)</t>
  </si>
  <si>
    <t>Affect target with illusion. Can DAM for 1d6 Psychic. See Sourcebook.</t>
  </si>
  <si>
    <t>Phantasmal Killer</t>
  </si>
  <si>
    <t>Target is frightened and takes DAM at start of turn if it doesn't save.</t>
  </si>
  <si>
    <t>Phantom Steed</t>
  </si>
  <si>
    <t>You and 1 other can ride phantom steed. Speed=100ft or 10mph (13 fast).</t>
  </si>
  <si>
    <t>Planar Ally</t>
  </si>
  <si>
    <t>Ask otherworldly entity for aid. See Sourcebook.</t>
  </si>
  <si>
    <t>Planar Binding</t>
  </si>
  <si>
    <t>1 extraplanar creature</t>
  </si>
  <si>
    <t>JEWEL</t>
  </si>
  <si>
    <t>Bind celestial, elemental, fey, or fiend to serve you for spell duration.</t>
  </si>
  <si>
    <t>Plane Shift</t>
  </si>
  <si>
    <t>1 unwilling or Self + 8 willing</t>
  </si>
  <si>
    <t>forked metal rod</t>
  </si>
  <si>
    <t>Melee Spell Attack + CHA (Fail)</t>
  </si>
  <si>
    <t>Transport to another plane. You specify general location or teleportation circle.</t>
  </si>
  <si>
    <t>Plant Growth</t>
  </si>
  <si>
    <t>1 action or 8 hours</t>
  </si>
  <si>
    <t>100 ft. or 1 mile radius</t>
  </si>
  <si>
    <t>Cast short term (creatures move 1/4 speed) or long term (double food yield).</t>
  </si>
  <si>
    <t>Poison Spray</t>
  </si>
  <si>
    <t>DAM: 1d12</t>
  </si>
  <si>
    <t>DAM increase. 5th level: 2d12, 11th level: 3d12, 17th level: 4d12.</t>
  </si>
  <si>
    <t>Polymorph</t>
  </si>
  <si>
    <t>caterpillar cocoon</t>
  </si>
  <si>
    <t>Transform creature's form. All stats change. Limited to actions of new form.</t>
  </si>
  <si>
    <t>Power Word Heal</t>
  </si>
  <si>
    <t>HEAL: All HP</t>
  </si>
  <si>
    <t>Target also cured of charm, fright, paralyze, or stun. Use reaction to stand up.</t>
  </si>
  <si>
    <t>Power Word Kill</t>
  </si>
  <si>
    <t>If target has &lt;= 100 HP, it dies instantly. No effect otherwise. No saving throw.</t>
  </si>
  <si>
    <t>Power Word Stun</t>
  </si>
  <si>
    <t>Target &lt;= 150 HP is stunned. Nothing otherwise. CON save at end of turn to end.</t>
  </si>
  <si>
    <t>Prayer of Healing</t>
  </si>
  <si>
    <t>&lt;= 6 creatures you choose</t>
  </si>
  <si>
    <t>Targets HEAL 2d8 + casting ability modifier HP. No effect on undead/constructs.</t>
  </si>
  <si>
    <t>Prestidigitation</t>
  </si>
  <si>
    <t>Create minor magical effect. See Sourcebook.</t>
  </si>
  <si>
    <t>Prismatic Spray</t>
  </si>
  <si>
    <t>Send a rainbow of negative effects at enemies. See Sourcebook.</t>
  </si>
  <si>
    <t>Prismatic Wall</t>
  </si>
  <si>
    <t>90x30 ft wall or 30ft dia. sphere</t>
  </si>
  <si>
    <t>Create multicolored barrier with various effects. See Sourcebook.</t>
  </si>
  <si>
    <t>Produce Flame</t>
  </si>
  <si>
    <t>DAM: 1d8</t>
  </si>
  <si>
    <t>Create flame. DAM increase. 5th level: 2d8, 11th level: 3d8, 17th level: 4d8.</t>
  </si>
  <si>
    <t>Programmed Illusion</t>
  </si>
  <si>
    <t>fleece, jade dust</t>
  </si>
  <si>
    <t>Create illusion that performs specific action triggered by specific action.</t>
  </si>
  <si>
    <t>Project Image</t>
  </si>
  <si>
    <t>500 miles</t>
  </si>
  <si>
    <t>small replica of self</t>
  </si>
  <si>
    <t>5 gp</t>
  </si>
  <si>
    <t>Create image of self you can see/hear/speak/move (x2 speed) through.</t>
  </si>
  <si>
    <t>Protection from Energy</t>
  </si>
  <si>
    <t>Creature gains resistance to one of: acid, cold, fire, lightning, or thunder.</t>
  </si>
  <si>
    <t>Protection from Evil and Good</t>
  </si>
  <si>
    <t>holy water or powdered silver</t>
  </si>
  <si>
    <t>Protect against certain types of creatures. See Sourcebook.</t>
  </si>
  <si>
    <t>Protection from Poison</t>
  </si>
  <si>
    <t>Target has 1 poison neutralized, advantage on poison save, resists poison DAM.</t>
  </si>
  <si>
    <t>Purify Food and Drink</t>
  </si>
  <si>
    <t>5 ft. radius</t>
  </si>
  <si>
    <t>All nonmagical food and drink in range is rendered free of poison and disease.</t>
  </si>
  <si>
    <t>Raise Dead</t>
  </si>
  <si>
    <t>1 dead creature</t>
  </si>
  <si>
    <t>DIAMOND</t>
  </si>
  <si>
    <t>Return target to life with 1 HP. See Sourcebook.</t>
  </si>
  <si>
    <t>Rary's Telepathic Bond</t>
  </si>
  <si>
    <t>&lt;= 8 willing creatures</t>
  </si>
  <si>
    <t>eggshell of 2 different creatures</t>
  </si>
  <si>
    <t>Targets can communicate telepathically with each other, but not to other planes.</t>
  </si>
  <si>
    <t>Ray of Enfeeblement</t>
  </si>
  <si>
    <t>Target deals 1/2 DMG with STR weapon attacks. CON save to end at turn's end.</t>
  </si>
  <si>
    <t>Ray of Frost</t>
  </si>
  <si>
    <t>Speed -10ft. DAM increase. 5th level: 2d8, 11th level: 3d8, 17th level: 4d8.</t>
  </si>
  <si>
    <t>Ray of Sickness</t>
  </si>
  <si>
    <t>DAM: 2k8</t>
  </si>
  <si>
    <t>Target also makes CON save. On fail, poisoned until end of next turn.</t>
  </si>
  <si>
    <t>Regenerate</t>
  </si>
  <si>
    <t>prayer wheel and holy water</t>
  </si>
  <si>
    <t>HEAL: 4d8+15</t>
  </si>
  <si>
    <t>Target HEAL 1 HP at start of every turn. Severed parts return after 2 minutes.</t>
  </si>
  <si>
    <t>Reincarnate</t>
  </si>
  <si>
    <t>1 dead humanoid</t>
  </si>
  <si>
    <t>RARE OILS AND UNGUENTS</t>
  </si>
  <si>
    <t>Resurrect dead humanoid into a random humanoid body. See Sourcebook.</t>
  </si>
  <si>
    <t>Remove Curse</t>
  </si>
  <si>
    <t>Remove curse creature or break object's curse attunement to any target.</t>
  </si>
  <si>
    <t>Resistance</t>
  </si>
  <si>
    <t>miniature cloak</t>
  </si>
  <si>
    <t>Once before spell ends, add 1d4 to a saving throw. Roll before or after save.</t>
  </si>
  <si>
    <t>Resurrection</t>
  </si>
  <si>
    <t>Resurrect dead creaature. See Sourcebook.</t>
  </si>
  <si>
    <t>Reverse Gravity</t>
  </si>
  <si>
    <t>50 ft. radius</t>
  </si>
  <si>
    <t>lodestone and iron filings</t>
  </si>
  <si>
    <t>DEX (grab fixed object)</t>
  </si>
  <si>
    <t>Creatures fall upwards, taking falling damage. Fall again once spell ends.</t>
  </si>
  <si>
    <t>Revivify</t>
  </si>
  <si>
    <t>Raise creature that died within 1 minute to 1 HP. Doesn't restore missing parts.</t>
  </si>
  <si>
    <t>Rope Trick</t>
  </si>
  <si>
    <t>60 ft. rope</t>
  </si>
  <si>
    <t>powdered corn, parchment loop</t>
  </si>
  <si>
    <t>Climb rope to other space that can hide 8 Medium creatures. Can see outside.</t>
  </si>
  <si>
    <t>Sacred Flame</t>
  </si>
  <si>
    <t>No cover. DAM increase. 5th level: 2d8, 11th level: 3d8, 17th level: 4d8.</t>
  </si>
  <si>
    <t>Sanctuary</t>
  </si>
  <si>
    <t>small silver mirror</t>
  </si>
  <si>
    <t>Those choosing to attack target must make WIS save or choose new target.</t>
  </si>
  <si>
    <t>Scorching Ray</t>
  </si>
  <si>
    <t>DAM: 2d6x3</t>
  </si>
  <si>
    <t>Shoot 3 rays at up to 3 targets.</t>
  </si>
  <si>
    <t>One additional ray.</t>
  </si>
  <si>
    <t>Scrying</t>
  </si>
  <si>
    <t>scrying focus</t>
  </si>
  <si>
    <t>Spy on a target located on the same plane as you. See Sourcebook.</t>
  </si>
  <si>
    <t>Searing Smite</t>
  </si>
  <si>
    <t>Melee Weapon Attack</t>
  </si>
  <si>
    <t>Target takes initial DAM and CON save at start of each turn or take 1d6 fire.</t>
  </si>
  <si>
    <t>Extra 1d6 initial DAM.</t>
  </si>
  <si>
    <t>See Invisibility</t>
  </si>
  <si>
    <t>pinch of talc and silver powder</t>
  </si>
  <si>
    <t>See invisible and ethereal creatures.</t>
  </si>
  <si>
    <t>Seeming</t>
  </si>
  <si>
    <t>Any creatures in range</t>
  </si>
  <si>
    <t>Disguise willing or unwillig creatures as other similar creatures, including outfits.</t>
  </si>
  <si>
    <t>Sending</t>
  </si>
  <si>
    <t>short piece of fine copper wire</t>
  </si>
  <si>
    <t>Send &lt;= 25 word message to known creature. Get similar reply.</t>
  </si>
  <si>
    <t>Sequester</t>
  </si>
  <si>
    <t>1 willing creature or object</t>
  </si>
  <si>
    <t>GEM POWDER</t>
  </si>
  <si>
    <t>Hide target from detection, falls into suspended animation. Condition can end it.</t>
  </si>
  <si>
    <t>Shapechange</t>
  </si>
  <si>
    <t>jade circlet</t>
  </si>
  <si>
    <t>Assume the form of a different creature. See Sourcebook.</t>
  </si>
  <si>
    <t>Shatter</t>
  </si>
  <si>
    <t>10 ft. sphere</t>
  </si>
  <si>
    <t>chip of mica</t>
  </si>
  <si>
    <t>Inorganic creatures have disadvantage to save. Objects take DAM too.</t>
  </si>
  <si>
    <t>Shield</t>
  </si>
  <si>
    <t>1 reaction (on hit by attack/magic missile)</t>
  </si>
  <si>
    <t>Gain +5 bonus to AC, including triggering attack. Negates Magic Missile attacks.</t>
  </si>
  <si>
    <t>Shield of Faith</t>
  </si>
  <si>
    <t>small parchment with holy text</t>
  </si>
  <si>
    <t>Target gains +2 bonus to AC.</t>
  </si>
  <si>
    <t>Shillelagh</t>
  </si>
  <si>
    <t>1 club or quarterstaff</t>
  </si>
  <si>
    <t>mistletoe, shamrock, weapon</t>
  </si>
  <si>
    <t>Use casting ability instead of STR for attack,damage. Weapon does 1d8 DMG.</t>
  </si>
  <si>
    <t>Shocking Grasp</t>
  </si>
  <si>
    <t>Target can't take reactions until next turn. Advantage if target has metal armor.</t>
  </si>
  <si>
    <t>Silence</t>
  </si>
  <si>
    <t>Creatures in area are deafened, immune to thunder DMG, can't cast verbally.</t>
  </si>
  <si>
    <t>Silent Image</t>
  </si>
  <si>
    <t>15 ft. cube</t>
  </si>
  <si>
    <t>Create visual-only illusion. Use action to make it move. Investigation to discover.</t>
  </si>
  <si>
    <t>Simulacrum</t>
  </si>
  <si>
    <t>12 hours</t>
  </si>
  <si>
    <t>Create duplicate of beast or humanoid that obeys your commands.</t>
  </si>
  <si>
    <t>Sleep</t>
  </si>
  <si>
    <t>20 ft. radius</t>
  </si>
  <si>
    <t>pinch of fine sand</t>
  </si>
  <si>
    <t>5d8 total HP of creatures in area fall asleep. Go in order of lowest HP to hightest.</t>
  </si>
  <si>
    <t>Addition 2d8 HP fall asleep.</t>
  </si>
  <si>
    <t>Sleet Storm</t>
  </si>
  <si>
    <t>40 ft. rad. 20 ft. tall cylinder</t>
  </si>
  <si>
    <t>pinch of dust, drops of water</t>
  </si>
  <si>
    <t>Difficult terrain.Each turn,DEX save or fall prone,CON save or lose concentration.</t>
  </si>
  <si>
    <t>Slow</t>
  </si>
  <si>
    <t>&lt;= 6 creatures in 40 ft. cube</t>
  </si>
  <si>
    <t>drop of molasses</t>
  </si>
  <si>
    <t>Affected creatures become slowed. See Sourcebook.</t>
  </si>
  <si>
    <t>Spare the Dying</t>
  </si>
  <si>
    <t>1 living creature at 0 HP</t>
  </si>
  <si>
    <t>Stabilize dying creature. No effect on undead or constructs.</t>
  </si>
  <si>
    <t>Speak with Animals</t>
  </si>
  <si>
    <t>Understand and speak to beasts. Get info about nearby locations and monsters.</t>
  </si>
  <si>
    <t>Speak with Dead</t>
  </si>
  <si>
    <t>burning incense</t>
  </si>
  <si>
    <t>Ask corpse &lt;= 5 questions. Get brief, cryptic answers. Can be lies.</t>
  </si>
  <si>
    <t>Speak with Plants</t>
  </si>
  <si>
    <t>Animate plants to communicate with and perform tasks. See Sourcebook.</t>
  </si>
  <si>
    <t>Spider Climb</t>
  </si>
  <si>
    <t>spider and drop of bitumen</t>
  </si>
  <si>
    <t>Target can walk on walls or ceiling. Climbing speed becomes walking speed.</t>
  </si>
  <si>
    <t>Druid(Forest,Mountain,Underdark)</t>
  </si>
  <si>
    <t>Spike Growth</t>
  </si>
  <si>
    <t>7 sharp thorns or twigs</t>
  </si>
  <si>
    <t>Difficult terrain. Moving into or within area takes 2d4 piercing DAM per 5 ft.</t>
  </si>
  <si>
    <t>Spirit Guardian</t>
  </si>
  <si>
    <t>15 ft. radius</t>
  </si>
  <si>
    <t>holy symbol</t>
  </si>
  <si>
    <t>WIS (Half DAM)</t>
  </si>
  <si>
    <t>Enemy creature speed halved. DMG on enter area: necrotic if evil, radiant if not.</t>
  </si>
  <si>
    <t>Spiritual Weapon</t>
  </si>
  <si>
    <t>Magical weapon does 1d8 + casting ability DMG. Can move 20 ft. per turn.</t>
  </si>
  <si>
    <t>Staggering Smite</t>
  </si>
  <si>
    <t>WIS save or disadvantage on attack &amp; ability checks; can't take reactions.</t>
  </si>
  <si>
    <t>Stinking Cloud</t>
  </si>
  <si>
    <t>rotten egg or skunk cabbage</t>
  </si>
  <si>
    <t>Creatures that need to breathe spend turn retching. Wind disperses cloud.</t>
  </si>
  <si>
    <t>Druid(Swamp,Underdark)</t>
  </si>
  <si>
    <t>Stone Shape</t>
  </si>
  <si>
    <t>soft clay in desired shape</t>
  </si>
  <si>
    <t>Reshape stone into any rough shape you wish.</t>
  </si>
  <si>
    <t>Stoneskin</t>
  </si>
  <si>
    <t>Target gains resistance to nonmagical bludgeoning, piercing, and slashing DMG.</t>
  </si>
  <si>
    <t>Storm of Vengeance</t>
  </si>
  <si>
    <t>360 ft. radius</t>
  </si>
  <si>
    <t>Magical storm attacks targets in range. See Sourcebook.</t>
  </si>
  <si>
    <t>Suggestion</t>
  </si>
  <si>
    <t>Target follows reasonable course of action you suggest. Can specify conditions.</t>
  </si>
  <si>
    <t>Sunbeam</t>
  </si>
  <si>
    <t>60 ft. line</t>
  </si>
  <si>
    <t>magnifying glass</t>
  </si>
  <si>
    <t>CON (Half DAM, no blindness)</t>
  </si>
  <si>
    <t>DAM: 6d8</t>
  </si>
  <si>
    <t>Creatures are blinded until your next turn. Use your action to make a new line.</t>
  </si>
  <si>
    <t>Sunburst</t>
  </si>
  <si>
    <t>fire and piece of sunstone</t>
  </si>
  <si>
    <t>Creatures are blinded for 1 minute (CON save at end of turn to end).</t>
  </si>
  <si>
    <t>Swift Quiver</t>
  </si>
  <si>
    <t>Spell component</t>
  </si>
  <si>
    <t>quiver with at least 1 ammo</t>
  </si>
  <si>
    <t>Quiver produces endless ammo.Use bonus action for 2 attacks using ammo.</t>
  </si>
  <si>
    <t>Symbol</t>
  </si>
  <si>
    <t>1 surface or object</t>
  </si>
  <si>
    <t>Hg, P, DIAMOND and OPAL</t>
  </si>
  <si>
    <t>Inscribe harmful magical glyph on surface. See Sourcebook.</t>
  </si>
  <si>
    <t>Tasha's Hideous Laughter</t>
  </si>
  <si>
    <t>tiny tarts and a feather</t>
  </si>
  <si>
    <t>Target (INT &gt; 4) is prone, incapacitated, can't stand. WIS save each turn to end.</t>
  </si>
  <si>
    <t>Telekinesis</t>
  </si>
  <si>
    <t>Creatures or objects in range</t>
  </si>
  <si>
    <t>Move objects or creatures with your mind. See Sourcebook.</t>
  </si>
  <si>
    <t>Telepathy</t>
  </si>
  <si>
    <t>pair of linked silver rings</t>
  </si>
  <si>
    <t>Telepathically communicate words, sounds, images with target (INT &gt;= 1).</t>
  </si>
  <si>
    <t>Teleport</t>
  </si>
  <si>
    <t>Self and &lt;= 8 creatures</t>
  </si>
  <si>
    <t>Teleport yourself and willing creatures to a distant location. See Sourcebook.</t>
  </si>
  <si>
    <t>Teleportation Circle</t>
  </si>
  <si>
    <t>10 ft. diameter circle</t>
  </si>
  <si>
    <t>CHALK &amp; INK mixed with gems</t>
  </si>
  <si>
    <t>Any stepping inside circle teleport to permanent teleportation circle.</t>
  </si>
  <si>
    <t>Tenser's Floating Disk</t>
  </si>
  <si>
    <t>3 ft. diameter circle</t>
  </si>
  <si>
    <t>drop of mercury</t>
  </si>
  <si>
    <t>Create floating disk that holds 500 lbs and stays within 20 ft. of you.</t>
  </si>
  <si>
    <t>Thaumaturgy</t>
  </si>
  <si>
    <t>Up to 1 minute</t>
  </si>
  <si>
    <t>Thorn Whip</t>
  </si>
  <si>
    <t>stem of thorny plant</t>
  </si>
  <si>
    <t>Pulled 10 ft to root. DAM increase. 5th level: 2d6, 11th level: 3d6, 17th level: 4d6.</t>
  </si>
  <si>
    <t>Thunderous Smite</t>
  </si>
  <si>
    <t>Attack target takes extra thunder DAM and STR save or pushed 10 ft. and prone.</t>
  </si>
  <si>
    <t>Thunderwave</t>
  </si>
  <si>
    <t>CON (Half DAM, no push)</t>
  </si>
  <si>
    <t>Creatures failing save and objects pushed 10 ft. Boom heard for 300 ft.</t>
  </si>
  <si>
    <t>Time Stop</t>
  </si>
  <si>
    <t>Stop time. Take 1d4+1 turns alone. Spell ends if you affect others in any way.</t>
  </si>
  <si>
    <t>Tongues</t>
  </si>
  <si>
    <t>clay model of a ziggurat</t>
  </si>
  <si>
    <t>Target understands any spoken language and is understood by everyone else.</t>
  </si>
  <si>
    <t>Transport via Plants</t>
  </si>
  <si>
    <t>2 &gt;= Large plants, 1 in range</t>
  </si>
  <si>
    <t>Enter one plant and emerge from another on same plane you've encountered.</t>
  </si>
  <si>
    <t>Tree Stride</t>
  </si>
  <si>
    <t>Enter one tree and emerge from another 500 ft. away. Use once per round.</t>
  </si>
  <si>
    <t>True Polymorph</t>
  </si>
  <si>
    <t>1 creature or nonmagical object</t>
  </si>
  <si>
    <t>mercury, gum arabic, smoke</t>
  </si>
  <si>
    <t>Transform a creature/object into a different creature/object. See Sourcebook.</t>
  </si>
  <si>
    <t>True Resurrection</t>
  </si>
  <si>
    <t>1 creature dead &lt;= 200 years</t>
  </si>
  <si>
    <t>holy water, DIAMONDS</t>
  </si>
  <si>
    <t>25000 gp</t>
  </si>
  <si>
    <t>Resurrect creature that didn't die of old age. Heals all wounds, effects, etc.</t>
  </si>
  <si>
    <t>True Seeing</t>
  </si>
  <si>
    <t>OINTMENT FOR EYES</t>
  </si>
  <si>
    <t>Target creature gains truesight, sees secret doors, Ethereal Plane. Range 120 ft.</t>
  </si>
  <si>
    <t>True Strike</t>
  </si>
  <si>
    <t>Next turn you gain advantage on first attack against the target.</t>
  </si>
  <si>
    <t>Tsunami</t>
  </si>
  <si>
    <t>300 ft x 300 ft x 50 ft water</t>
  </si>
  <si>
    <t>6 rounds</t>
  </si>
  <si>
    <t>STR (Half DAM)</t>
  </si>
  <si>
    <t>Creatures make STR save to avoid more damage (1d10 less DMG each round).</t>
  </si>
  <si>
    <t>Unseen Servant</t>
  </si>
  <si>
    <t>piece of string, bit of wood</t>
  </si>
  <si>
    <t>Create invisible force that can perform simple, menial tasks for you.</t>
  </si>
  <si>
    <t>Vampiric Touch</t>
  </si>
  <si>
    <t>Each time you hit a target, you also HEAL half of the DAM you cause.</t>
  </si>
  <si>
    <t>Vicious Mockery</t>
  </si>
  <si>
    <t>DAM: 1d4</t>
  </si>
  <si>
    <t>Disadvantage to attack.DAM increase.5th level:2d4,11th level:3d4,17th level:4d4</t>
  </si>
  <si>
    <t>Wall of Fire</t>
  </si>
  <si>
    <t>small piece of phosphorous</t>
  </si>
  <si>
    <t>Those entering or ending turn on one side of the wall take 5d8 fire DAM.</t>
  </si>
  <si>
    <t>Wall of Force</t>
  </si>
  <si>
    <t>powder from clear gemstone</t>
  </si>
  <si>
    <t>Create impenetrable wall (even into Ethereal Plane) only unmade by Disintegrate.</t>
  </si>
  <si>
    <t>Wall of Ice</t>
  </si>
  <si>
    <t>small piece of quartz</t>
  </si>
  <si>
    <t>Ice:AC 12, 30 HP. Moving through ice:take 5d6 cold DAM or CON save for half.</t>
  </si>
  <si>
    <t>Extra DAM:2d6,1d6 moving</t>
  </si>
  <si>
    <t>Wall of Stone</t>
  </si>
  <si>
    <t>small block of granite</t>
  </si>
  <si>
    <t>DEX (Move away, not trapped)</t>
  </si>
  <si>
    <t>Create wall of stone or other stone structure. See Sourcebook.</t>
  </si>
  <si>
    <t>Wall of Thorns</t>
  </si>
  <si>
    <t>handful of thorns</t>
  </si>
  <si>
    <t>DAM: 7d8</t>
  </si>
  <si>
    <t>Move through wall at 1/4 speed and take 7d8 slashing DAM (DEX save for half).</t>
  </si>
  <si>
    <t>Extra 1d8 DAM (both types).</t>
  </si>
  <si>
    <t>Warding Bond</t>
  </si>
  <si>
    <t>pair of platinum rings</t>
  </si>
  <si>
    <t>Target (60ft) has +1 AC and saves, resistance to all DAM, shares DAM with you.</t>
  </si>
  <si>
    <t>Water Breathing</t>
  </si>
  <si>
    <t>&lt;= 10 willing creatures</t>
  </si>
  <si>
    <t>short reed or piece of straw</t>
  </si>
  <si>
    <t>Creatures gain ability to breathe underwater using normal respiration.</t>
  </si>
  <si>
    <t>Water Walk</t>
  </si>
  <si>
    <t>piece of cork</t>
  </si>
  <si>
    <t>Creaturess walk on liquid, rise 60 ft. per round if under. Still take other damage.</t>
  </si>
  <si>
    <t>Web</t>
  </si>
  <si>
    <t>bit of spiderweb</t>
  </si>
  <si>
    <t>Every turn:DEX save or restrain;STR save to escape.Burning webs:2d4 fire DAM.</t>
  </si>
  <si>
    <t>Weird</t>
  </si>
  <si>
    <t>Affected creatures make WIS saves each turn and take DAM until they save.</t>
  </si>
  <si>
    <t>Wind Walk</t>
  </si>
  <si>
    <t>You and &lt;= 10 willing creatures</t>
  </si>
  <si>
    <t>fire and holy water</t>
  </si>
  <si>
    <t>Fly speed: 300 ft. Resist weapons.Only Dash in cloud form. Can revert to normal.</t>
  </si>
  <si>
    <t>Wind Wall</t>
  </si>
  <si>
    <t>tiny fan and exotic feather</t>
  </si>
  <si>
    <t>Strong wind keeps gases, flying creatures, projectiles, gaseous creatures away.</t>
  </si>
  <si>
    <t>Wish</t>
  </si>
  <si>
    <t>Replicate and spell &lt;= 8th level or other powerful effect granted. See Sourcebook.</t>
  </si>
  <si>
    <t>Witch Bolt</t>
  </si>
  <si>
    <t>twig from tree struck by lightning</t>
  </si>
  <si>
    <t>Use action to auto hit target hit last round for 1d12 lightning DAM if in range.</t>
  </si>
  <si>
    <t>Extra 1d12 DAM.</t>
  </si>
  <si>
    <t>Word of Recall</t>
  </si>
  <si>
    <t>You and &lt;= 5 willing creatures</t>
  </si>
  <si>
    <t>Instantly teleport to sanctuary you select during prep associated with your deity.</t>
  </si>
  <si>
    <t>Wrathful Smite</t>
  </si>
  <si>
    <t>Target hit also makes WIS save or is frightened. WIS save to end effect.</t>
  </si>
  <si>
    <t>Zone of Truth</t>
  </si>
  <si>
    <t>You know which fail saves. They can't lie but know of spell and can be evasive.</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</si>
</sst>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Calibri"/>
      <scheme val="minor"/>
    </font>
    <font>
      <b/>
      <sz val="11.0"/>
      <color theme="1"/>
      <name val="Consolas"/>
    </font>
    <font>
      <sz val="11.0"/>
      <color theme="1"/>
      <name val="Consolas"/>
    </font>
    <font>
      <b/>
      <color theme="1"/>
      <name val="Consolas"/>
    </font>
    <font>
      <sz val="9.0"/>
      <color theme="1"/>
      <name val="Consolas"/>
    </font>
    <font>
      <sz val="7.0"/>
      <color theme="1"/>
      <name val="Consolas"/>
    </font>
    <font>
      <color theme="1"/>
      <name val="Consolas"/>
    </font>
    <font>
      <color theme="1"/>
      <name val="Calibri"/>
      <scheme val="minor"/>
    </font>
    <font>
      <sz val="9.0"/>
      <color theme="1"/>
      <name val="Calibri"/>
      <scheme val="minor"/>
    </font>
    <font>
      <sz val="9.0"/>
      <color rgb="FF0E0E0E"/>
      <name val="Consolas"/>
    </font>
    <font>
      <sz val="11.0"/>
      <color theme="1"/>
      <name val="Calibri"/>
    </font>
    <font>
      <b/>
      <color theme="1"/>
      <name val="Calibri"/>
      <scheme val="minor"/>
    </font>
    <font>
      <sz val="7.0"/>
      <color theme="1"/>
      <name val="Calibri"/>
      <scheme val="minor"/>
    </font>
    <font>
      <sz val="9.0"/>
      <color theme="1"/>
      <name val="Droid Sans"/>
    </font>
    <font>
      <sz val="9.0"/>
      <color theme="1"/>
      <name val="Calibri"/>
    </font>
    <font>
      <b/>
      <sz val="11.0"/>
      <color theme="1"/>
      <name val="Calibri"/>
    </font>
    <font>
      <sz val="11.0"/>
      <color rgb="FFBBBBBB"/>
      <name val="Arial"/>
    </font>
    <font>
      <color theme="1"/>
      <name val="Arial"/>
    </font>
    <font>
      <b/>
      <sz val="8.0"/>
      <color rgb="FF000000"/>
      <name val="&quot;Helvetica Neue&quot;"/>
    </font>
    <font>
      <sz val="8.0"/>
      <color rgb="FF000000"/>
      <name val="&quot;Helvetica Neue&quot;"/>
    </font>
  </fonts>
  <fills count="9">
    <fill>
      <patternFill patternType="none"/>
    </fill>
    <fill>
      <patternFill patternType="lightGray"/>
    </fill>
    <fill>
      <patternFill patternType="solid">
        <fgColor rgb="FFCCCCCC"/>
        <bgColor rgb="FFCCCCCC"/>
      </patternFill>
    </fill>
    <fill>
      <patternFill patternType="solid">
        <fgColor rgb="FFCFE2F3"/>
        <bgColor rgb="FFCFE2F3"/>
      </patternFill>
    </fill>
    <fill>
      <patternFill patternType="solid">
        <fgColor rgb="FF9FC5E8"/>
        <bgColor rgb="FF9FC5E8"/>
      </patternFill>
    </fill>
    <fill>
      <patternFill patternType="solid">
        <fgColor rgb="FF1C1C1C"/>
        <bgColor rgb="FF1C1C1C"/>
      </patternFill>
    </fill>
    <fill>
      <patternFill patternType="solid">
        <fgColor rgb="FFFFF2CC"/>
        <bgColor rgb="FFFFF2CC"/>
      </patternFill>
    </fill>
    <fill>
      <patternFill patternType="solid">
        <fgColor rgb="FFB0B3B2"/>
        <bgColor rgb="FFB0B3B2"/>
      </patternFill>
    </fill>
    <fill>
      <patternFill patternType="solid">
        <fgColor rgb="FFD4D4D4"/>
        <bgColor rgb="FFD4D4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3" fontId="1" numFmtId="0" xfId="0" applyAlignment="1" applyFill="1" applyFont="1">
      <alignment horizontal="center" readingOrder="0" shrinkToFit="0" vertical="center" wrapText="1"/>
    </xf>
    <xf borderId="0" fillId="4" fontId="2" numFmtId="0" xfId="0" applyAlignment="1" applyFill="1" applyFont="1">
      <alignment horizontal="center" readingOrder="0" shrinkToFit="0" vertical="center" wrapText="1"/>
    </xf>
    <xf borderId="0" fillId="4" fontId="2" numFmtId="0" xfId="0" applyAlignment="1" applyFont="1">
      <alignment horizontal="center" shrinkToFit="0" vertical="center" wrapText="1"/>
    </xf>
    <xf borderId="0" fillId="3" fontId="2" numFmtId="0" xfId="0" applyAlignment="1" applyFont="1">
      <alignment horizontal="center" shrinkToFit="0" vertical="center" wrapText="1"/>
    </xf>
    <xf borderId="0" fillId="3" fontId="2" numFmtId="0" xfId="0" applyAlignment="1" applyFont="1">
      <alignment horizontal="center" shrinkToFit="0" vertical="center" wrapText="1"/>
    </xf>
    <xf borderId="0" fillId="4" fontId="2" numFmtId="0" xfId="0" applyAlignment="1" applyFont="1">
      <alignment horizontal="center" shrinkToFit="0" vertical="center" wrapText="1"/>
    </xf>
    <xf borderId="0" fillId="3"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vertical="center"/>
    </xf>
    <xf borderId="0" fillId="2" fontId="3" numFmtId="0" xfId="0" applyAlignment="1" applyFont="1">
      <alignment horizontal="left" readingOrder="0" shrinkToFit="0" vertical="top" wrapText="1"/>
    </xf>
    <xf borderId="0" fillId="3" fontId="4" numFmtId="0" xfId="0" applyAlignment="1" applyFont="1">
      <alignment shrinkToFit="0" vertical="top" wrapText="1"/>
    </xf>
    <xf borderId="0" fillId="4" fontId="5" numFmtId="0" xfId="0" applyAlignment="1" applyFont="1">
      <alignment horizontal="left" readingOrder="0" shrinkToFit="0" vertical="top" wrapText="1"/>
    </xf>
    <xf borderId="0" fillId="3" fontId="5" numFmtId="0" xfId="0" applyAlignment="1" applyFont="1">
      <alignment readingOrder="0" shrinkToFit="0" vertical="top" wrapText="1"/>
    </xf>
    <xf borderId="0" fillId="3" fontId="5" numFmtId="0" xfId="0" applyAlignment="1" applyFont="1">
      <alignment horizontal="left" readingOrder="0" shrinkToFit="0" vertical="top" wrapText="1"/>
    </xf>
    <xf borderId="0" fillId="4" fontId="5" numFmtId="0" xfId="0" applyAlignment="1" applyFont="1">
      <alignment horizontal="left" readingOrder="0" shrinkToFit="0" vertical="top" wrapText="1"/>
    </xf>
    <xf borderId="0" fillId="3" fontId="4"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readingOrder="0" vertical="top"/>
    </xf>
    <xf borderId="0" fillId="4" fontId="4" numFmtId="0" xfId="0" applyAlignment="1" applyFont="1">
      <alignment readingOrder="0" shrinkToFit="0" vertical="top" wrapText="1"/>
    </xf>
    <xf borderId="0" fillId="3" fontId="6" numFmtId="0" xfId="0" applyAlignment="1" applyFont="1">
      <alignment horizontal="left" readingOrder="0" shrinkToFit="0" vertical="top" wrapText="1"/>
    </xf>
    <xf borderId="0" fillId="3" fontId="4" numFmtId="0" xfId="0" applyAlignment="1" applyFont="1">
      <alignment shrinkToFit="0" vertical="top" wrapText="1"/>
    </xf>
    <xf borderId="0" fillId="0" fontId="4" numFmtId="0" xfId="0" applyAlignment="1" applyFont="1">
      <alignment vertical="top"/>
    </xf>
    <xf borderId="0" fillId="4" fontId="4" numFmtId="0" xfId="0" applyAlignment="1" applyFont="1">
      <alignment shrinkToFit="0" vertical="center" wrapText="1"/>
    </xf>
    <xf borderId="0" fillId="0" fontId="7" numFmtId="0" xfId="0" applyAlignment="1" applyFont="1">
      <alignment vertical="top"/>
    </xf>
    <xf borderId="0" fillId="4" fontId="4" numFmtId="0" xfId="0" applyAlignment="1" applyFont="1">
      <alignment shrinkToFit="0" vertical="top" wrapText="1"/>
    </xf>
    <xf borderId="0" fillId="4" fontId="4" numFmtId="0" xfId="0" applyAlignment="1" applyFont="1">
      <alignment shrinkToFit="0" vertical="top" wrapText="1"/>
    </xf>
    <xf borderId="0" fillId="3" fontId="4" numFmtId="0" xfId="0" applyAlignment="1" applyFont="1">
      <alignment readingOrder="0" shrinkToFit="0" vertical="top" wrapText="1"/>
    </xf>
    <xf borderId="0" fillId="0" fontId="8" numFmtId="0" xfId="0" applyFont="1"/>
    <xf borderId="0" fillId="2" fontId="3" numFmtId="0" xfId="0" applyAlignment="1" applyFont="1">
      <alignment horizontal="left" shrinkToFit="0" vertical="top" wrapText="1"/>
    </xf>
    <xf borderId="0" fillId="4" fontId="5" numFmtId="0" xfId="0" applyAlignment="1" applyFont="1">
      <alignment horizontal="left" shrinkToFit="0" vertical="top" wrapText="1"/>
    </xf>
    <xf borderId="0" fillId="3" fontId="5" numFmtId="0" xfId="0" applyAlignment="1" applyFont="1">
      <alignment readingOrder="0" shrinkToFit="0" vertical="top" wrapText="1"/>
    </xf>
    <xf borderId="0" fillId="3" fontId="4" numFmtId="0" xfId="0" applyAlignment="1" applyFont="1">
      <alignment horizontal="left" shrinkToFit="0" vertical="top" wrapText="1"/>
    </xf>
    <xf borderId="0" fillId="0" fontId="4" numFmtId="0" xfId="0" applyAlignment="1" applyFont="1">
      <alignment horizontal="left" shrinkToFit="0" vertical="top" wrapText="1"/>
    </xf>
    <xf borderId="0" fillId="3" fontId="6" numFmtId="0" xfId="0" applyAlignment="1" applyFont="1">
      <alignment horizontal="left" shrinkToFit="0" vertical="top" wrapText="1"/>
    </xf>
    <xf borderId="0" fillId="3" fontId="4" numFmtId="0" xfId="0" applyAlignment="1" applyFont="1">
      <alignment readingOrder="0" shrinkToFit="0" vertical="top" wrapText="1"/>
    </xf>
    <xf borderId="0" fillId="3" fontId="4" numFmtId="0" xfId="0" applyAlignment="1" applyFont="1">
      <alignment horizontal="left" readingOrder="0" shrinkToFit="0" vertical="top" wrapText="0"/>
    </xf>
    <xf borderId="0" fillId="2" fontId="3" numFmtId="0" xfId="0" applyAlignment="1" applyFont="1">
      <alignment horizontal="left" shrinkToFit="0" vertical="top" wrapText="1"/>
    </xf>
    <xf borderId="0" fillId="3" fontId="5" numFmtId="0" xfId="0" applyAlignment="1" applyFont="1">
      <alignment shrinkToFit="0" vertical="top" wrapText="1"/>
    </xf>
    <xf borderId="0" fillId="3" fontId="5" numFmtId="0" xfId="0" applyAlignment="1" applyFont="1">
      <alignment shrinkToFit="0" vertical="top" wrapText="1"/>
    </xf>
    <xf borderId="0" fillId="4" fontId="4" numFmtId="0" xfId="0" applyAlignment="1" applyFont="1">
      <alignment shrinkToFit="0" vertical="center" wrapText="1"/>
    </xf>
    <xf borderId="0" fillId="4" fontId="4" numFmtId="0" xfId="0" applyAlignment="1" applyFont="1">
      <alignment readingOrder="0" shrinkToFit="0" vertical="center" wrapText="1"/>
    </xf>
    <xf borderId="0" fillId="4" fontId="5" numFmtId="0" xfId="0" applyAlignment="1" applyFont="1">
      <alignment horizontal="left" shrinkToFit="0" vertical="top" wrapText="1"/>
    </xf>
    <xf borderId="0" fillId="0" fontId="4" numFmtId="0" xfId="0" applyAlignment="1" applyFont="1">
      <alignment vertical="top"/>
    </xf>
    <xf borderId="0" fillId="0" fontId="6" numFmtId="0" xfId="0" applyAlignment="1" applyFont="1">
      <alignment vertical="top"/>
    </xf>
    <xf borderId="0" fillId="2" fontId="3" numFmtId="0" xfId="0" applyAlignment="1" applyFont="1">
      <alignment readingOrder="0" shrinkToFit="0" vertical="top" wrapText="1"/>
    </xf>
    <xf borderId="0" fillId="4" fontId="5" numFmtId="0" xfId="0" applyAlignment="1" applyFont="1">
      <alignment readingOrder="0" shrinkToFit="0" vertical="top" wrapText="1"/>
    </xf>
    <xf borderId="0" fillId="4" fontId="5" numFmtId="0" xfId="0" applyAlignment="1" applyFont="1">
      <alignment readingOrder="0" shrinkToFit="0" vertical="top" wrapText="1"/>
    </xf>
    <xf borderId="0" fillId="3" fontId="6" numFmtId="0" xfId="0" applyAlignment="1" applyFont="1">
      <alignment shrinkToFit="0" vertical="top" wrapText="1"/>
    </xf>
    <xf borderId="0" fillId="3" fontId="5" numFmtId="0" xfId="0" applyAlignment="1" applyFont="1">
      <alignment horizontal="left" shrinkToFit="0" vertical="top" wrapText="1"/>
    </xf>
    <xf borderId="0" fillId="0" fontId="4" numFmtId="0" xfId="0" applyAlignment="1" applyFont="1">
      <alignment horizontal="left" shrinkToFit="0" vertical="top" wrapText="1"/>
    </xf>
    <xf borderId="0" fillId="3" fontId="4" numFmtId="0" xfId="0" applyAlignment="1" applyFont="1">
      <alignment horizontal="left" shrinkToFit="0" vertical="top" wrapText="1"/>
    </xf>
    <xf borderId="0" fillId="3" fontId="6" numFmtId="0" xfId="0" applyAlignment="1" applyFont="1">
      <alignment horizontal="left" shrinkToFit="0" vertical="top" wrapText="1"/>
    </xf>
    <xf borderId="0" fillId="0" fontId="9" numFmtId="0" xfId="0" applyAlignment="1" applyFont="1">
      <alignment readingOrder="0" shrinkToFit="0" vertical="top" wrapText="1"/>
    </xf>
    <xf borderId="0" fillId="2" fontId="3" numFmtId="0" xfId="0" applyAlignment="1" applyFont="1">
      <alignment readingOrder="0" vertical="top"/>
    </xf>
    <xf borderId="0" fillId="4" fontId="5" numFmtId="0" xfId="0" applyAlignment="1" applyFont="1">
      <alignment vertical="top"/>
    </xf>
    <xf borderId="0" fillId="3" fontId="5" numFmtId="0" xfId="0" applyAlignment="1" applyFont="1">
      <alignment readingOrder="0" vertical="top"/>
    </xf>
    <xf borderId="0" fillId="4" fontId="5" numFmtId="0" xfId="0" applyAlignment="1" applyFont="1">
      <alignment readingOrder="0" vertical="top"/>
    </xf>
    <xf borderId="0" fillId="3" fontId="4" numFmtId="0" xfId="0" applyAlignment="1" applyFont="1">
      <alignment vertical="top"/>
    </xf>
    <xf borderId="0" fillId="3" fontId="6" numFmtId="0" xfId="0" applyAlignment="1" applyFont="1">
      <alignment vertical="top"/>
    </xf>
    <xf borderId="0" fillId="4" fontId="5" numFmtId="0" xfId="0" applyAlignment="1" applyFont="1">
      <alignment readingOrder="0" vertical="top"/>
    </xf>
    <xf borderId="0" fillId="3" fontId="4" numFmtId="0" xfId="0" applyAlignment="1" applyFont="1">
      <alignment vertical="top"/>
    </xf>
    <xf borderId="0" fillId="3" fontId="6" numFmtId="0" xfId="0" applyAlignment="1" applyFont="1">
      <alignment vertical="top"/>
    </xf>
    <xf borderId="0" fillId="3" fontId="4" numFmtId="0" xfId="0" applyAlignment="1" applyFont="1">
      <alignment readingOrder="0" vertical="top"/>
    </xf>
    <xf borderId="0" fillId="4" fontId="4" numFmtId="0" xfId="0" applyAlignment="1" applyFont="1">
      <alignment horizontal="center" shrinkToFit="0" vertical="center" wrapText="1"/>
    </xf>
    <xf borderId="0" fillId="0" fontId="7" numFmtId="0" xfId="0" applyAlignment="1" applyFont="1">
      <alignment vertical="top"/>
    </xf>
    <xf borderId="0" fillId="0" fontId="4" numFmtId="0" xfId="0" applyAlignment="1" applyFont="1">
      <alignment shrinkToFit="0" vertical="top" wrapText="0"/>
    </xf>
    <xf borderId="0" fillId="3" fontId="4" numFmtId="0" xfId="0" applyAlignment="1" applyFont="1">
      <alignment horizontal="left" shrinkToFit="0" vertical="top" wrapText="0"/>
    </xf>
    <xf borderId="0" fillId="0" fontId="8" numFmtId="0" xfId="0" applyAlignment="1" applyFont="1">
      <alignment vertical="top"/>
    </xf>
    <xf borderId="0" fillId="0" fontId="7" numFmtId="0" xfId="0" applyAlignment="1" applyFont="1">
      <alignment readingOrder="0" vertical="top"/>
    </xf>
    <xf borderId="0" fillId="3" fontId="6" numFmtId="0" xfId="0" applyAlignment="1" applyFont="1">
      <alignment readingOrder="0" vertical="top"/>
    </xf>
    <xf borderId="0" fillId="2" fontId="3" numFmtId="0" xfId="0" applyAlignment="1" applyFont="1">
      <alignment vertical="top"/>
    </xf>
    <xf borderId="0" fillId="3" fontId="10" numFmtId="0" xfId="0" applyAlignment="1" applyFont="1">
      <alignment vertical="top"/>
    </xf>
    <xf borderId="0" fillId="3" fontId="5" numFmtId="0" xfId="0" applyAlignment="1" applyFont="1">
      <alignment vertical="top"/>
    </xf>
    <xf borderId="0" fillId="2" fontId="11" numFmtId="0" xfId="0" applyAlignment="1" applyFont="1">
      <alignment vertical="top"/>
    </xf>
    <xf borderId="0" fillId="4" fontId="12" numFmtId="0" xfId="0" applyAlignment="1" applyFont="1">
      <alignment vertical="top"/>
    </xf>
    <xf borderId="0" fillId="3" fontId="12" numFmtId="0" xfId="0" applyAlignment="1" applyFont="1">
      <alignment shrinkToFit="0" vertical="top" wrapText="1"/>
    </xf>
    <xf borderId="0" fillId="3" fontId="12" numFmtId="0" xfId="0" applyAlignment="1" applyFont="1">
      <alignment vertical="top"/>
    </xf>
    <xf borderId="0" fillId="3" fontId="13" numFmtId="0" xfId="0" applyAlignment="1" applyFont="1">
      <alignment shrinkToFit="0" vertical="top" wrapText="1"/>
    </xf>
    <xf borderId="0" fillId="0" fontId="8" numFmtId="0" xfId="0" applyAlignment="1" applyFont="1">
      <alignment horizontal="left" shrinkToFit="0" vertical="top" wrapText="1"/>
    </xf>
    <xf borderId="0" fillId="3" fontId="8" numFmtId="0" xfId="0" applyAlignment="1" applyFont="1">
      <alignment shrinkToFit="0" wrapText="1"/>
    </xf>
    <xf borderId="0" fillId="4" fontId="8" numFmtId="0" xfId="0" applyAlignment="1" applyFont="1">
      <alignment shrinkToFit="0" wrapText="1"/>
    </xf>
    <xf borderId="0" fillId="3" fontId="8" numFmtId="0" xfId="0" applyAlignment="1" applyFont="1">
      <alignment vertical="top"/>
    </xf>
    <xf borderId="0" fillId="3" fontId="7" numFmtId="0" xfId="0" applyAlignment="1" applyFont="1">
      <alignment vertical="top"/>
    </xf>
    <xf borderId="0" fillId="3" fontId="8" numFmtId="0" xfId="0" applyFont="1"/>
    <xf borderId="0" fillId="3" fontId="8" numFmtId="0" xfId="0" applyAlignment="1" applyFont="1">
      <alignment horizontal="left" readingOrder="0" shrinkToFit="0" vertical="top" wrapText="1"/>
    </xf>
    <xf borderId="0" fillId="3" fontId="8" numFmtId="0" xfId="0" applyAlignment="1" applyFont="1">
      <alignment shrinkToFit="0" wrapText="1"/>
    </xf>
    <xf borderId="0" fillId="4" fontId="14" numFmtId="0" xfId="0" applyAlignment="1" applyFont="1">
      <alignment vertical="center"/>
    </xf>
    <xf borderId="0" fillId="3" fontId="8" numFmtId="0" xfId="0" applyAlignment="1" applyFont="1">
      <alignment shrinkToFit="0" vertical="top" wrapText="1"/>
    </xf>
    <xf borderId="0" fillId="4" fontId="8" numFmtId="0" xfId="0" applyAlignment="1" applyFont="1">
      <alignment shrinkToFit="0" vertical="top" wrapText="1"/>
    </xf>
    <xf borderId="0" fillId="4" fontId="8" numFmtId="0" xfId="0" applyAlignment="1" applyFont="1">
      <alignment shrinkToFit="0" vertical="center" wrapText="1"/>
    </xf>
    <xf borderId="0" fillId="3" fontId="8" numFmtId="0" xfId="0" applyAlignment="1" applyFont="1">
      <alignment shrinkToFit="0" vertical="top" wrapText="1"/>
    </xf>
    <xf borderId="0" fillId="4" fontId="8" numFmtId="0" xfId="0" applyAlignment="1" applyFont="1">
      <alignment shrinkToFit="0" vertical="top" wrapText="1"/>
    </xf>
    <xf borderId="0" fillId="4" fontId="8" numFmtId="0" xfId="0" applyAlignment="1" applyFont="1">
      <alignment shrinkToFit="0" vertical="center" wrapText="1"/>
    </xf>
    <xf borderId="0" fillId="0" fontId="11" numFmtId="0" xfId="0" applyAlignment="1" applyFont="1">
      <alignment readingOrder="0" shrinkToFit="0" wrapText="1"/>
    </xf>
    <xf borderId="0" fillId="0" fontId="15" numFmtId="0" xfId="0" applyAlignment="1" applyFont="1">
      <alignment shrinkToFit="0" vertical="bottom" wrapText="1"/>
    </xf>
    <xf borderId="0" fillId="0" fontId="7" numFmtId="0" xfId="0" applyAlignment="1" applyFont="1">
      <alignment readingOrder="0" shrinkToFit="0" wrapText="1"/>
    </xf>
    <xf borderId="0" fillId="0" fontId="7" numFmtId="0" xfId="0" applyAlignment="1" applyFont="1">
      <alignment shrinkToFit="0" wrapText="1"/>
    </xf>
    <xf borderId="0" fillId="0" fontId="10" numFmtId="0" xfId="0" applyAlignment="1" applyFont="1">
      <alignment shrinkToFit="0" vertical="bottom" wrapText="1"/>
    </xf>
    <xf borderId="0" fillId="5" fontId="16" numFmtId="0" xfId="0" applyAlignment="1" applyFill="1" applyFont="1">
      <alignment readingOrder="0" shrinkToFit="0" wrapText="1"/>
    </xf>
    <xf borderId="0" fillId="0" fontId="7" numFmtId="0" xfId="0" applyAlignment="1" applyFont="1">
      <alignment horizontal="left" shrinkToFit="0" vertical="top" wrapText="1"/>
    </xf>
    <xf borderId="0" fillId="3" fontId="7" numFmtId="0" xfId="0" applyAlignment="1" applyFont="1">
      <alignment readingOrder="0" shrinkToFit="0" wrapText="1"/>
    </xf>
    <xf borderId="0" fillId="0" fontId="17" numFmtId="0" xfId="0" applyAlignment="1" applyFont="1">
      <alignment readingOrder="0" shrinkToFit="0" vertical="bottom" wrapText="1"/>
    </xf>
    <xf borderId="0" fillId="0" fontId="10" numFmtId="0" xfId="0" applyAlignment="1" applyFont="1">
      <alignment shrinkToFit="0" vertical="bottom" wrapText="1"/>
    </xf>
    <xf borderId="0" fillId="0" fontId="17" numFmtId="0" xfId="0" applyAlignment="1" applyFont="1">
      <alignment shrinkToFit="0" vertical="bottom" wrapText="1"/>
    </xf>
    <xf borderId="0" fillId="6" fontId="7" numFmtId="0" xfId="0" applyAlignment="1" applyFill="1" applyFont="1">
      <alignment readingOrder="0" shrinkToFit="0" wrapText="1"/>
    </xf>
    <xf borderId="0" fillId="0" fontId="7" numFmtId="0" xfId="0" applyFont="1"/>
    <xf borderId="0" fillId="0" fontId="7" numFmtId="0" xfId="0" applyFont="1"/>
    <xf borderId="0" fillId="0" fontId="7" numFmtId="0" xfId="0" applyAlignment="1" applyFont="1">
      <alignment readingOrder="0"/>
    </xf>
    <xf borderId="0" fillId="0" fontId="7" numFmtId="0" xfId="0" applyFont="1"/>
    <xf borderId="1" fillId="7" fontId="18" numFmtId="0" xfId="0" applyAlignment="1" applyBorder="1" applyFill="1" applyFont="1">
      <alignment readingOrder="0" vertical="top"/>
    </xf>
    <xf borderId="1" fillId="7" fontId="18" numFmtId="0" xfId="0" applyAlignment="1" applyBorder="1" applyFont="1">
      <alignment readingOrder="0" shrinkToFit="0" vertical="top" wrapText="1"/>
    </xf>
    <xf borderId="1" fillId="8" fontId="18" numFmtId="0" xfId="0" applyAlignment="1" applyBorder="1" applyFill="1" applyFont="1">
      <alignment readingOrder="0" vertical="top"/>
    </xf>
    <xf borderId="1" fillId="0" fontId="19" numFmtId="0" xfId="0" applyAlignment="1" applyBorder="1" applyFont="1">
      <alignment readingOrder="0" vertical="top"/>
    </xf>
    <xf borderId="1" fillId="0" fontId="7" numFmtId="0" xfId="0" applyAlignment="1" applyBorder="1" applyFont="1">
      <alignment vertical="top"/>
    </xf>
    <xf borderId="1" fillId="0" fontId="19" numFmtId="0" xfId="0" applyAlignment="1" applyBorder="1" applyFont="1">
      <alignment readingOrder="0" shrinkToFit="0" vertical="top" wrapText="1"/>
    </xf>
    <xf borderId="1" fillId="0" fontId="7" numFmtId="0" xfId="0" applyAlignment="1" applyBorder="1" applyFont="1">
      <alignment shrinkToFit="0" vertical="top" wrapText="1"/>
    </xf>
  </cellXfs>
  <cellStyles count="1">
    <cellStyle xfId="0" name="Normal" builtinId="0"/>
  </cellStyles>
  <dxfs count="3">
    <dxf>
      <font/>
      <fill>
        <patternFill patternType="solid">
          <fgColor rgb="FFCFE2F3"/>
          <bgColor rgb="FFCFE2F3"/>
        </patternFill>
      </fill>
      <border/>
    </dxf>
    <dxf>
      <font/>
      <fill>
        <patternFill patternType="solid">
          <fgColor rgb="FF9FC5E8"/>
          <bgColor rgb="FF9FC5E8"/>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Repartition!$AB$2:$AB$11</c:f>
            </c:strRef>
          </c:cat>
          <c:val>
            <c:numRef>
              <c:f>Repartition!$AC$2:$AC$11</c:f>
              <c:numCache/>
            </c:numRef>
          </c:val>
        </c:ser>
        <c:ser>
          <c:idx val="1"/>
          <c:order val="1"/>
          <c:spPr>
            <a:solidFill>
              <a:schemeClr val="accent2"/>
            </a:solidFill>
            <a:ln cmpd="sng">
              <a:solidFill>
                <a:srgbClr val="000000"/>
              </a:solidFill>
            </a:ln>
          </c:spPr>
          <c:cat>
            <c:strRef>
              <c:f>Repartition!$AB$2:$AB$11</c:f>
            </c:strRef>
          </c:cat>
          <c:val>
            <c:numRef>
              <c:f>Repartition!$AD$2:$AD$11</c:f>
              <c:numCache/>
            </c:numRef>
          </c:val>
        </c:ser>
        <c:axId val="948105235"/>
        <c:axId val="1495066432"/>
      </c:barChart>
      <c:catAx>
        <c:axId val="9481052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95066432"/>
      </c:catAx>
      <c:valAx>
        <c:axId val="14950664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48105235"/>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Repartition!$X$2:$X$9</c:f>
            </c:strRef>
          </c:cat>
          <c:val>
            <c:numRef>
              <c:f>Repartition!$Y$2:$Y$9</c:f>
              <c:numCache/>
            </c:numRef>
          </c:val>
        </c:ser>
        <c:ser>
          <c:idx val="1"/>
          <c:order val="1"/>
          <c:spPr>
            <a:solidFill>
              <a:schemeClr val="accent2"/>
            </a:solidFill>
            <a:ln cmpd="sng">
              <a:solidFill>
                <a:srgbClr val="000000"/>
              </a:solidFill>
            </a:ln>
          </c:spPr>
          <c:cat>
            <c:strRef>
              <c:f>Repartition!$X$2:$X$9</c:f>
            </c:strRef>
          </c:cat>
          <c:val>
            <c:numRef>
              <c:f>Repartition!$Z$2:$Z$9</c:f>
              <c:numCache/>
            </c:numRef>
          </c:val>
        </c:ser>
        <c:axId val="465728703"/>
        <c:axId val="1131804824"/>
      </c:barChart>
      <c:catAx>
        <c:axId val="4657287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31804824"/>
      </c:catAx>
      <c:valAx>
        <c:axId val="11318048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65728703"/>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Repartition!$T$2:$T$9</c:f>
            </c:strRef>
          </c:cat>
          <c:val>
            <c:numRef>
              <c:f>Repartition!$U$2:$U$9</c:f>
              <c:numCache/>
            </c:numRef>
          </c:val>
        </c:ser>
        <c:ser>
          <c:idx val="1"/>
          <c:order val="1"/>
          <c:spPr>
            <a:solidFill>
              <a:schemeClr val="accent2"/>
            </a:solidFill>
            <a:ln cmpd="sng">
              <a:solidFill>
                <a:srgbClr val="000000"/>
              </a:solidFill>
            </a:ln>
          </c:spPr>
          <c:cat>
            <c:strRef>
              <c:f>Repartition!$T$2:$T$9</c:f>
            </c:strRef>
          </c:cat>
          <c:val>
            <c:numRef>
              <c:f>Repartition!$V$2:$V$9</c:f>
              <c:numCache/>
            </c:numRef>
          </c:val>
        </c:ser>
        <c:axId val="1051401205"/>
        <c:axId val="1004154570"/>
      </c:barChart>
      <c:catAx>
        <c:axId val="10514012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04154570"/>
      </c:catAx>
      <c:valAx>
        <c:axId val="10041545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51401205"/>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Vestigium Spell Repartition</a:t>
            </a:r>
          </a:p>
        </c:rich>
      </c:tx>
      <c:overlay val="0"/>
    </c:title>
    <c:plotArea>
      <c:layout/>
      <c:barChart>
        <c:barDir val="col"/>
        <c:ser>
          <c:idx val="0"/>
          <c:order val="0"/>
          <c:tx>
            <c:strRef>
              <c:f>Repartition!$U$15</c:f>
            </c:strRef>
          </c:tx>
          <c:spPr>
            <a:solidFill>
              <a:schemeClr val="accent1"/>
            </a:solidFill>
            <a:ln cmpd="sng">
              <a:solidFill>
                <a:srgbClr val="000000"/>
              </a:solidFill>
            </a:ln>
          </c:spPr>
          <c:cat>
            <c:strRef>
              <c:f>Repartition!$T$16:$T$25</c:f>
            </c:strRef>
          </c:cat>
          <c:val>
            <c:numRef>
              <c:f>Repartition!$U$16:$U$25</c:f>
              <c:numCache/>
            </c:numRef>
          </c:val>
        </c:ser>
        <c:ser>
          <c:idx val="1"/>
          <c:order val="1"/>
          <c:tx>
            <c:strRef>
              <c:f>Repartition!$V$15</c:f>
            </c:strRef>
          </c:tx>
          <c:spPr>
            <a:solidFill>
              <a:schemeClr val="accent2"/>
            </a:solidFill>
            <a:ln cmpd="sng">
              <a:solidFill>
                <a:srgbClr val="000000"/>
              </a:solidFill>
            </a:ln>
          </c:spPr>
          <c:cat>
            <c:strRef>
              <c:f>Repartition!$T$16:$T$25</c:f>
            </c:strRef>
          </c:cat>
          <c:val>
            <c:numRef>
              <c:f>Repartition!$V$16:$V$25</c:f>
              <c:numCache/>
            </c:numRef>
          </c:val>
        </c:ser>
        <c:ser>
          <c:idx val="2"/>
          <c:order val="2"/>
          <c:tx>
            <c:strRef>
              <c:f>Repartition!$W$15</c:f>
            </c:strRef>
          </c:tx>
          <c:spPr>
            <a:solidFill>
              <a:schemeClr val="accent3"/>
            </a:solidFill>
            <a:ln cmpd="sng">
              <a:solidFill>
                <a:srgbClr val="000000"/>
              </a:solidFill>
            </a:ln>
          </c:spPr>
          <c:cat>
            <c:strRef>
              <c:f>Repartition!$T$16:$T$25</c:f>
            </c:strRef>
          </c:cat>
          <c:val>
            <c:numRef>
              <c:f>Repartition!$W$16:$W$25</c:f>
              <c:numCache/>
            </c:numRef>
          </c:val>
        </c:ser>
        <c:ser>
          <c:idx val="3"/>
          <c:order val="3"/>
          <c:tx>
            <c:strRef>
              <c:f>Repartition!$X$15</c:f>
            </c:strRef>
          </c:tx>
          <c:spPr>
            <a:solidFill>
              <a:schemeClr val="accent4"/>
            </a:solidFill>
            <a:ln cmpd="sng">
              <a:solidFill>
                <a:srgbClr val="000000"/>
              </a:solidFill>
            </a:ln>
          </c:spPr>
          <c:cat>
            <c:strRef>
              <c:f>Repartition!$T$16:$T$25</c:f>
            </c:strRef>
          </c:cat>
          <c:val>
            <c:numRef>
              <c:f>Repartition!$X$16:$X$25</c:f>
              <c:numCache/>
            </c:numRef>
          </c:val>
        </c:ser>
        <c:ser>
          <c:idx val="4"/>
          <c:order val="4"/>
          <c:tx>
            <c:strRef>
              <c:f>Repartition!$Y$15</c:f>
            </c:strRef>
          </c:tx>
          <c:spPr>
            <a:solidFill>
              <a:schemeClr val="accent5"/>
            </a:solidFill>
            <a:ln cmpd="sng">
              <a:solidFill>
                <a:srgbClr val="000000"/>
              </a:solidFill>
            </a:ln>
          </c:spPr>
          <c:cat>
            <c:strRef>
              <c:f>Repartition!$T$16:$T$25</c:f>
            </c:strRef>
          </c:cat>
          <c:val>
            <c:numRef>
              <c:f>Repartition!$Y$16:$Y$25</c:f>
              <c:numCache/>
            </c:numRef>
          </c:val>
        </c:ser>
        <c:ser>
          <c:idx val="5"/>
          <c:order val="5"/>
          <c:tx>
            <c:strRef>
              <c:f>Repartition!$Z$15</c:f>
            </c:strRef>
          </c:tx>
          <c:spPr>
            <a:solidFill>
              <a:schemeClr val="accent6"/>
            </a:solidFill>
            <a:ln cmpd="sng">
              <a:solidFill>
                <a:srgbClr val="000000"/>
              </a:solidFill>
            </a:ln>
          </c:spPr>
          <c:cat>
            <c:strRef>
              <c:f>Repartition!$T$16:$T$25</c:f>
            </c:strRef>
          </c:cat>
          <c:val>
            <c:numRef>
              <c:f>Repartition!$Z$16:$Z$25</c:f>
              <c:numCache/>
            </c:numRef>
          </c:val>
        </c:ser>
        <c:ser>
          <c:idx val="6"/>
          <c:order val="6"/>
          <c:tx>
            <c:strRef>
              <c:f>Repartition!$AA$15</c:f>
            </c:strRef>
          </c:tx>
          <c:spPr>
            <a:solidFill>
              <a:schemeClr val="accent1">
                <a:lumOff val="30000"/>
              </a:schemeClr>
            </a:solidFill>
            <a:ln cmpd="sng">
              <a:solidFill>
                <a:srgbClr val="000000"/>
              </a:solidFill>
            </a:ln>
          </c:spPr>
          <c:cat>
            <c:strRef>
              <c:f>Repartition!$T$16:$T$25</c:f>
            </c:strRef>
          </c:cat>
          <c:val>
            <c:numRef>
              <c:f>Repartition!$AA$16:$AA$25</c:f>
              <c:numCache/>
            </c:numRef>
          </c:val>
        </c:ser>
        <c:ser>
          <c:idx val="7"/>
          <c:order val="7"/>
          <c:tx>
            <c:strRef>
              <c:f>Repartition!$AB$15</c:f>
            </c:strRef>
          </c:tx>
          <c:spPr>
            <a:solidFill>
              <a:schemeClr val="accent2">
                <a:lumOff val="30000"/>
              </a:schemeClr>
            </a:solidFill>
            <a:ln cmpd="sng">
              <a:solidFill>
                <a:srgbClr val="000000"/>
              </a:solidFill>
            </a:ln>
          </c:spPr>
          <c:cat>
            <c:strRef>
              <c:f>Repartition!$T$16:$T$25</c:f>
            </c:strRef>
          </c:cat>
          <c:val>
            <c:numRef>
              <c:f>Repartition!$AB$16:$AB$25</c:f>
              <c:numCache/>
            </c:numRef>
          </c:val>
        </c:ser>
        <c:axId val="1341257069"/>
        <c:axId val="2114087994"/>
      </c:barChart>
      <c:catAx>
        <c:axId val="13412570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14087994"/>
      </c:catAx>
      <c:valAx>
        <c:axId val="211408799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cross"/>
        <c:tickLblPos val="nextTo"/>
        <c:spPr>
          <a:ln/>
        </c:spPr>
        <c:txPr>
          <a:bodyPr/>
          <a:lstStyle/>
          <a:p>
            <a:pPr lvl="0">
              <a:defRPr b="0">
                <a:solidFill>
                  <a:srgbClr val="000000"/>
                </a:solidFill>
                <a:latin typeface="+mn-lt"/>
              </a:defRPr>
            </a:pPr>
          </a:p>
        </c:txPr>
        <c:crossAx val="1341257069"/>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SRD spell repartition</a:t>
            </a:r>
          </a:p>
        </c:rich>
      </c:tx>
      <c:overlay val="0"/>
    </c:title>
    <c:plotArea>
      <c:layout/>
      <c:barChart>
        <c:barDir val="col"/>
        <c:ser>
          <c:idx val="0"/>
          <c:order val="0"/>
          <c:tx>
            <c:strRef>
              <c:f>Repartition!$U$28</c:f>
            </c:strRef>
          </c:tx>
          <c:spPr>
            <a:solidFill>
              <a:schemeClr val="accent1"/>
            </a:solidFill>
            <a:ln cmpd="sng">
              <a:solidFill>
                <a:srgbClr val="000000"/>
              </a:solidFill>
            </a:ln>
          </c:spPr>
          <c:cat>
            <c:strRef>
              <c:f>Repartition!$T$29:$T$38</c:f>
            </c:strRef>
          </c:cat>
          <c:val>
            <c:numRef>
              <c:f>Repartition!$U$29:$U$38</c:f>
              <c:numCache/>
            </c:numRef>
          </c:val>
        </c:ser>
        <c:ser>
          <c:idx val="1"/>
          <c:order val="1"/>
          <c:tx>
            <c:strRef>
              <c:f>Repartition!$V$28</c:f>
            </c:strRef>
          </c:tx>
          <c:spPr>
            <a:solidFill>
              <a:schemeClr val="accent2"/>
            </a:solidFill>
            <a:ln cmpd="sng">
              <a:solidFill>
                <a:srgbClr val="000000"/>
              </a:solidFill>
            </a:ln>
          </c:spPr>
          <c:cat>
            <c:strRef>
              <c:f>Repartition!$T$29:$T$38</c:f>
            </c:strRef>
          </c:cat>
          <c:val>
            <c:numRef>
              <c:f>Repartition!$V$29:$V$38</c:f>
              <c:numCache/>
            </c:numRef>
          </c:val>
        </c:ser>
        <c:ser>
          <c:idx val="2"/>
          <c:order val="2"/>
          <c:tx>
            <c:strRef>
              <c:f>Repartition!$W$28</c:f>
            </c:strRef>
          </c:tx>
          <c:spPr>
            <a:solidFill>
              <a:schemeClr val="accent3"/>
            </a:solidFill>
            <a:ln cmpd="sng">
              <a:solidFill>
                <a:srgbClr val="000000"/>
              </a:solidFill>
            </a:ln>
          </c:spPr>
          <c:cat>
            <c:strRef>
              <c:f>Repartition!$T$29:$T$38</c:f>
            </c:strRef>
          </c:cat>
          <c:val>
            <c:numRef>
              <c:f>Repartition!$W$29:$W$38</c:f>
              <c:numCache/>
            </c:numRef>
          </c:val>
        </c:ser>
        <c:ser>
          <c:idx val="3"/>
          <c:order val="3"/>
          <c:tx>
            <c:strRef>
              <c:f>Repartition!$X$28</c:f>
            </c:strRef>
          </c:tx>
          <c:spPr>
            <a:solidFill>
              <a:schemeClr val="accent4"/>
            </a:solidFill>
            <a:ln cmpd="sng">
              <a:solidFill>
                <a:srgbClr val="000000"/>
              </a:solidFill>
            </a:ln>
          </c:spPr>
          <c:cat>
            <c:strRef>
              <c:f>Repartition!$T$29:$T$38</c:f>
            </c:strRef>
          </c:cat>
          <c:val>
            <c:numRef>
              <c:f>Repartition!$X$29:$X$38</c:f>
              <c:numCache/>
            </c:numRef>
          </c:val>
        </c:ser>
        <c:ser>
          <c:idx val="4"/>
          <c:order val="4"/>
          <c:tx>
            <c:strRef>
              <c:f>Repartition!$Y$28</c:f>
            </c:strRef>
          </c:tx>
          <c:spPr>
            <a:solidFill>
              <a:schemeClr val="accent5"/>
            </a:solidFill>
            <a:ln cmpd="sng">
              <a:solidFill>
                <a:srgbClr val="000000"/>
              </a:solidFill>
            </a:ln>
          </c:spPr>
          <c:cat>
            <c:strRef>
              <c:f>Repartition!$T$29:$T$38</c:f>
            </c:strRef>
          </c:cat>
          <c:val>
            <c:numRef>
              <c:f>Repartition!$Y$29:$Y$38</c:f>
              <c:numCache/>
            </c:numRef>
          </c:val>
        </c:ser>
        <c:ser>
          <c:idx val="5"/>
          <c:order val="5"/>
          <c:tx>
            <c:strRef>
              <c:f>Repartition!$Z$28</c:f>
            </c:strRef>
          </c:tx>
          <c:spPr>
            <a:solidFill>
              <a:schemeClr val="accent6"/>
            </a:solidFill>
            <a:ln cmpd="sng">
              <a:solidFill>
                <a:srgbClr val="000000"/>
              </a:solidFill>
            </a:ln>
          </c:spPr>
          <c:cat>
            <c:strRef>
              <c:f>Repartition!$T$29:$T$38</c:f>
            </c:strRef>
          </c:cat>
          <c:val>
            <c:numRef>
              <c:f>Repartition!$Z$29:$Z$38</c:f>
              <c:numCache/>
            </c:numRef>
          </c:val>
        </c:ser>
        <c:ser>
          <c:idx val="6"/>
          <c:order val="6"/>
          <c:tx>
            <c:strRef>
              <c:f>Repartition!$AA$28</c:f>
            </c:strRef>
          </c:tx>
          <c:spPr>
            <a:solidFill>
              <a:schemeClr val="accent1">
                <a:lumOff val="30000"/>
              </a:schemeClr>
            </a:solidFill>
            <a:ln cmpd="sng">
              <a:solidFill>
                <a:srgbClr val="000000"/>
              </a:solidFill>
            </a:ln>
          </c:spPr>
          <c:cat>
            <c:strRef>
              <c:f>Repartition!$T$29:$T$38</c:f>
            </c:strRef>
          </c:cat>
          <c:val>
            <c:numRef>
              <c:f>Repartition!$AA$29:$AA$38</c:f>
              <c:numCache/>
            </c:numRef>
          </c:val>
        </c:ser>
        <c:ser>
          <c:idx val="7"/>
          <c:order val="7"/>
          <c:tx>
            <c:strRef>
              <c:f>Repartition!$AB$28</c:f>
            </c:strRef>
          </c:tx>
          <c:spPr>
            <a:solidFill>
              <a:schemeClr val="accent2">
                <a:lumOff val="30000"/>
              </a:schemeClr>
            </a:solidFill>
            <a:ln cmpd="sng">
              <a:solidFill>
                <a:srgbClr val="000000"/>
              </a:solidFill>
            </a:ln>
          </c:spPr>
          <c:cat>
            <c:strRef>
              <c:f>Repartition!$T$29:$T$38</c:f>
            </c:strRef>
          </c:cat>
          <c:val>
            <c:numRef>
              <c:f>Repartition!$AB$29:$AB$38</c:f>
              <c:numCache/>
            </c:numRef>
          </c:val>
        </c:ser>
        <c:axId val="1058494608"/>
        <c:axId val="1573890180"/>
      </c:barChart>
      <c:catAx>
        <c:axId val="10584946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73890180"/>
      </c:catAx>
      <c:valAx>
        <c:axId val="157389018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cross"/>
        <c:tickLblPos val="nextTo"/>
        <c:spPr>
          <a:ln/>
        </c:spPr>
        <c:txPr>
          <a:bodyPr/>
          <a:lstStyle/>
          <a:p>
            <a:pPr lvl="0">
              <a:defRPr b="0">
                <a:solidFill>
                  <a:srgbClr val="000000"/>
                </a:solidFill>
                <a:latin typeface="+mn-lt"/>
              </a:defRPr>
            </a:pPr>
          </a:p>
        </c:txPr>
        <c:crossAx val="1058494608"/>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Repartition!$T$43:$T$88</c:f>
            </c:strRef>
          </c:cat>
          <c:val>
            <c:numRef>
              <c:f>Repartition!$U$43:$U$88</c:f>
              <c:numCache/>
            </c:numRef>
          </c:val>
        </c:ser>
        <c:axId val="1773284556"/>
        <c:axId val="1172518533"/>
      </c:barChart>
      <c:catAx>
        <c:axId val="17732845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72518533"/>
      </c:catAx>
      <c:valAx>
        <c:axId val="11725185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73284556"/>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dPt>
            <c:idx val="0"/>
            <c:spPr>
              <a:solidFill>
                <a:srgbClr val="4F81BD"/>
              </a:solidFill>
            </c:spPr>
          </c:dPt>
          <c:dPt>
            <c:idx val="1"/>
            <c:spPr>
              <a:solidFill>
                <a:srgbClr val="C0504D"/>
              </a:solidFill>
            </c:spPr>
          </c:dPt>
          <c:dLbls>
            <c:showLegendKey val="0"/>
            <c:showVal val="1"/>
            <c:showCatName val="0"/>
            <c:showSerName val="0"/>
            <c:showPercent val="0"/>
            <c:showBubbleSize val="0"/>
            <c:showLeaderLines val="1"/>
          </c:dLbls>
          <c:cat>
            <c:strRef>
              <c:f>Repartition!$W$44:$W$45</c:f>
            </c:strRef>
          </c:cat>
          <c:val>
            <c:numRef>
              <c:f>Repartition!$X$44:$X$45</c:f>
              <c:numCache/>
            </c:numRef>
          </c:val>
        </c:ser>
        <c:dLbls>
          <c:showLegendKey val="0"/>
          <c:showVal val="0"/>
          <c:showCatName val="0"/>
          <c:showSerName val="0"/>
          <c:showPercent val="0"/>
          <c:showBubbleSize val="0"/>
        </c:dLbls>
        <c:holeSize val="75"/>
      </c:doughnutChart>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18</xdr:row>
      <xdr:rowOff>104775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904875</xdr:colOff>
      <xdr:row>18</xdr:row>
      <xdr:rowOff>104775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11</xdr:col>
      <xdr:colOff>847725</xdr:colOff>
      <xdr:row>18</xdr:row>
      <xdr:rowOff>104775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0</xdr:colOff>
      <xdr:row>37</xdr:row>
      <xdr:rowOff>19050</xdr:rowOff>
    </xdr:from>
    <xdr:ext cx="17145000"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0</xdr:colOff>
      <xdr:row>55</xdr:row>
      <xdr:rowOff>123825</xdr:rowOff>
    </xdr:from>
    <xdr:ext cx="17145000" cy="35337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0</xdr:col>
      <xdr:colOff>0</xdr:colOff>
      <xdr:row>74</xdr:row>
      <xdr:rowOff>38100</xdr:rowOff>
    </xdr:from>
    <xdr:ext cx="17145000" cy="3533775"/>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5</xdr:col>
      <xdr:colOff>904875</xdr:colOff>
      <xdr:row>0</xdr:row>
      <xdr:rowOff>0</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9.29"/>
    <col customWidth="1" min="2" max="2" width="8.86"/>
    <col customWidth="1" min="3" max="3" width="13.29"/>
    <col customWidth="1" min="4" max="5" width="10.43"/>
    <col customWidth="1" min="6" max="6" width="12.14"/>
    <col customWidth="1" min="7" max="7" width="13.71"/>
    <col customWidth="1" min="8" max="9" width="14.71"/>
    <col customWidth="1" min="10" max="10" width="133.71"/>
    <col customWidth="1" min="11" max="11" width="38.86"/>
    <col customWidth="1" min="12" max="12" width="40.57"/>
    <col customWidth="1" min="13" max="13" width="57.0"/>
    <col customWidth="1" min="14" max="14" width="39.14"/>
    <col customWidth="1" min="15" max="15" width="87.71"/>
    <col customWidth="1" min="16" max="17" width="75.29"/>
    <col customWidth="1" min="18" max="18" width="47.14"/>
    <col customWidth="1" min="19" max="21" width="16.57"/>
    <col customWidth="1" min="22" max="22" width="22.14"/>
    <col customWidth="1" min="23" max="23" width="15.86"/>
    <col customWidth="1" min="24" max="24" width="12.43"/>
    <col customWidth="1" min="25" max="25" width="11.14"/>
    <col customWidth="1" min="26" max="26" width="13.86"/>
    <col customWidth="1" min="27" max="27" width="12.57"/>
    <col customWidth="1" min="28" max="28" width="13.29"/>
    <col customWidth="1" min="29" max="30" width="11.43"/>
    <col customWidth="1" min="31" max="34" width="12.43"/>
    <col customWidth="1" min="35" max="38" width="18.71"/>
    <col customWidth="1" min="39" max="40" width="12.57"/>
    <col customWidth="1" min="41" max="44" width="20.57"/>
    <col customWidth="1" min="45" max="45" width="13.14"/>
    <col customWidth="1" min="46" max="49" width="16.57"/>
    <col customWidth="1" min="50" max="51" width="16.43"/>
    <col customWidth="1" min="52" max="52" width="20.86"/>
    <col customWidth="1" min="53" max="53" width="15.71"/>
    <col customWidth="1" min="54" max="55" width="16.0"/>
    <col customWidth="1" min="56" max="56" width="19.86"/>
    <col customWidth="1" min="57" max="57" width="11.57"/>
    <col customWidth="1" min="58" max="58" width="19.86"/>
    <col customWidth="1" min="59" max="59" width="71.57"/>
    <col customWidth="1" min="60" max="60" width="18.43"/>
    <col customWidth="1" min="61" max="61" width="17.43"/>
    <col customWidth="1" min="62" max="65" width="8.71"/>
  </cols>
  <sheetData>
    <row r="1">
      <c r="A1" s="1" t="s">
        <v>0</v>
      </c>
      <c r="B1" s="2" t="s">
        <v>1</v>
      </c>
      <c r="C1" s="3" t="s">
        <v>2</v>
      </c>
      <c r="D1" s="4" t="s">
        <v>3</v>
      </c>
      <c r="E1" s="3" t="s">
        <v>4</v>
      </c>
      <c r="F1" s="5" t="s">
        <v>5</v>
      </c>
      <c r="G1" s="6" t="s">
        <v>6</v>
      </c>
      <c r="H1" s="7" t="s">
        <v>7</v>
      </c>
      <c r="I1" s="3" t="s">
        <v>8</v>
      </c>
      <c r="J1" s="5" t="s">
        <v>9</v>
      </c>
      <c r="K1" s="8" t="s">
        <v>10</v>
      </c>
      <c r="L1" s="8" t="s">
        <v>11</v>
      </c>
      <c r="M1" s="8" t="s">
        <v>12</v>
      </c>
      <c r="N1" s="4" t="s">
        <v>13</v>
      </c>
      <c r="O1" s="8" t="s">
        <v>14</v>
      </c>
      <c r="P1" s="8" t="s">
        <v>15</v>
      </c>
      <c r="Q1" s="8" t="s">
        <v>16</v>
      </c>
      <c r="R1" s="6" t="s">
        <v>17</v>
      </c>
      <c r="S1" s="8" t="s">
        <v>18</v>
      </c>
      <c r="T1" s="8" t="s">
        <v>19</v>
      </c>
      <c r="U1" s="8" t="s">
        <v>20</v>
      </c>
      <c r="V1" s="8" t="s">
        <v>21</v>
      </c>
      <c r="W1" s="8" t="s">
        <v>22</v>
      </c>
      <c r="X1" s="8" t="s">
        <v>23</v>
      </c>
      <c r="Y1" s="8" t="s">
        <v>24</v>
      </c>
      <c r="Z1" s="8" t="s">
        <v>25</v>
      </c>
      <c r="AA1" s="8" t="s">
        <v>26</v>
      </c>
      <c r="AB1" s="9" t="s">
        <v>27</v>
      </c>
      <c r="AC1" s="7" t="s">
        <v>28</v>
      </c>
      <c r="AD1" s="3" t="s">
        <v>29</v>
      </c>
      <c r="AE1" s="5" t="s">
        <v>30</v>
      </c>
      <c r="AF1" s="8" t="s">
        <v>31</v>
      </c>
      <c r="AG1" s="8" t="s">
        <v>32</v>
      </c>
      <c r="AH1" s="8" t="s">
        <v>33</v>
      </c>
      <c r="AI1" s="4" t="s">
        <v>34</v>
      </c>
      <c r="AJ1" s="3" t="s">
        <v>35</v>
      </c>
      <c r="AK1" s="3" t="s">
        <v>36</v>
      </c>
      <c r="AL1" s="3" t="s">
        <v>37</v>
      </c>
      <c r="AM1" s="3" t="s">
        <v>38</v>
      </c>
      <c r="AN1" s="4" t="s">
        <v>39</v>
      </c>
      <c r="AO1" s="5" t="s">
        <v>40</v>
      </c>
      <c r="AP1" s="8" t="s">
        <v>41</v>
      </c>
      <c r="AQ1" s="8" t="s">
        <v>42</v>
      </c>
      <c r="AR1" s="8" t="s">
        <v>43</v>
      </c>
      <c r="AS1" s="7" t="s">
        <v>44</v>
      </c>
      <c r="AT1" s="3" t="s">
        <v>45</v>
      </c>
      <c r="AU1" s="3" t="s">
        <v>46</v>
      </c>
      <c r="AV1" s="3" t="s">
        <v>47</v>
      </c>
      <c r="AW1" s="3" t="s">
        <v>48</v>
      </c>
      <c r="AX1" s="8" t="s">
        <v>49</v>
      </c>
      <c r="AY1" s="8" t="s">
        <v>50</v>
      </c>
      <c r="AZ1" s="4" t="s">
        <v>51</v>
      </c>
      <c r="BA1" s="6" t="s">
        <v>52</v>
      </c>
      <c r="BB1" s="8" t="s">
        <v>53</v>
      </c>
      <c r="BC1" s="5" t="s">
        <v>54</v>
      </c>
      <c r="BD1" s="5" t="s">
        <v>55</v>
      </c>
      <c r="BE1" s="4" t="s">
        <v>56</v>
      </c>
      <c r="BF1" s="5" t="s">
        <v>57</v>
      </c>
      <c r="BG1" s="7" t="s">
        <v>58</v>
      </c>
      <c r="BH1" s="4" t="s">
        <v>59</v>
      </c>
      <c r="BI1" s="9" t="s">
        <v>60</v>
      </c>
      <c r="BJ1" s="10"/>
      <c r="BK1" s="10"/>
      <c r="BL1" s="10"/>
      <c r="BM1" s="10"/>
    </row>
    <row r="2">
      <c r="A2" s="11" t="s">
        <v>61</v>
      </c>
      <c r="B2" s="12"/>
      <c r="C2" s="13"/>
      <c r="D2" s="13" t="s">
        <v>62</v>
      </c>
      <c r="E2" s="13"/>
      <c r="F2" s="14" t="s">
        <v>63</v>
      </c>
      <c r="G2" s="15" t="s">
        <v>64</v>
      </c>
      <c r="H2" s="16" t="s">
        <v>65</v>
      </c>
      <c r="I2" s="16" t="str">
        <f t="array" ref="I2">INDEX(Validations!$C$2:$C$100, MATCH(TRUE, ISNUMBER(SEARCH(Validations!$B$2:$B$100, H2)), 0))</f>
        <v>I</v>
      </c>
      <c r="J2" s="17" t="s">
        <v>66</v>
      </c>
      <c r="K2" s="18"/>
      <c r="L2" s="17"/>
      <c r="M2" s="19" t="s">
        <v>67</v>
      </c>
      <c r="N2" s="20" t="s">
        <v>68</v>
      </c>
      <c r="O2" s="17"/>
      <c r="P2" s="21"/>
      <c r="Q2" s="21"/>
      <c r="R2" s="22"/>
      <c r="S2" s="17" t="str">
        <f>IFERROR(__xludf.DUMMYFUNCTION("IFERROR(REGEXEXTRACT(J2, ""(\d{1,3}[dD]\d{1,3})""), """")"),"")</f>
        <v/>
      </c>
      <c r="T2" s="17" t="str">
        <f>IFERROR(__xludf.DUMMYFUNCTION("IF(COUNTIF(ARRAYFORMULA(LOWER(Validations!$O$2:$O$100)), LOWER(REGEXEXTRACT(J2, ""\d{1,3}[dD]\d{1,3}\s+(\w+)"")))&gt;0, REGEXEXTRACT(J2, ""\d{1,3}[dD]\d{1,3}\s+(\w+)""), """")"),"")</f>
        <v/>
      </c>
      <c r="U2" s="17" t="str">
        <f>IFERROR(__xludf.DUMMYFUNCTION("IF(COUNTIF(ARRAYFORMULA(LOWER(Validations!$P$2:$P$100)), LOWER(REGEXEXTRACT(J2, ""\d{1,3}[dD]\d{1,3}\s+(\w+)"")))&gt;0, REGEXEXTRACT(J2, ""\d{1,3}[dD]\d{1,3}\s+(\w+)""), """")"),"")</f>
        <v/>
      </c>
      <c r="V2" s="12" t="str">
        <f>IFERROR(__xludf.DUMMYFUNCTION("TEXTJOIN("", "", TRUE, FILTER(Validations!$L$2:$L$100, ISNUMBER(SEARCH(Validations!$L$2:$L$100, J2))))"),"Unstable")</f>
        <v>Unstable</v>
      </c>
      <c r="W2" s="12" t="str">
        <f>IFERROR(__xludf.DUMMYFUNCTION("IFERROR(TEXTJOIN("", "", TRUE, FILTER(Validations!$M$2:$M$100, ISNUMBER(SEARCH(Validations!$M$2:$M$100 &amp; "" saving throw"", J2)))), """")"),"")</f>
        <v/>
      </c>
      <c r="X2" s="12"/>
      <c r="Y2" s="12"/>
      <c r="Z2" s="12" t="str">
        <f>IFERROR(__xludf.DUMMYFUNCTION("IFERROR(TEXTJOIN("", "", TRUE, FILTER(Validations!$N$2:$N$100, ISNUMBER(SEARCH(Validations!$N$2:$N$100 &amp; "" check"", J2)))), """")"),"Arcana")</f>
        <v>Arcana</v>
      </c>
      <c r="AA2" s="12" t="str">
        <f>IFERROR(__xludf.DUMMYFUNCTION("IFERROR(TEXTJOIN("", "", TRUE, FILTER(Validations!$N$2:$N$100, ISNUMBER(SEARCH(Validations!$N$2:$N$100 &amp; "" check"", W2)))), """")"),"")</f>
        <v/>
      </c>
      <c r="AB2" s="23" t="str">
        <f>IFERROR(__xludf.DUMMYFUNCTION("IFERROR(CONCATENATE(IF(ISNUMBER(SEARCH(Validations!$M$2:$M$100 &amp; "" spell save"", J2)),""Spell Save"",""""), REGEXEXTRACT(J2, ""DC (\d+)"")), """")"),"13")</f>
        <v>13</v>
      </c>
      <c r="AC2" s="24" t="b">
        <v>0</v>
      </c>
      <c r="AD2" s="24" t="b">
        <v>0</v>
      </c>
      <c r="AE2" s="12" t="s">
        <v>69</v>
      </c>
      <c r="AF2" s="25">
        <f>IFERROR(__xludf.DUMMYFUNCTION("IFERROR(VALUE(REGEXEXTRACT(AE2, ""\d+"")), 1)"),1.0)</f>
        <v>1</v>
      </c>
      <c r="AG2" s="12" t="str">
        <f>IFERROR(__xludf.DUMMYFUNCTION("IF(
  ISNUMBER(SEARCH(""Bonus Action"", AE2)),
  ""Bonus Action"",
  IF(
    ISNUMBER(SEARCH(""Reaction"", AE2)),
    ""Reaction"",
    IF(
      ISNUMBER(SEARCH(""Action"", AE2)),
      ""Action"",
      TEXTJOIN("", "", TRUE, FILTER(Validations!$S$2:$S$"&amp;"100, ISNUMBER(SEARCH(Validations!$S$2:$S$100, AE2))))
    )
  )
)"),"Action")</f>
        <v>Action</v>
      </c>
      <c r="AH2" s="12"/>
      <c r="AI2" s="26" t="s">
        <v>70</v>
      </c>
      <c r="AJ2" s="26" t="str">
        <f>IFERROR(__xludf.DUMMYFUNCTION("TEXTJOIN("", "", TRUE, FILTER(Validations!$T$2:$T$100, ISNUMBER(SEARCH(Validations!$T$2:$T$100, AI2))))"),"Instantaneous")</f>
        <v>Instantaneous</v>
      </c>
      <c r="AK2" s="26" t="str">
        <f>IFERROR(__xludf.DUMMYFUNCTION("IFERROR(VALUE(REGEXEXTRACT(AI2, ""\d+"")), """")"),"")</f>
        <v/>
      </c>
      <c r="AL2" s="26" t="str">
        <f>IFERROR(__xludf.DUMMYFUNCTION("TEXTJOIN("", "", TRUE, FILTER(Validations!$U$2:$U$100, ISNUMBER(SEARCH(Validations!$U$2:$U$100, AI2))))"),"")</f>
        <v/>
      </c>
      <c r="AM2" s="24" t="b">
        <f t="shared" ref="AM2:AM416" si="1">ISNUMBER(SEARCH("up to", AI2))</f>
        <v>0</v>
      </c>
      <c r="AN2" s="24" t="b">
        <v>0</v>
      </c>
      <c r="AO2" s="12" t="s">
        <v>71</v>
      </c>
      <c r="AP2" s="12" t="str">
        <f>IFERROR(__xludf.DUMMYFUNCTION("IF(TEXTJOIN("", "", TRUE, FILTER(Validations!$Q$2:$Q$100, ISNUMBER(SEARCH(Validations!$Q$2:$Q$100, AO2)))) = """", Validations!$Q$2, TEXTJOIN("", "", TRUE, FILTER(Validations!$Q$2:$Q$100, ISNUMBER(SEARCH(Validations!$Q$2:$Q$100, AO2)))))"),"Point")</f>
        <v>Point</v>
      </c>
      <c r="AQ2" s="12" t="str">
        <f>IFERROR(__xludf.DUMMYFUNCTION("IFERROR(VALUE(REGEXEXTRACT(AO2, ""\d+"")), """")"),"")</f>
        <v/>
      </c>
      <c r="AR2" s="12" t="str">
        <f>IFERROR(__xludf.DUMMYFUNCTION("TEXTJOIN("", "", TRUE, FILTER(Validations!$R$2:$R$100, ISNUMBER(SEARCH(Validations!$R$2:$R$100, AO2))))"),"Touch")</f>
        <v>Touch</v>
      </c>
      <c r="AS2" s="27"/>
      <c r="AT2" s="12" t="str">
        <f>IFERROR(__xludf.DUMMYFUNCTION("IFERROR(TEXTJOIN("", "", TRUE, FILTER(Validations!$I$2:$I$100, ISNUMBER(SEARCH(Validations!$I$2:$I$100, AS2)))), """")"),"")</f>
        <v/>
      </c>
      <c r="AU2" s="16" t="str">
        <f t="array" ref="AU2">IFERROR(INDEX(Validations!$J$2:$J$100, MATCH(TRUE, ISNUMBER(SEARCH(Validations!$I$2:$I$100, AT2)), 0)), "")</f>
        <v/>
      </c>
      <c r="AV2" s="12" t="str">
        <f>IFERROR(__xludf.DUMMYFUNCTION("IFERROR(VALUE(REGEXEXTRACT(AS2, ""\d+"")), """")"),"")</f>
        <v/>
      </c>
      <c r="AW2" s="12" t="str">
        <f>IFERROR(__xludf.DUMMYFUNCTION("IFERROR(TEXTJOIN("", "", TRUE, FILTER(Validations!$Q$2:$Q$100, ISNUMBER(SEARCH(Validations!$Q$2:$Q$100, AS2)))), """")"),"")</f>
        <v/>
      </c>
      <c r="AX2" s="28" t="s">
        <v>72</v>
      </c>
      <c r="AY2" s="28" t="str">
        <f>IFERROR(__xludf.DUMMYFUNCTION("TEXTJOIN("", "", TRUE, FILTER(Validations!$Y$2:$Y$100, ISNUMBER(SEARCH(Validations!$X$2:$X$100, AX2))))"),"V, S")</f>
        <v>V, S</v>
      </c>
      <c r="AZ2" s="26"/>
      <c r="BA2" s="12"/>
      <c r="BB2" s="22"/>
      <c r="BC2" s="22"/>
      <c r="BD2" s="22"/>
      <c r="BE2" s="27"/>
      <c r="BF2" s="22"/>
      <c r="BG2" s="27"/>
      <c r="BH2" s="27"/>
      <c r="BI2" s="12" t="str">
        <f>IFERROR(__xludf.DUMMYFUNCTION("IFERROR(TEXTJOIN("", "", TRUE, FILTER(SRD!$A$2:$A$1000, EXACT(SRD!$A$2:$A$1000, J2))), """")"),"")</f>
        <v/>
      </c>
      <c r="BJ2" s="29"/>
      <c r="BK2" s="29"/>
    </row>
    <row r="3">
      <c r="A3" s="30" t="s">
        <v>73</v>
      </c>
      <c r="B3" s="22"/>
      <c r="C3" s="31"/>
      <c r="D3" s="31" t="s">
        <v>74</v>
      </c>
      <c r="E3" s="31"/>
      <c r="F3" s="32" t="s">
        <v>75</v>
      </c>
      <c r="G3" s="15" t="s">
        <v>64</v>
      </c>
      <c r="H3" s="31" t="s">
        <v>76</v>
      </c>
      <c r="I3" s="16" t="str">
        <f t="array" ref="I3">INDEX(Validations!$C$2:$C$100, MATCH(TRUE, ISNUMBER(SEARCH(Validations!$B$2:$B$100, H3)), 0))</f>
        <v>V</v>
      </c>
      <c r="J3" s="33" t="s">
        <v>77</v>
      </c>
      <c r="K3" s="34"/>
      <c r="L3" s="33"/>
      <c r="M3" s="33"/>
      <c r="N3" s="27"/>
      <c r="O3" s="33"/>
      <c r="P3" s="35"/>
      <c r="Q3" s="35"/>
      <c r="R3" s="22"/>
      <c r="S3" s="17" t="str">
        <f>IFERROR(__xludf.DUMMYFUNCTION("IFERROR(REGEXEXTRACT(J3, ""(\d{1,3}[dD]\d{1,3})""), """")"),"")</f>
        <v/>
      </c>
      <c r="T3" s="17" t="str">
        <f>IFERROR(__xludf.DUMMYFUNCTION("IF(COUNTIF(ARRAYFORMULA(LOWER(Validations!$O$2:$O$100)), LOWER(REGEXEXTRACT(J3, ""\d{1,3}[dD]\d{1,3}\s+(\w+)"")))&gt;0, REGEXEXTRACT(J3, ""\d{1,3}[dD]\d{1,3}\s+(\w+)""), """")"),"")</f>
        <v/>
      </c>
      <c r="U3" s="17" t="str">
        <f>IFERROR(__xludf.DUMMYFUNCTION("IF(COUNTIF(ARRAYFORMULA(LOWER(Validations!$P$2:$P$100)), LOWER(REGEXEXTRACT(J3, ""\d{1,3}[dD]\d{1,3}\s+(\w+)"")))&gt;0, REGEXEXTRACT(J3, ""\d{1,3}[dD]\d{1,3}\s+(\w+)""), """")"),"")</f>
        <v/>
      </c>
      <c r="V3" s="12" t="str">
        <f>IFERROR(__xludf.DUMMYFUNCTION("TEXTJOIN("", "", TRUE, FILTER(Validations!$L$2:$L$100, ISNUMBER(SEARCH(Validations!$L$2:$L$100, J3))))"),"")</f>
        <v/>
      </c>
      <c r="W3" s="12" t="str">
        <f>IFERROR(__xludf.DUMMYFUNCTION("IFERROR(TEXTJOIN("", "", TRUE, FILTER(Validations!$M$2:$M$100, ISNUMBER(SEARCH(Validations!$M$2:$M$100 &amp; "" saving throw"", J3)))), """")"),"Constitution")</f>
        <v>Constitution</v>
      </c>
      <c r="X3" s="12"/>
      <c r="Y3" s="12"/>
      <c r="Z3" s="12" t="str">
        <f>IFERROR(__xludf.DUMMYFUNCTION("IFERROR(TEXTJOIN("", "", TRUE, FILTER(Validations!$N$2:$N$100, ISNUMBER(SEARCH(Validations!$N$2:$N$100 &amp; "" check"", J3)))), """")"),"")</f>
        <v/>
      </c>
      <c r="AA3" s="12" t="str">
        <f>IFERROR(__xludf.DUMMYFUNCTION("IFERROR(TEXTJOIN("", "", TRUE, FILTER(Validations!$N$2:$N$100, ISNUMBER(SEARCH(Validations!$N$2:$N$100 &amp; "" check"", W3)))), """")"),"")</f>
        <v/>
      </c>
      <c r="AB3" s="23" t="str">
        <f>IFERROR(__xludf.DUMMYFUNCTION("IFERROR(CONCATENATE(IF(ISNUMBER(SEARCH(Validations!$M$2:$M$100 &amp; "" spell save"", J3)),""Spell Save"",""""), REGEXEXTRACT(J3, ""DC (\d+)"")), """")"),"")</f>
        <v/>
      </c>
      <c r="AC3" s="24" t="b">
        <v>0</v>
      </c>
      <c r="AD3" s="24" t="b">
        <v>0</v>
      </c>
      <c r="AE3" s="36" t="s">
        <v>69</v>
      </c>
      <c r="AF3" s="25">
        <f>IFERROR(__xludf.DUMMYFUNCTION("IFERROR(VALUE(REGEXEXTRACT(AE3, ""\d+"")), 1)"),1.0)</f>
        <v>1</v>
      </c>
      <c r="AG3" s="12" t="str">
        <f>IFERROR(__xludf.DUMMYFUNCTION("IF(
  ISNUMBER(SEARCH(""Bonus Action"", AE3)),
  ""Bonus Action"",
  IF(
    ISNUMBER(SEARCH(""Reaction"", AE3)),
    ""Reaction"",
    IF(
      ISNUMBER(SEARCH(""Action"", AE3)),
      ""Action"",
      TEXTJOIN("", "", TRUE, FILTER(Validations!$S$2:$S$"&amp;"100, ISNUMBER(SEARCH(Validations!$S$2:$S$100, AE3))))
    )
  )
)"),"Action")</f>
        <v>Action</v>
      </c>
      <c r="AH3" s="36"/>
      <c r="AI3" s="27" t="s">
        <v>70</v>
      </c>
      <c r="AJ3" s="26" t="str">
        <f>IFERROR(__xludf.DUMMYFUNCTION("TEXTJOIN("", "", TRUE, FILTER(Validations!$T$2:$T$100, ISNUMBER(SEARCH(Validations!$T$2:$T$100, AI3))))"),"Instantaneous")</f>
        <v>Instantaneous</v>
      </c>
      <c r="AK3" s="26" t="str">
        <f>IFERROR(__xludf.DUMMYFUNCTION("IFERROR(VALUE(REGEXEXTRACT(AI3, ""\d+"")), """")"),"")</f>
        <v/>
      </c>
      <c r="AL3" s="26" t="str">
        <f>IFERROR(__xludf.DUMMYFUNCTION("TEXTJOIN("", "", TRUE, FILTER(Validations!$U$2:$U$100, ISNUMBER(SEARCH(Validations!$U$2:$U$100, AI3))))"),"")</f>
        <v/>
      </c>
      <c r="AM3" s="24" t="b">
        <f t="shared" si="1"/>
        <v>0</v>
      </c>
      <c r="AN3" s="24" t="b">
        <v>0</v>
      </c>
      <c r="AO3" s="36" t="s">
        <v>78</v>
      </c>
      <c r="AP3" s="12" t="str">
        <f>IFERROR(__xludf.DUMMYFUNCTION("IF(TEXTJOIN("", "", TRUE, FILTER(Validations!$Q$2:$Q$100, ISNUMBER(SEARCH(Validations!$Q$2:$Q$100, AO3)))) = """", Validations!$Q$2, TEXTJOIN("", "", TRUE, FILTER(Validations!$Q$2:$Q$100, ISNUMBER(SEARCH(Validations!$Q$2:$Q$100, AO3)))))"),"Point")</f>
        <v>Point</v>
      </c>
      <c r="AQ3" s="12" t="str">
        <f>IFERROR(__xludf.DUMMYFUNCTION("IFERROR(VALUE(REGEXEXTRACT(AO3, ""\d+"")), """")"),"")</f>
        <v/>
      </c>
      <c r="AR3" s="12" t="str">
        <f>IFERROR(__xludf.DUMMYFUNCTION("TEXTJOIN("", "", TRUE, FILTER(Validations!$R$2:$R$100, ISNUMBER(SEARCH(Validations!$R$2:$R$100, AO3))))"),"Self")</f>
        <v>Self</v>
      </c>
      <c r="AS3" s="20" t="s">
        <v>79</v>
      </c>
      <c r="AT3" s="12" t="str">
        <f>IFERROR(__xludf.DUMMYFUNCTION("IFERROR(TEXTJOIN("", "", TRUE, FILTER(Validations!$I$2:$I$100, ISNUMBER(SEARCH(Validations!$I$2:$I$100, AS3)))), """")"),"Cone")</f>
        <v>Cone</v>
      </c>
      <c r="AU3" s="16" t="str">
        <f t="array" ref="AU3">IFERROR(INDEX(Validations!$J$2:$J$100, MATCH(TRUE, ISNUMBER(SEARCH(Validations!$I$2:$I$100, AT3)), 0)), "")</f>
        <v>N</v>
      </c>
      <c r="AV3" s="12">
        <f>IFERROR(__xludf.DUMMYFUNCTION("IFERROR(VALUE(REGEXEXTRACT(AS3, ""\d+"")), """")"),5.0)</f>
        <v>5</v>
      </c>
      <c r="AW3" s="12" t="str">
        <f>IFERROR(__xludf.DUMMYFUNCTION("IFERROR(TEXTJOIN("", "", TRUE, FILTER(Validations!$Q$2:$Q$100, ISNUMBER(SEARCH(Validations!$Q$2:$Q$100, AS3)))), """")"),"Cone")</f>
        <v>Cone</v>
      </c>
      <c r="AX3" s="28" t="s">
        <v>80</v>
      </c>
      <c r="AY3" s="28" t="str">
        <f>IFERROR(__xludf.DUMMYFUNCTION("TEXTJOIN("", "", TRUE, FILTER(Validations!$Y$2:$Y$100, ISNUMBER(SEARCH(Validations!$X$2:$X$100, AX3))))"),"S, R")</f>
        <v>S, R</v>
      </c>
      <c r="AZ3" s="20" t="s">
        <v>81</v>
      </c>
      <c r="BA3" s="22"/>
      <c r="BB3" s="22"/>
      <c r="BC3" s="22"/>
      <c r="BD3" s="22"/>
      <c r="BE3" s="27"/>
      <c r="BF3" s="22"/>
      <c r="BG3" s="27"/>
      <c r="BH3" s="27"/>
      <c r="BI3" s="12" t="str">
        <f>IFERROR(__xludf.DUMMYFUNCTION("IFERROR(TEXTJOIN("", "", TRUE, FILTER(SRD!$A$2:$A$1000, EXACT(SRD!$A$2:$A$1000, J3))), """")"),"")</f>
        <v/>
      </c>
      <c r="BJ3" s="29"/>
      <c r="BK3" s="29"/>
    </row>
    <row r="4">
      <c r="A4" s="30" t="s">
        <v>82</v>
      </c>
      <c r="B4" s="22"/>
      <c r="C4" s="31"/>
      <c r="D4" s="31" t="s">
        <v>83</v>
      </c>
      <c r="E4" s="31"/>
      <c r="F4" s="32" t="s">
        <v>84</v>
      </c>
      <c r="G4" s="15" t="s">
        <v>64</v>
      </c>
      <c r="H4" s="31" t="s">
        <v>85</v>
      </c>
      <c r="I4" s="16" t="str">
        <f t="array" ref="I4">INDEX(Validations!$C$2:$C$100, MATCH(TRUE, ISNUMBER(SEARCH(Validations!$B$2:$B$100, H4)), 0))</f>
        <v>T</v>
      </c>
      <c r="J4" s="17" t="s">
        <v>86</v>
      </c>
      <c r="K4" s="18"/>
      <c r="L4" s="17"/>
      <c r="M4" s="17"/>
      <c r="N4" s="27"/>
      <c r="O4" s="17"/>
      <c r="P4" s="21"/>
      <c r="Q4" s="21"/>
      <c r="R4" s="22"/>
      <c r="S4" s="17" t="str">
        <f>IFERROR(__xludf.DUMMYFUNCTION("IFERROR(REGEXEXTRACT(J4, ""(\d{1,3}[dD]\d{1,3})""), """")"),"")</f>
        <v/>
      </c>
      <c r="T4" s="17" t="str">
        <f>IFERROR(__xludf.DUMMYFUNCTION("IF(COUNTIF(ARRAYFORMULA(LOWER(Validations!$O$2:$O$100)), LOWER(REGEXEXTRACT(J4, ""\d{1,3}[dD]\d{1,3}\s+(\w+)"")))&gt;0, REGEXEXTRACT(J4, ""\d{1,3}[dD]\d{1,3}\s+(\w+)""), """")"),"")</f>
        <v/>
      </c>
      <c r="U4" s="17" t="str">
        <f>IFERROR(__xludf.DUMMYFUNCTION("IF(COUNTIF(ARRAYFORMULA(LOWER(Validations!$P$2:$P$100)), LOWER(REGEXEXTRACT(J4, ""\d{1,3}[dD]\d{1,3}\s+(\w+)"")))&gt;0, REGEXEXTRACT(J4, ""\d{1,3}[dD]\d{1,3}\s+(\w+)""), """")"),"")</f>
        <v/>
      </c>
      <c r="V4" s="12" t="str">
        <f>IFERROR(__xludf.DUMMYFUNCTION("TEXTJOIN("", "", TRUE, FILTER(Validations!$L$2:$L$100, ISNUMBER(SEARCH(Validations!$L$2:$L$100, J4))))"),"")</f>
        <v/>
      </c>
      <c r="W4" s="12" t="str">
        <f>IFERROR(__xludf.DUMMYFUNCTION("IFERROR(TEXTJOIN("", "", TRUE, FILTER(Validations!$M$2:$M$100, ISNUMBER(SEARCH(Validations!$M$2:$M$100 &amp; "" saving throw"", J4)))), """")"),"Intelligence")</f>
        <v>Intelligence</v>
      </c>
      <c r="X4" s="12"/>
      <c r="Y4" s="12"/>
      <c r="Z4" s="12" t="str">
        <f>IFERROR(__xludf.DUMMYFUNCTION("IFERROR(TEXTJOIN("", "", TRUE, FILTER(Validations!$N$2:$N$100, ISNUMBER(SEARCH(Validations!$N$2:$N$100 &amp; "" check"", J4)))), """")"),"")</f>
        <v/>
      </c>
      <c r="AA4" s="12" t="str">
        <f>IFERROR(__xludf.DUMMYFUNCTION("IFERROR(TEXTJOIN("", "", TRUE, FILTER(Validations!$N$2:$N$100, ISNUMBER(SEARCH(Validations!$N$2:$N$100 &amp; "" check"", W4)))), """")"),"")</f>
        <v/>
      </c>
      <c r="AB4" s="23" t="str">
        <f>IFERROR(__xludf.DUMMYFUNCTION("IFERROR(CONCATENATE(IF(ISNUMBER(SEARCH(Validations!$M$2:$M$100 &amp; "" spell save"", J4)),""Spell Save"",""""), REGEXEXTRACT(J4, ""DC (\d+)"")), """")"),"")</f>
        <v/>
      </c>
      <c r="AC4" s="24" t="b">
        <v>0</v>
      </c>
      <c r="AD4" s="24" t="b">
        <v>0</v>
      </c>
      <c r="AE4" s="36" t="s">
        <v>69</v>
      </c>
      <c r="AF4" s="25">
        <f>IFERROR(__xludf.DUMMYFUNCTION("IFERROR(VALUE(REGEXEXTRACT(AE4, ""\d+"")), 1)"),1.0)</f>
        <v>1</v>
      </c>
      <c r="AG4" s="12" t="str">
        <f>IFERROR(__xludf.DUMMYFUNCTION("IF(
  ISNUMBER(SEARCH(""Bonus Action"", AE4)),
  ""Bonus Action"",
  IF(
    ISNUMBER(SEARCH(""Reaction"", AE4)),
    ""Reaction"",
    IF(
      ISNUMBER(SEARCH(""Action"", AE4)),
      ""Action"",
      TEXTJOIN("", "", TRUE, FILTER(Validations!$S$2:$S$"&amp;"100, ISNUMBER(SEARCH(Validations!$S$2:$S$100, AE4))))
    )
  )
)"),"Action")</f>
        <v>Action</v>
      </c>
      <c r="AH4" s="36"/>
      <c r="AI4" s="20" t="s">
        <v>87</v>
      </c>
      <c r="AJ4" s="26" t="str">
        <f>IFERROR(__xludf.DUMMYFUNCTION("TEXTJOIN("", "", TRUE, FILTER(Validations!$T$2:$T$100, ISNUMBER(SEARCH(Validations!$T$2:$T$100, AI4))))"),"")</f>
        <v/>
      </c>
      <c r="AK4" s="26">
        <f>IFERROR(__xludf.DUMMYFUNCTION("IFERROR(VALUE(REGEXEXTRACT(AI4, ""\d+"")), """")"),1.0)</f>
        <v>1</v>
      </c>
      <c r="AL4" s="26" t="str">
        <f>IFERROR(__xludf.DUMMYFUNCTION("TEXTJOIN("", "", TRUE, FILTER(Validations!$U$2:$U$100, ISNUMBER(SEARCH(Validations!$U$2:$U$100, AI4))))"),"Rounds")</f>
        <v>Rounds</v>
      </c>
      <c r="AM4" s="24" t="b">
        <f t="shared" si="1"/>
        <v>0</v>
      </c>
      <c r="AN4" s="24" t="b">
        <v>0</v>
      </c>
      <c r="AO4" s="36" t="s">
        <v>78</v>
      </c>
      <c r="AP4" s="12" t="str">
        <f>IFERROR(__xludf.DUMMYFUNCTION("IF(TEXTJOIN("", "", TRUE, FILTER(Validations!$Q$2:$Q$100, ISNUMBER(SEARCH(Validations!$Q$2:$Q$100, AO4)))) = """", Validations!$Q$2, TEXTJOIN("", "", TRUE, FILTER(Validations!$Q$2:$Q$100, ISNUMBER(SEARCH(Validations!$Q$2:$Q$100, AO4)))))"),"Point")</f>
        <v>Point</v>
      </c>
      <c r="AQ4" s="12" t="str">
        <f>IFERROR(__xludf.DUMMYFUNCTION("IFERROR(VALUE(REGEXEXTRACT(AO4, ""\d+"")), """")"),"")</f>
        <v/>
      </c>
      <c r="AR4" s="12" t="str">
        <f>IFERROR(__xludf.DUMMYFUNCTION("TEXTJOIN("", "", TRUE, FILTER(Validations!$R$2:$R$100, ISNUMBER(SEARCH(Validations!$R$2:$R$100, AO4))))"),"Self")</f>
        <v>Self</v>
      </c>
      <c r="AS4" s="20" t="s">
        <v>88</v>
      </c>
      <c r="AT4" s="12" t="str">
        <f>IFERROR(__xludf.DUMMYFUNCTION("IFERROR(TEXTJOIN("", "", TRUE, FILTER(Validations!$I$2:$I$100, ISNUMBER(SEARCH(Validations!$I$2:$I$100, AS4)))), """")"),"")</f>
        <v/>
      </c>
      <c r="AU4" s="16" t="str">
        <f t="array" ref="AU4">IFERROR(INDEX(Validations!$J$2:$J$100, MATCH(TRUE, ISNUMBER(SEARCH(Validations!$I$2:$I$100, AT4)), 0)), "")</f>
        <v/>
      </c>
      <c r="AV4" s="12">
        <f>IFERROR(__xludf.DUMMYFUNCTION("IFERROR(VALUE(REGEXEXTRACT(AS4, ""\d+"")), """")"),10.0)</f>
        <v>10</v>
      </c>
      <c r="AW4" s="12" t="str">
        <f>IFERROR(__xludf.DUMMYFUNCTION("IFERROR(TEXTJOIN("", "", TRUE, FILTER(Validations!$Q$2:$Q$100, ISNUMBER(SEARCH(Validations!$Q$2:$Q$100, AS4)))), """")"),"Radius")</f>
        <v>Radius</v>
      </c>
      <c r="AX4" s="28" t="s">
        <v>72</v>
      </c>
      <c r="AY4" s="28" t="str">
        <f>IFERROR(__xludf.DUMMYFUNCTION("TEXTJOIN("", "", TRUE, FILTER(Validations!$Y$2:$Y$100, ISNUMBER(SEARCH(Validations!$X$2:$X$100, AX4))))"),"V, S")</f>
        <v>V, S</v>
      </c>
      <c r="AZ4" s="27"/>
      <c r="BA4" s="22"/>
      <c r="BB4" s="22"/>
      <c r="BC4" s="22"/>
      <c r="BD4" s="22"/>
      <c r="BE4" s="27"/>
      <c r="BF4" s="22"/>
      <c r="BG4" s="27"/>
      <c r="BH4" s="27"/>
      <c r="BI4" s="12" t="str">
        <f>IFERROR(__xludf.DUMMYFUNCTION("IFERROR(TEXTJOIN("", "", TRUE, FILTER(SRD!$A$2:$A$1000, EXACT(SRD!$A$2:$A$1000, J4))), """")"),"")</f>
        <v/>
      </c>
      <c r="BJ4" s="29"/>
      <c r="BK4" s="29"/>
    </row>
    <row r="5">
      <c r="A5" s="30" t="s">
        <v>89</v>
      </c>
      <c r="B5" s="22"/>
      <c r="C5" s="31"/>
      <c r="D5" s="31" t="s">
        <v>74</v>
      </c>
      <c r="E5" s="31"/>
      <c r="F5" s="32" t="s">
        <v>90</v>
      </c>
      <c r="G5" s="15" t="s">
        <v>64</v>
      </c>
      <c r="H5" s="31" t="s">
        <v>65</v>
      </c>
      <c r="I5" s="16" t="str">
        <f t="array" ref="I5">INDEX(Validations!$C$2:$C$100, MATCH(TRUE, ISNUMBER(SEARCH(Validations!$B$2:$B$100, H5)), 0))</f>
        <v>I</v>
      </c>
      <c r="J5" s="33" t="s">
        <v>91</v>
      </c>
      <c r="K5" s="34"/>
      <c r="L5" s="33"/>
      <c r="M5" s="33"/>
      <c r="N5" s="27"/>
      <c r="O5" s="33"/>
      <c r="P5" s="35"/>
      <c r="Q5" s="35"/>
      <c r="R5" s="22"/>
      <c r="S5" s="17" t="str">
        <f>IFERROR(__xludf.DUMMYFUNCTION("IFERROR(REGEXEXTRACT(J5, ""(\d{1,3}[dD]\d{1,3})""), """")"),"")</f>
        <v/>
      </c>
      <c r="T5" s="17" t="str">
        <f>IFERROR(__xludf.DUMMYFUNCTION("IF(COUNTIF(ARRAYFORMULA(LOWER(Validations!$O$2:$O$100)), LOWER(REGEXEXTRACT(J5, ""\d{1,3}[dD]\d{1,3}\s+(\w+)"")))&gt;0, REGEXEXTRACT(J5, ""\d{1,3}[dD]\d{1,3}\s+(\w+)""), """")"),"")</f>
        <v/>
      </c>
      <c r="U5" s="17" t="str">
        <f>IFERROR(__xludf.DUMMYFUNCTION("IF(COUNTIF(ARRAYFORMULA(LOWER(Validations!$P$2:$P$100)), LOWER(REGEXEXTRACT(J5, ""\d{1,3}[dD]\d{1,3}\s+(\w+)"")))&gt;0, REGEXEXTRACT(J5, ""\d{1,3}[dD]\d{1,3}\s+(\w+)""), """")"),"")</f>
        <v/>
      </c>
      <c r="V5" s="12" t="str">
        <f>IFERROR(__xludf.DUMMYFUNCTION("TEXTJOIN("", "", TRUE, FILTER(Validations!$L$2:$L$100, ISNUMBER(SEARCH(Validations!$L$2:$L$100, J5))))"),"")</f>
        <v/>
      </c>
      <c r="W5" s="12" t="str">
        <f>IFERROR(__xludf.DUMMYFUNCTION("IFERROR(TEXTJOIN("", "", TRUE, FILTER(Validations!$M$2:$M$100, ISNUMBER(SEARCH(Validations!$M$2:$M$100 &amp; "" saving throw"", J5)))), """")"),"")</f>
        <v/>
      </c>
      <c r="X5" s="12"/>
      <c r="Y5" s="12"/>
      <c r="Z5" s="12" t="str">
        <f>IFERROR(__xludf.DUMMYFUNCTION("IFERROR(TEXTJOIN("", "", TRUE, FILTER(Validations!$N$2:$N$100, ISNUMBER(SEARCH(Validations!$N$2:$N$100 &amp; "" check"", J5)))), """")"),"")</f>
        <v/>
      </c>
      <c r="AA5" s="12" t="str">
        <f>IFERROR(__xludf.DUMMYFUNCTION("IFERROR(TEXTJOIN("", "", TRUE, FILTER(Validations!$N$2:$N$100, ISNUMBER(SEARCH(Validations!$N$2:$N$100 &amp; "" check"", W5)))), """")"),"")</f>
        <v/>
      </c>
      <c r="AB5" s="23" t="str">
        <f>IFERROR(__xludf.DUMMYFUNCTION("IFERROR(CONCATENATE(IF(ISNUMBER(SEARCH(Validations!$M$2:$M$100 &amp; "" spell save"", J5)),""Spell Save"",""""), REGEXEXTRACT(J5, ""DC (\d+)"")), """")"),"")</f>
        <v/>
      </c>
      <c r="AC5" s="24" t="b">
        <v>0</v>
      </c>
      <c r="AD5" s="24" t="b">
        <v>0</v>
      </c>
      <c r="AE5" s="36" t="s">
        <v>69</v>
      </c>
      <c r="AF5" s="25">
        <f>IFERROR(__xludf.DUMMYFUNCTION("IFERROR(VALUE(REGEXEXTRACT(AE5, ""\d+"")), 1)"),1.0)</f>
        <v>1</v>
      </c>
      <c r="AG5" s="12" t="str">
        <f>IFERROR(__xludf.DUMMYFUNCTION("IF(
  ISNUMBER(SEARCH(""Bonus Action"", AE5)),
  ""Bonus Action"",
  IF(
    ISNUMBER(SEARCH(""Reaction"", AE5)),
    ""Reaction"",
    IF(
      ISNUMBER(SEARCH(""Action"", AE5)),
      ""Action"",
      TEXTJOIN("", "", TRUE, FILTER(Validations!$S$2:$S$"&amp;"100, ISNUMBER(SEARCH(Validations!$S$2:$S$100, AE5))))
    )
  )
)"),"Action")</f>
        <v>Action</v>
      </c>
      <c r="AH5" s="36"/>
      <c r="AI5" s="20" t="s">
        <v>92</v>
      </c>
      <c r="AJ5" s="26" t="str">
        <f>IFERROR(__xludf.DUMMYFUNCTION("TEXTJOIN("", "", TRUE, FILTER(Validations!$T$2:$T$100, ISNUMBER(SEARCH(Validations!$T$2:$T$100, AI5))))"),"")</f>
        <v/>
      </c>
      <c r="AK5" s="26">
        <f>IFERROR(__xludf.DUMMYFUNCTION("IFERROR(VALUE(REGEXEXTRACT(AI5, ""\d+"")), """")"),1.0)</f>
        <v>1</v>
      </c>
      <c r="AL5" s="26" t="str">
        <f>IFERROR(__xludf.DUMMYFUNCTION("TEXTJOIN("", "", TRUE, FILTER(Validations!$U$2:$U$100, ISNUMBER(SEARCH(Validations!$U$2:$U$100, AI5))))"),"Minutes")</f>
        <v>Minutes</v>
      </c>
      <c r="AM5" s="24" t="b">
        <f t="shared" si="1"/>
        <v>0</v>
      </c>
      <c r="AN5" s="24" t="b">
        <v>0</v>
      </c>
      <c r="AO5" s="22" t="s">
        <v>93</v>
      </c>
      <c r="AP5" s="12" t="str">
        <f>IFERROR(__xludf.DUMMYFUNCTION("IF(TEXTJOIN("", "", TRUE, FILTER(Validations!$Q$2:$Q$100, ISNUMBER(SEARCH(Validations!$Q$2:$Q$100, AO5)))) = """", Validations!$Q$2, TEXTJOIN("", "", TRUE, FILTER(Validations!$Q$2:$Q$100, ISNUMBER(SEARCH(Validations!$Q$2:$Q$100, AO5)))))"),"Point")</f>
        <v>Point</v>
      </c>
      <c r="AQ5" s="12">
        <f>IFERROR(__xludf.DUMMYFUNCTION("IFERROR(VALUE(REGEXEXTRACT(AO5, ""\d+"")), """")"),20.0)</f>
        <v>20</v>
      </c>
      <c r="AR5" s="12" t="str">
        <f>IFERROR(__xludf.DUMMYFUNCTION("TEXTJOIN("", "", TRUE, FILTER(Validations!$R$2:$R$100, ISNUMBER(SEARCH(Validations!$R$2:$R$100, AO5))))"),"Feet")</f>
        <v>Feet</v>
      </c>
      <c r="AS5" s="27"/>
      <c r="AT5" s="12" t="str">
        <f>IFERROR(__xludf.DUMMYFUNCTION("IFERROR(TEXTJOIN("", "", TRUE, FILTER(Validations!$I$2:$I$100, ISNUMBER(SEARCH(Validations!$I$2:$I$100, AS5)))), """")"),"")</f>
        <v/>
      </c>
      <c r="AU5" s="16" t="str">
        <f t="array" ref="AU5">IFERROR(INDEX(Validations!$J$2:$J$100, MATCH(TRUE, ISNUMBER(SEARCH(Validations!$I$2:$I$100, AT5)), 0)), "")</f>
        <v/>
      </c>
      <c r="AV5" s="12" t="str">
        <f>IFERROR(__xludf.DUMMYFUNCTION("IFERROR(VALUE(REGEXEXTRACT(AS5, ""\d+"")), """")"),"")</f>
        <v/>
      </c>
      <c r="AW5" s="12" t="str">
        <f>IFERROR(__xludf.DUMMYFUNCTION("IFERROR(TEXTJOIN("", "", TRUE, FILTER(Validations!$Q$2:$Q$100, ISNUMBER(SEARCH(Validations!$Q$2:$Q$100, AS5)))), """")"),"")</f>
        <v/>
      </c>
      <c r="AX5" s="28" t="s">
        <v>94</v>
      </c>
      <c r="AY5" s="28" t="str">
        <f>IFERROR(__xludf.DUMMYFUNCTION("TEXTJOIN("", "", TRUE, FILTER(Validations!$Y$2:$Y$100, ISNUMBER(SEARCH(Validations!$X$2:$X$100, AX5))))"),"V, S, R")</f>
        <v>V, S, R</v>
      </c>
      <c r="AZ5" s="20" t="s">
        <v>95</v>
      </c>
      <c r="BA5" s="22"/>
      <c r="BB5" s="22"/>
      <c r="BC5" s="22"/>
      <c r="BD5" s="22"/>
      <c r="BE5" s="27"/>
      <c r="BF5" s="22"/>
      <c r="BG5" s="27"/>
      <c r="BH5" s="27"/>
      <c r="BI5" s="12" t="str">
        <f>IFERROR(__xludf.DUMMYFUNCTION("IFERROR(TEXTJOIN("", "", TRUE, FILTER(SRD!$A$2:$A$1000, EXACT(SRD!$A$2:$A$1000, J5))), """")"),"")</f>
        <v/>
      </c>
      <c r="BJ5" s="29"/>
      <c r="BK5" s="29"/>
    </row>
    <row r="6">
      <c r="A6" s="30" t="s">
        <v>96</v>
      </c>
      <c r="B6" s="22"/>
      <c r="C6" s="31"/>
      <c r="D6" s="31" t="s">
        <v>18</v>
      </c>
      <c r="E6" s="31"/>
      <c r="F6" s="32" t="s">
        <v>97</v>
      </c>
      <c r="G6" s="15" t="s">
        <v>64</v>
      </c>
      <c r="H6" s="31" t="s">
        <v>76</v>
      </c>
      <c r="I6" s="16" t="str">
        <f t="array" ref="I6">INDEX(Validations!$C$2:$C$100, MATCH(TRUE, ISNUMBER(SEARCH(Validations!$B$2:$B$100, H6)), 0))</f>
        <v>V</v>
      </c>
      <c r="J6" s="33" t="s">
        <v>98</v>
      </c>
      <c r="K6" s="34"/>
      <c r="L6" s="33"/>
      <c r="M6" s="33"/>
      <c r="N6" s="27"/>
      <c r="O6" s="33"/>
      <c r="P6" s="35"/>
      <c r="Q6" s="35"/>
      <c r="R6" s="22"/>
      <c r="S6" s="17" t="str">
        <f>IFERROR(__xludf.DUMMYFUNCTION("IFERROR(REGEXEXTRACT(J6, ""(\d{1,3}[dD]\d{1,3})""), """")"),"")</f>
        <v/>
      </c>
      <c r="T6" s="17" t="str">
        <f>IFERROR(__xludf.DUMMYFUNCTION("IF(COUNTIF(ARRAYFORMULA(LOWER(Validations!$O$2:$O$100)), LOWER(REGEXEXTRACT(J6, ""\d{1,3}[dD]\d{1,3}\s+(\w+)"")))&gt;0, REGEXEXTRACT(J6, ""\d{1,3}[dD]\d{1,3}\s+(\w+)""), """")"),"")</f>
        <v/>
      </c>
      <c r="U6" s="17" t="str">
        <f>IFERROR(__xludf.DUMMYFUNCTION("IF(COUNTIF(ARRAYFORMULA(LOWER(Validations!$P$2:$P$100)), LOWER(REGEXEXTRACT(J6, ""\d{1,3}[dD]\d{1,3}\s+(\w+)"")))&gt;0, REGEXEXTRACT(J6, ""\d{1,3}[dD]\d{1,3}\s+(\w+)""), """")"),"")</f>
        <v/>
      </c>
      <c r="V6" s="12" t="str">
        <f>IFERROR(__xludf.DUMMYFUNCTION("TEXTJOIN("", "", TRUE, FILTER(Validations!$L$2:$L$100, ISNUMBER(SEARCH(Validations!$L$2:$L$100, J6))))"),"")</f>
        <v/>
      </c>
      <c r="W6" s="12" t="str">
        <f>IFERROR(__xludf.DUMMYFUNCTION("IFERROR(TEXTJOIN("", "", TRUE, FILTER(Validations!$M$2:$M$100, ISNUMBER(SEARCH(Validations!$M$2:$M$100 &amp; "" saving throw"", J6)))), """")"),"")</f>
        <v/>
      </c>
      <c r="X6" s="12"/>
      <c r="Y6" s="12"/>
      <c r="Z6" s="12" t="str">
        <f>IFERROR(__xludf.DUMMYFUNCTION("IFERROR(TEXTJOIN("", "", TRUE, FILTER(Validations!$N$2:$N$100, ISNUMBER(SEARCH(Validations!$N$2:$N$100 &amp; "" check"", J6)))), """")"),"")</f>
        <v/>
      </c>
      <c r="AA6" s="12" t="str">
        <f>IFERROR(__xludf.DUMMYFUNCTION("IFERROR(TEXTJOIN("", "", TRUE, FILTER(Validations!$N$2:$N$100, ISNUMBER(SEARCH(Validations!$N$2:$N$100 &amp; "" check"", W6)))), """")"),"")</f>
        <v/>
      </c>
      <c r="AB6" s="23" t="str">
        <f>IFERROR(__xludf.DUMMYFUNCTION("IFERROR(CONCATENATE(IF(ISNUMBER(SEARCH(Validations!$M$2:$M$100 &amp; "" spell save"", J6)),""Spell Save"",""""), REGEXEXTRACT(J6, ""DC (\d+)"")), """")"),"")</f>
        <v/>
      </c>
      <c r="AC6" s="24" t="b">
        <v>0</v>
      </c>
      <c r="AD6" s="24" t="b">
        <v>0</v>
      </c>
      <c r="AE6" s="36" t="s">
        <v>69</v>
      </c>
      <c r="AF6" s="25">
        <f>IFERROR(__xludf.DUMMYFUNCTION("IFERROR(VALUE(REGEXEXTRACT(AE6, ""\d+"")), 1)"),1.0)</f>
        <v>1</v>
      </c>
      <c r="AG6" s="12" t="str">
        <f>IFERROR(__xludf.DUMMYFUNCTION("IF(
  ISNUMBER(SEARCH(""Bonus Action"", AE6)),
  ""Bonus Action"",
  IF(
    ISNUMBER(SEARCH(""Reaction"", AE6)),
    ""Reaction"",
    IF(
      ISNUMBER(SEARCH(""Action"", AE6)),
      ""Action"",
      TEXTJOIN("", "", TRUE, FILTER(Validations!$S$2:$S$"&amp;"100, ISNUMBER(SEARCH(Validations!$S$2:$S$100, AE6))))
    )
  )
)"),"Action")</f>
        <v>Action</v>
      </c>
      <c r="AH6" s="36"/>
      <c r="AI6" s="20" t="s">
        <v>87</v>
      </c>
      <c r="AJ6" s="26" t="str">
        <f>IFERROR(__xludf.DUMMYFUNCTION("TEXTJOIN("", "", TRUE, FILTER(Validations!$T$2:$T$100, ISNUMBER(SEARCH(Validations!$T$2:$T$100, AI6))))"),"")</f>
        <v/>
      </c>
      <c r="AK6" s="26">
        <f>IFERROR(__xludf.DUMMYFUNCTION("IFERROR(VALUE(REGEXEXTRACT(AI6, ""\d+"")), """")"),1.0)</f>
        <v>1</v>
      </c>
      <c r="AL6" s="26" t="str">
        <f>IFERROR(__xludf.DUMMYFUNCTION("TEXTJOIN("", "", TRUE, FILTER(Validations!$U$2:$U$100, ISNUMBER(SEARCH(Validations!$U$2:$U$100, AI6))))"),"Rounds")</f>
        <v>Rounds</v>
      </c>
      <c r="AM6" s="24" t="b">
        <f t="shared" si="1"/>
        <v>0</v>
      </c>
      <c r="AN6" s="24" t="b">
        <v>0</v>
      </c>
      <c r="AO6" s="22" t="s">
        <v>99</v>
      </c>
      <c r="AP6" s="12" t="str">
        <f>IFERROR(__xludf.DUMMYFUNCTION("IF(TEXTJOIN("", "", TRUE, FILTER(Validations!$Q$2:$Q$100, ISNUMBER(SEARCH(Validations!$Q$2:$Q$100, AO6)))) = """", Validations!$Q$2, TEXTJOIN("", "", TRUE, FILTER(Validations!$Q$2:$Q$100, ISNUMBER(SEARCH(Validations!$Q$2:$Q$100, AO6)))))"),"Point")</f>
        <v>Point</v>
      </c>
      <c r="AQ6" s="12">
        <f>IFERROR(__xludf.DUMMYFUNCTION("IFERROR(VALUE(REGEXEXTRACT(AO6, ""\d+"")), """")"),5.0)</f>
        <v>5</v>
      </c>
      <c r="AR6" s="12" t="str">
        <f>IFERROR(__xludf.DUMMYFUNCTION("TEXTJOIN("", "", TRUE, FILTER(Validations!$R$2:$R$100, ISNUMBER(SEARCH(Validations!$R$2:$R$100, AO6))))"),"Feet")</f>
        <v>Feet</v>
      </c>
      <c r="AS6" s="27"/>
      <c r="AT6" s="12" t="str">
        <f>IFERROR(__xludf.DUMMYFUNCTION("IFERROR(TEXTJOIN("", "", TRUE, FILTER(Validations!$I$2:$I$100, ISNUMBER(SEARCH(Validations!$I$2:$I$100, AS6)))), """")"),"")</f>
        <v/>
      </c>
      <c r="AU6" s="16" t="str">
        <f t="array" ref="AU6">IFERROR(INDEX(Validations!$J$2:$J$100, MATCH(TRUE, ISNUMBER(SEARCH(Validations!$I$2:$I$100, AT6)), 0)), "")</f>
        <v/>
      </c>
      <c r="AV6" s="12" t="str">
        <f>IFERROR(__xludf.DUMMYFUNCTION("IFERROR(VALUE(REGEXEXTRACT(AS6, ""\d+"")), """")"),"")</f>
        <v/>
      </c>
      <c r="AW6" s="12" t="str">
        <f>IFERROR(__xludf.DUMMYFUNCTION("IFERROR(TEXTJOIN("", "", TRUE, FILTER(Validations!$Q$2:$Q$100, ISNUMBER(SEARCH(Validations!$Q$2:$Q$100, AS6)))), """")"),"")</f>
        <v/>
      </c>
      <c r="AX6" s="28" t="s">
        <v>80</v>
      </c>
      <c r="AY6" s="28" t="str">
        <f>IFERROR(__xludf.DUMMYFUNCTION("TEXTJOIN("", "", TRUE, FILTER(Validations!$Y$2:$Y$100, ISNUMBER(SEARCH(Validations!$X$2:$X$100, AX6))))"),"S, R")</f>
        <v>S, R</v>
      </c>
      <c r="AZ6" s="20" t="s">
        <v>100</v>
      </c>
      <c r="BA6" s="22"/>
      <c r="BB6" s="22"/>
      <c r="BC6" s="22"/>
      <c r="BD6" s="22"/>
      <c r="BE6" s="27"/>
      <c r="BF6" s="22"/>
      <c r="BG6" s="27"/>
      <c r="BH6" s="27"/>
      <c r="BI6" s="12" t="str">
        <f>IFERROR(__xludf.DUMMYFUNCTION("IFERROR(TEXTJOIN("", "", TRUE, FILTER(SRD!$A$2:$A$1000, EXACT(SRD!$A$2:$A$1000, J6))), """")"),"")</f>
        <v/>
      </c>
      <c r="BJ6" s="29"/>
      <c r="BK6" s="29"/>
    </row>
    <row r="7">
      <c r="A7" s="11" t="s">
        <v>101</v>
      </c>
      <c r="B7" s="12"/>
      <c r="C7" s="13"/>
      <c r="D7" s="13" t="s">
        <v>62</v>
      </c>
      <c r="E7" s="13"/>
      <c r="F7" s="14" t="s">
        <v>102</v>
      </c>
      <c r="G7" s="15" t="s">
        <v>64</v>
      </c>
      <c r="H7" s="31" t="s">
        <v>103</v>
      </c>
      <c r="I7" s="16" t="str">
        <f t="array" ref="I7">INDEX(Validations!$C$2:$C$100, MATCH(TRUE, ISNUMBER(SEARCH(Validations!$B$2:$B$100, H7)), 0))</f>
        <v>C</v>
      </c>
      <c r="J7" s="17" t="s">
        <v>104</v>
      </c>
      <c r="K7" s="18"/>
      <c r="L7" s="17"/>
      <c r="M7" s="37"/>
      <c r="N7" s="27"/>
      <c r="O7" s="17"/>
      <c r="P7" s="21"/>
      <c r="Q7" s="21"/>
      <c r="R7" s="22"/>
      <c r="S7" s="17" t="str">
        <f>IFERROR(__xludf.DUMMYFUNCTION("IFERROR(REGEXEXTRACT(J7, ""(\d{1,3}[dD]\d{1,3})""), """")"),"")</f>
        <v/>
      </c>
      <c r="T7" s="17" t="str">
        <f>IFERROR(__xludf.DUMMYFUNCTION("IF(COUNTIF(ARRAYFORMULA(LOWER(Validations!$O$2:$O$100)), LOWER(REGEXEXTRACT(J7, ""\d{1,3}[dD]\d{1,3}\s+(\w+)"")))&gt;0, REGEXEXTRACT(J7, ""\d{1,3}[dD]\d{1,3}\s+(\w+)""), """")"),"")</f>
        <v/>
      </c>
      <c r="U7" s="17" t="str">
        <f>IFERROR(__xludf.DUMMYFUNCTION("IF(COUNTIF(ARRAYFORMULA(LOWER(Validations!$P$2:$P$100)), LOWER(REGEXEXTRACT(J7, ""\d{1,3}[dD]\d{1,3}\s+(\w+)"")))&gt;0, REGEXEXTRACT(J7, ""\d{1,3}[dD]\d{1,3}\s+(\w+)""), """")"),"")</f>
        <v/>
      </c>
      <c r="V7" s="12" t="str">
        <f>IFERROR(__xludf.DUMMYFUNCTION("TEXTJOIN("", "", TRUE, FILTER(Validations!$L$2:$L$100, ISNUMBER(SEARCH(Validations!$L$2:$L$100, J7))))"),"")</f>
        <v/>
      </c>
      <c r="W7" s="12" t="str">
        <f>IFERROR(__xludf.DUMMYFUNCTION("IFERROR(TEXTJOIN("", "", TRUE, FILTER(Validations!$M$2:$M$100, ISNUMBER(SEARCH(Validations!$M$2:$M$100 &amp; "" saving throw"", J7)))), """")"),"")</f>
        <v/>
      </c>
      <c r="X7" s="12"/>
      <c r="Y7" s="12"/>
      <c r="Z7" s="12" t="str">
        <f>IFERROR(__xludf.DUMMYFUNCTION("IFERROR(TEXTJOIN("", "", TRUE, FILTER(Validations!$N$2:$N$100, ISNUMBER(SEARCH(Validations!$N$2:$N$100 &amp; "" check"", J7)))), """")"),"")</f>
        <v/>
      </c>
      <c r="AA7" s="12" t="str">
        <f>IFERROR(__xludf.DUMMYFUNCTION("IFERROR(TEXTJOIN("", "", TRUE, FILTER(Validations!$N$2:$N$100, ISNUMBER(SEARCH(Validations!$N$2:$N$100 &amp; "" check"", W7)))), """")"),"")</f>
        <v/>
      </c>
      <c r="AB7" s="23" t="str">
        <f>IFERROR(__xludf.DUMMYFUNCTION("IFERROR(CONCATENATE(IF(ISNUMBER(SEARCH(Validations!$M$2:$M$100 &amp; "" spell save"", J7)),""Spell Save"",""""), REGEXEXTRACT(J7, ""DC (\d+)"")), """")"),"")</f>
        <v/>
      </c>
      <c r="AC7" s="24" t="b">
        <v>0</v>
      </c>
      <c r="AD7" s="24" t="b">
        <v>0</v>
      </c>
      <c r="AE7" s="12" t="s">
        <v>69</v>
      </c>
      <c r="AF7" s="25">
        <f>IFERROR(__xludf.DUMMYFUNCTION("IFERROR(VALUE(REGEXEXTRACT(AE7, ""\d+"")), 1)"),1.0)</f>
        <v>1</v>
      </c>
      <c r="AG7" s="12" t="str">
        <f>IFERROR(__xludf.DUMMYFUNCTION("IF(
  ISNUMBER(SEARCH(""Bonus Action"", AE7)),
  ""Bonus Action"",
  IF(
    ISNUMBER(SEARCH(""Reaction"", AE7)),
    ""Reaction"",
    IF(
      ISNUMBER(SEARCH(""Action"", AE7)),
      ""Action"",
      TEXTJOIN("", "", TRUE, FILTER(Validations!$S$2:$S$"&amp;"100, ISNUMBER(SEARCH(Validations!$S$2:$S$100, AE7))))
    )
  )
)"),"Action")</f>
        <v>Action</v>
      </c>
      <c r="AH7" s="12"/>
      <c r="AI7" s="26" t="s">
        <v>70</v>
      </c>
      <c r="AJ7" s="26" t="str">
        <f>IFERROR(__xludf.DUMMYFUNCTION("TEXTJOIN("", "", TRUE, FILTER(Validations!$T$2:$T$100, ISNUMBER(SEARCH(Validations!$T$2:$T$100, AI7))))"),"Instantaneous")</f>
        <v>Instantaneous</v>
      </c>
      <c r="AK7" s="26" t="str">
        <f>IFERROR(__xludf.DUMMYFUNCTION("IFERROR(VALUE(REGEXEXTRACT(AI7, ""\d+"")), """")"),"")</f>
        <v/>
      </c>
      <c r="AL7" s="26" t="str">
        <f>IFERROR(__xludf.DUMMYFUNCTION("TEXTJOIN("", "", TRUE, FILTER(Validations!$U$2:$U$100, ISNUMBER(SEARCH(Validations!$U$2:$U$100, AI7))))"),"")</f>
        <v/>
      </c>
      <c r="AM7" s="24" t="b">
        <f t="shared" si="1"/>
        <v>0</v>
      </c>
      <c r="AN7" s="24" t="b">
        <v>0</v>
      </c>
      <c r="AO7" s="36" t="s">
        <v>105</v>
      </c>
      <c r="AP7" s="12" t="str">
        <f>IFERROR(__xludf.DUMMYFUNCTION("IF(TEXTJOIN("", "", TRUE, FILTER(Validations!$Q$2:$Q$100, ISNUMBER(SEARCH(Validations!$Q$2:$Q$100, AO7)))) = """", Validations!$Q$2, TEXTJOIN("", "", TRUE, FILTER(Validations!$Q$2:$Q$100, ISNUMBER(SEARCH(Validations!$Q$2:$Q$100, AO7)))))"),"Point")</f>
        <v>Point</v>
      </c>
      <c r="AQ7" s="12">
        <f>IFERROR(__xludf.DUMMYFUNCTION("IFERROR(VALUE(REGEXEXTRACT(AO7, ""\d+"")), """")"),10.0)</f>
        <v>10</v>
      </c>
      <c r="AR7" s="12" t="str">
        <f>IFERROR(__xludf.DUMMYFUNCTION("TEXTJOIN("", "", TRUE, FILTER(Validations!$R$2:$R$100, ISNUMBER(SEARCH(Validations!$R$2:$R$100, AO7))))"),"Feet")</f>
        <v>Feet</v>
      </c>
      <c r="AS7" s="27"/>
      <c r="AT7" s="12" t="str">
        <f>IFERROR(__xludf.DUMMYFUNCTION("IFERROR(TEXTJOIN("", "", TRUE, FILTER(Validations!$I$2:$I$100, ISNUMBER(SEARCH(Validations!$I$2:$I$100, AS7)))), """")"),"")</f>
        <v/>
      </c>
      <c r="AU7" s="16" t="str">
        <f t="array" ref="AU7">IFERROR(INDEX(Validations!$J$2:$J$100, MATCH(TRUE, ISNUMBER(SEARCH(Validations!$I$2:$I$100, AT7)), 0)), "")</f>
        <v/>
      </c>
      <c r="AV7" s="12" t="str">
        <f>IFERROR(__xludf.DUMMYFUNCTION("IFERROR(VALUE(REGEXEXTRACT(AS7, ""\d+"")), """")"),"")</f>
        <v/>
      </c>
      <c r="AW7" s="12" t="str">
        <f>IFERROR(__xludf.DUMMYFUNCTION("IFERROR(TEXTJOIN("", "", TRUE, FILTER(Validations!$Q$2:$Q$100, ISNUMBER(SEARCH(Validations!$Q$2:$Q$100, AS7)))), """")"),"")</f>
        <v/>
      </c>
      <c r="AX7" s="28" t="s">
        <v>106</v>
      </c>
      <c r="AY7" s="28" t="str">
        <f>IFERROR(__xludf.DUMMYFUNCTION("TEXTJOIN("", "", TRUE, FILTER(Validations!$Y$2:$Y$100, ISNUMBER(SEARCH(Validations!$X$2:$X$100, AX7))))"),"S")</f>
        <v>S</v>
      </c>
      <c r="AZ7" s="26"/>
      <c r="BA7" s="12"/>
      <c r="BB7" s="22"/>
      <c r="BC7" s="22"/>
      <c r="BD7" s="22"/>
      <c r="BE7" s="27"/>
      <c r="BF7" s="22"/>
      <c r="BG7" s="27"/>
      <c r="BH7" s="27"/>
      <c r="BI7" s="12" t="str">
        <f>IFERROR(__xludf.DUMMYFUNCTION("IFERROR(TEXTJOIN("", "", TRUE, FILTER(SRD!$A$2:$A$1000, EXACT(SRD!$A$2:$A$1000, J7))), """")"),"")</f>
        <v/>
      </c>
      <c r="BJ7" s="29"/>
      <c r="BK7" s="29"/>
    </row>
    <row r="8">
      <c r="A8" s="38" t="s">
        <v>107</v>
      </c>
      <c r="B8" s="12"/>
      <c r="C8" s="13"/>
      <c r="D8" s="13" t="s">
        <v>62</v>
      </c>
      <c r="E8" s="13"/>
      <c r="F8" s="39" t="s">
        <v>108</v>
      </c>
      <c r="G8" s="15" t="s">
        <v>64</v>
      </c>
      <c r="H8" s="16" t="s">
        <v>103</v>
      </c>
      <c r="I8" s="16" t="str">
        <f t="array" ref="I8">INDEX(Validations!$C$2:$C$100, MATCH(TRUE, ISNUMBER(SEARCH(Validations!$B$2:$B$100, H8)), 0))</f>
        <v>C</v>
      </c>
      <c r="J8" s="17" t="s">
        <v>109</v>
      </c>
      <c r="K8" s="18"/>
      <c r="L8" s="17" t="s">
        <v>110</v>
      </c>
      <c r="M8" s="37" t="s">
        <v>111</v>
      </c>
      <c r="N8" s="27"/>
      <c r="O8" s="17"/>
      <c r="P8" s="21"/>
      <c r="Q8" s="21"/>
      <c r="R8" s="22"/>
      <c r="S8" s="17" t="str">
        <f>IFERROR(__xludf.DUMMYFUNCTION("IFERROR(REGEXEXTRACT(J8, ""(\d{1,3}[dD]\d{1,3})""), """")"),"")</f>
        <v/>
      </c>
      <c r="T8" s="17" t="str">
        <f>IFERROR(__xludf.DUMMYFUNCTION("IF(COUNTIF(ARRAYFORMULA(LOWER(Validations!$O$2:$O$100)), LOWER(REGEXEXTRACT(J8, ""\d{1,3}[dD]\d{1,3}\s+(\w+)"")))&gt;0, REGEXEXTRACT(J8, ""\d{1,3}[dD]\d{1,3}\s+(\w+)""), """")"),"")</f>
        <v/>
      </c>
      <c r="U8" s="17" t="str">
        <f>IFERROR(__xludf.DUMMYFUNCTION("IF(COUNTIF(ARRAYFORMULA(LOWER(Validations!$P$2:$P$100)), LOWER(REGEXEXTRACT(J8, ""\d{1,3}[dD]\d{1,3}\s+(\w+)"")))&gt;0, REGEXEXTRACT(J8, ""\d{1,3}[dD]\d{1,3}\s+(\w+)""), """")"),"")</f>
        <v/>
      </c>
      <c r="V8" s="12" t="str">
        <f>IFERROR(__xludf.DUMMYFUNCTION("TEXTJOIN("", "", TRUE, FILTER(Validations!$L$2:$L$100, ISNUMBER(SEARCH(Validations!$L$2:$L$100, J8))))"),"")</f>
        <v/>
      </c>
      <c r="W8" s="12" t="str">
        <f>IFERROR(__xludf.DUMMYFUNCTION("IFERROR(TEXTJOIN("", "", TRUE, FILTER(Validations!$M$2:$M$100, ISNUMBER(SEARCH(Validations!$M$2:$M$100 &amp; "" saving throw"", J8)))), """")"),"")</f>
        <v/>
      </c>
      <c r="X8" s="12"/>
      <c r="Y8" s="12"/>
      <c r="Z8" s="12" t="str">
        <f>IFERROR(__xludf.DUMMYFUNCTION("IFERROR(TEXTJOIN("", "", TRUE, FILTER(Validations!$N$2:$N$100, ISNUMBER(SEARCH(Validations!$N$2:$N$100 &amp; "" check"", J8)))), """")"),"")</f>
        <v/>
      </c>
      <c r="AA8" s="12" t="str">
        <f>IFERROR(__xludf.DUMMYFUNCTION("IFERROR(TEXTJOIN("", "", TRUE, FILTER(Validations!$N$2:$N$100, ISNUMBER(SEARCH(Validations!$N$2:$N$100 &amp; "" check"", W8)))), """")"),"")</f>
        <v/>
      </c>
      <c r="AB8" s="23" t="str">
        <f>IFERROR(__xludf.DUMMYFUNCTION("IFERROR(CONCATENATE(IF(ISNUMBER(SEARCH(Validations!$M$2:$M$100 &amp; "" spell save"", J8)),""Spell Save"",""""), REGEXEXTRACT(J8, ""DC (\d+)"")), """")"),"")</f>
        <v/>
      </c>
      <c r="AC8" s="24" t="b">
        <v>0</v>
      </c>
      <c r="AD8" s="24" t="b">
        <v>0</v>
      </c>
      <c r="AE8" s="12" t="s">
        <v>69</v>
      </c>
      <c r="AF8" s="25">
        <f>IFERROR(__xludf.DUMMYFUNCTION("IFERROR(VALUE(REGEXEXTRACT(AE8, ""\d+"")), 1)"),1.0)</f>
        <v>1</v>
      </c>
      <c r="AG8" s="12" t="str">
        <f>IFERROR(__xludf.DUMMYFUNCTION("IF(
  ISNUMBER(SEARCH(""Bonus Action"", AE8)),
  ""Bonus Action"",
  IF(
    ISNUMBER(SEARCH(""Reaction"", AE8)),
    ""Reaction"",
    IF(
      ISNUMBER(SEARCH(""Action"", AE8)),
      ""Action"",
      TEXTJOIN("", "", TRUE, FILTER(Validations!$S$2:$S$"&amp;"100, ISNUMBER(SEARCH(Validations!$S$2:$S$100, AE8))))
    )
  )
)"),"Action")</f>
        <v>Action</v>
      </c>
      <c r="AH8" s="12"/>
      <c r="AI8" s="26" t="s">
        <v>70</v>
      </c>
      <c r="AJ8" s="26" t="str">
        <f>IFERROR(__xludf.DUMMYFUNCTION("TEXTJOIN("", "", TRUE, FILTER(Validations!$T$2:$T$100, ISNUMBER(SEARCH(Validations!$T$2:$T$100, AI8))))"),"Instantaneous")</f>
        <v>Instantaneous</v>
      </c>
      <c r="AK8" s="26" t="str">
        <f>IFERROR(__xludf.DUMMYFUNCTION("IFERROR(VALUE(REGEXEXTRACT(AI8, ""\d+"")), """")"),"")</f>
        <v/>
      </c>
      <c r="AL8" s="26" t="str">
        <f>IFERROR(__xludf.DUMMYFUNCTION("TEXTJOIN("", "", TRUE, FILTER(Validations!$U$2:$U$100, ISNUMBER(SEARCH(Validations!$U$2:$U$100, AI8))))"),"")</f>
        <v/>
      </c>
      <c r="AM8" s="24" t="b">
        <f t="shared" si="1"/>
        <v>0</v>
      </c>
      <c r="AN8" s="24" t="b">
        <v>0</v>
      </c>
      <c r="AO8" s="36" t="s">
        <v>112</v>
      </c>
      <c r="AP8" s="12" t="str">
        <f>IFERROR(__xludf.DUMMYFUNCTION("IF(TEXTJOIN("", "", TRUE, FILTER(Validations!$Q$2:$Q$100, ISNUMBER(SEARCH(Validations!$Q$2:$Q$100, AO8)))) = """", Validations!$Q$2, TEXTJOIN("", "", TRUE, FILTER(Validations!$Q$2:$Q$100, ISNUMBER(SEARCH(Validations!$Q$2:$Q$100, AO8)))))"),"Point")</f>
        <v>Point</v>
      </c>
      <c r="AQ8" s="12">
        <f>IFERROR(__xludf.DUMMYFUNCTION("IFERROR(VALUE(REGEXEXTRACT(AO8, ""\d+"")), """")"),30.0)</f>
        <v>30</v>
      </c>
      <c r="AR8" s="12" t="str">
        <f>IFERROR(__xludf.DUMMYFUNCTION("TEXTJOIN("", "", TRUE, FILTER(Validations!$R$2:$R$100, ISNUMBER(SEARCH(Validations!$R$2:$R$100, AO8))))"),"Feet")</f>
        <v>Feet</v>
      </c>
      <c r="AS8" s="27"/>
      <c r="AT8" s="12" t="str">
        <f>IFERROR(__xludf.DUMMYFUNCTION("IFERROR(TEXTJOIN("", "", TRUE, FILTER(Validations!$I$2:$I$100, ISNUMBER(SEARCH(Validations!$I$2:$I$100, AS8)))), """")"),"")</f>
        <v/>
      </c>
      <c r="AU8" s="16" t="str">
        <f t="array" ref="AU8">IFERROR(INDEX(Validations!$J$2:$J$100, MATCH(TRUE, ISNUMBER(SEARCH(Validations!$I$2:$I$100, AT8)), 0)), "")</f>
        <v/>
      </c>
      <c r="AV8" s="12" t="str">
        <f>IFERROR(__xludf.DUMMYFUNCTION("IFERROR(VALUE(REGEXEXTRACT(AS8, ""\d+"")), """")"),"")</f>
        <v/>
      </c>
      <c r="AW8" s="12" t="str">
        <f>IFERROR(__xludf.DUMMYFUNCTION("IFERROR(TEXTJOIN("", "", TRUE, FILTER(Validations!$Q$2:$Q$100, ISNUMBER(SEARCH(Validations!$Q$2:$Q$100, AS8)))), """")"),"")</f>
        <v/>
      </c>
      <c r="AX8" s="28" t="s">
        <v>72</v>
      </c>
      <c r="AY8" s="28" t="str">
        <f>IFERROR(__xludf.DUMMYFUNCTION("TEXTJOIN("", "", TRUE, FILTER(Validations!$Y$2:$Y$100, ISNUMBER(SEARCH(Validations!$X$2:$X$100, AX8))))"),"V, S")</f>
        <v>V, S</v>
      </c>
      <c r="AZ8" s="26"/>
      <c r="BA8" s="12"/>
      <c r="BB8" s="22"/>
      <c r="BC8" s="22"/>
      <c r="BD8" s="22"/>
      <c r="BE8" s="27"/>
      <c r="BF8" s="22"/>
      <c r="BG8" s="27"/>
      <c r="BH8" s="27"/>
      <c r="BI8" s="12" t="str">
        <f>IFERROR(__xludf.DUMMYFUNCTION("IFERROR(TEXTJOIN("", "", TRUE, FILTER(SRD!$A$2:$A$1000, EXACT(SRD!$A$2:$A$1000, J8))), """")"),"")</f>
        <v/>
      </c>
      <c r="BJ8" s="29"/>
      <c r="BK8" s="29"/>
    </row>
    <row r="9">
      <c r="A9" s="30" t="s">
        <v>113</v>
      </c>
      <c r="B9" s="22"/>
      <c r="C9" s="31"/>
      <c r="D9" s="31" t="s">
        <v>18</v>
      </c>
      <c r="E9" s="31"/>
      <c r="F9" s="32" t="s">
        <v>114</v>
      </c>
      <c r="G9" s="15" t="s">
        <v>64</v>
      </c>
      <c r="H9" s="31" t="s">
        <v>65</v>
      </c>
      <c r="I9" s="16" t="str">
        <f t="array" ref="I9">INDEX(Validations!$C$2:$C$100, MATCH(TRUE, ISNUMBER(SEARCH(Validations!$B$2:$B$100, H9)), 0))</f>
        <v>I</v>
      </c>
      <c r="J9" s="33" t="s">
        <v>115</v>
      </c>
      <c r="K9" s="34"/>
      <c r="L9" s="33"/>
      <c r="M9" s="33"/>
      <c r="N9" s="27"/>
      <c r="O9" s="33"/>
      <c r="P9" s="35"/>
      <c r="Q9" s="35"/>
      <c r="R9" s="22"/>
      <c r="S9" s="17" t="str">
        <f>IFERROR(__xludf.DUMMYFUNCTION("IFERROR(REGEXEXTRACT(J9, ""(\d{1,3}[dD]\d{1,3})""), """")"),"")</f>
        <v/>
      </c>
      <c r="T9" s="17" t="str">
        <f>IFERROR(__xludf.DUMMYFUNCTION("IF(COUNTIF(ARRAYFORMULA(LOWER(Validations!$O$2:$O$100)), LOWER(REGEXEXTRACT(J9, ""\d{1,3}[dD]\d{1,3}\s+(\w+)"")))&gt;0, REGEXEXTRACT(J9, ""\d{1,3}[dD]\d{1,3}\s+(\w+)""), """")"),"")</f>
        <v/>
      </c>
      <c r="U9" s="17" t="str">
        <f>IFERROR(__xludf.DUMMYFUNCTION("IF(COUNTIF(ARRAYFORMULA(LOWER(Validations!$P$2:$P$100)), LOWER(REGEXEXTRACT(J9, ""\d{1,3}[dD]\d{1,3}\s+(\w+)"")))&gt;0, REGEXEXTRACT(J9, ""\d{1,3}[dD]\d{1,3}\s+(\w+)""), """")"),"")</f>
        <v/>
      </c>
      <c r="V9" s="12" t="str">
        <f>IFERROR(__xludf.DUMMYFUNCTION("TEXTJOIN("", "", TRUE, FILTER(Validations!$L$2:$L$100, ISNUMBER(SEARCH(Validations!$L$2:$L$100, J9))))"),"")</f>
        <v/>
      </c>
      <c r="W9" s="12" t="str">
        <f>IFERROR(__xludf.DUMMYFUNCTION("IFERROR(TEXTJOIN("", "", TRUE, FILTER(Validations!$M$2:$M$100, ISNUMBER(SEARCH(Validations!$M$2:$M$100 &amp; "" saving throw"", J9)))), """")"),"Intelligence")</f>
        <v>Intelligence</v>
      </c>
      <c r="X9" s="12"/>
      <c r="Y9" s="12"/>
      <c r="Z9" s="12" t="str">
        <f>IFERROR(__xludf.DUMMYFUNCTION("IFERROR(TEXTJOIN("", "", TRUE, FILTER(Validations!$N$2:$N$100, ISNUMBER(SEARCH(Validations!$N$2:$N$100 &amp; "" check"", J9)))), """")"),"")</f>
        <v/>
      </c>
      <c r="AA9" s="12" t="str">
        <f>IFERROR(__xludf.DUMMYFUNCTION("IFERROR(TEXTJOIN("", "", TRUE, FILTER(Validations!$N$2:$N$100, ISNUMBER(SEARCH(Validations!$N$2:$N$100 &amp; "" check"", W9)))), """")"),"")</f>
        <v/>
      </c>
      <c r="AB9" s="23" t="str">
        <f>IFERROR(__xludf.DUMMYFUNCTION("IFERROR(CONCATENATE(IF(ISNUMBER(SEARCH(Validations!$M$2:$M$100 &amp; "" spell save"", J9)),""Spell Save"",""""), REGEXEXTRACT(J9, ""DC (\d+)"")), """")"),"")</f>
        <v/>
      </c>
      <c r="AC9" s="24" t="b">
        <v>0</v>
      </c>
      <c r="AD9" s="24" t="b">
        <v>0</v>
      </c>
      <c r="AE9" s="36" t="s">
        <v>69</v>
      </c>
      <c r="AF9" s="25">
        <f>IFERROR(__xludf.DUMMYFUNCTION("IFERROR(VALUE(REGEXEXTRACT(AE9, ""\d+"")), 1)"),1.0)</f>
        <v>1</v>
      </c>
      <c r="AG9" s="12" t="str">
        <f>IFERROR(__xludf.DUMMYFUNCTION("IF(
  ISNUMBER(SEARCH(""Bonus Action"", AE9)),
  ""Bonus Action"",
  IF(
    ISNUMBER(SEARCH(""Reaction"", AE9)),
    ""Reaction"",
    IF(
      ISNUMBER(SEARCH(""Action"", AE9)),
      ""Action"",
      TEXTJOIN("", "", TRUE, FILTER(Validations!$S$2:$S$"&amp;"100, ISNUMBER(SEARCH(Validations!$S$2:$S$100, AE9))))
    )
  )
)"),"Action")</f>
        <v>Action</v>
      </c>
      <c r="AH9" s="36"/>
      <c r="AI9" s="20" t="s">
        <v>92</v>
      </c>
      <c r="AJ9" s="26" t="str">
        <f>IFERROR(__xludf.DUMMYFUNCTION("TEXTJOIN("", "", TRUE, FILTER(Validations!$T$2:$T$100, ISNUMBER(SEARCH(Validations!$T$2:$T$100, AI9))))"),"")</f>
        <v/>
      </c>
      <c r="AK9" s="26">
        <f>IFERROR(__xludf.DUMMYFUNCTION("IFERROR(VALUE(REGEXEXTRACT(AI9, ""\d+"")), """")"),1.0)</f>
        <v>1</v>
      </c>
      <c r="AL9" s="26" t="str">
        <f>IFERROR(__xludf.DUMMYFUNCTION("TEXTJOIN("", "", TRUE, FILTER(Validations!$U$2:$U$100, ISNUMBER(SEARCH(Validations!$U$2:$U$100, AI9))))"),"Minutes")</f>
        <v>Minutes</v>
      </c>
      <c r="AM9" s="24" t="b">
        <f t="shared" si="1"/>
        <v>0</v>
      </c>
      <c r="AN9" s="24" t="b">
        <v>1</v>
      </c>
      <c r="AO9" s="22" t="s">
        <v>112</v>
      </c>
      <c r="AP9" s="12" t="str">
        <f>IFERROR(__xludf.DUMMYFUNCTION("IF(TEXTJOIN("", "", TRUE, FILTER(Validations!$Q$2:$Q$100, ISNUMBER(SEARCH(Validations!$Q$2:$Q$100, AO9)))) = """", Validations!$Q$2, TEXTJOIN("", "", TRUE, FILTER(Validations!$Q$2:$Q$100, ISNUMBER(SEARCH(Validations!$Q$2:$Q$100, AO9)))))"),"Point")</f>
        <v>Point</v>
      </c>
      <c r="AQ9" s="12">
        <f>IFERROR(__xludf.DUMMYFUNCTION("IFERROR(VALUE(REGEXEXTRACT(AO9, ""\d+"")), """")"),30.0)</f>
        <v>30</v>
      </c>
      <c r="AR9" s="12" t="str">
        <f>IFERROR(__xludf.DUMMYFUNCTION("TEXTJOIN("", "", TRUE, FILTER(Validations!$R$2:$R$100, ISNUMBER(SEARCH(Validations!$R$2:$R$100, AO9))))"),"Feet")</f>
        <v>Feet</v>
      </c>
      <c r="AS9" s="27"/>
      <c r="AT9" s="12" t="str">
        <f>IFERROR(__xludf.DUMMYFUNCTION("IFERROR(TEXTJOIN("", "", TRUE, FILTER(Validations!$I$2:$I$100, ISNUMBER(SEARCH(Validations!$I$2:$I$100, AS9)))), """")"),"")</f>
        <v/>
      </c>
      <c r="AU9" s="16" t="str">
        <f t="array" ref="AU9">IFERROR(INDEX(Validations!$J$2:$J$100, MATCH(TRUE, ISNUMBER(SEARCH(Validations!$I$2:$I$100, AT9)), 0)), "")</f>
        <v/>
      </c>
      <c r="AV9" s="12" t="str">
        <f>IFERROR(__xludf.DUMMYFUNCTION("IFERROR(VALUE(REGEXEXTRACT(AS9, ""\d+"")), """")"),"")</f>
        <v/>
      </c>
      <c r="AW9" s="12" t="str">
        <f>IFERROR(__xludf.DUMMYFUNCTION("IFERROR(TEXTJOIN("", "", TRUE, FILTER(Validations!$Q$2:$Q$100, ISNUMBER(SEARCH(Validations!$Q$2:$Q$100, AS9)))), """")"),"")</f>
        <v/>
      </c>
      <c r="AX9" s="28" t="s">
        <v>80</v>
      </c>
      <c r="AY9" s="28" t="str">
        <f>IFERROR(__xludf.DUMMYFUNCTION("TEXTJOIN("", "", TRUE, FILTER(Validations!$Y$2:$Y$100, ISNUMBER(SEARCH(Validations!$X$2:$X$100, AX9))))"),"S, R")</f>
        <v>S, R</v>
      </c>
      <c r="AZ9" s="20" t="s">
        <v>116</v>
      </c>
      <c r="BA9" s="22"/>
      <c r="BB9" s="22"/>
      <c r="BC9" s="22"/>
      <c r="BD9" s="22"/>
      <c r="BE9" s="27"/>
      <c r="BF9" s="22"/>
      <c r="BG9" s="27"/>
      <c r="BH9" s="27"/>
      <c r="BI9" s="12" t="str">
        <f>IFERROR(__xludf.DUMMYFUNCTION("IFERROR(TEXTJOIN("", "", TRUE, FILTER(SRD!$A$2:$A$1000, EXACT(SRD!$A$2:$A$1000, J9))), """")"),"")</f>
        <v/>
      </c>
      <c r="BJ9" s="29"/>
      <c r="BK9" s="29"/>
    </row>
    <row r="10">
      <c r="A10" s="30" t="s">
        <v>117</v>
      </c>
      <c r="B10" s="22"/>
      <c r="C10" s="31"/>
      <c r="D10" s="31" t="s">
        <v>74</v>
      </c>
      <c r="E10" s="31"/>
      <c r="F10" s="32" t="s">
        <v>102</v>
      </c>
      <c r="G10" s="15" t="s">
        <v>64</v>
      </c>
      <c r="H10" s="31" t="s">
        <v>76</v>
      </c>
      <c r="I10" s="16" t="str">
        <f t="array" ref="I10">INDEX(Validations!$C$2:$C$100, MATCH(TRUE, ISNUMBER(SEARCH(Validations!$B$2:$B$100, H10)), 0))</f>
        <v>V</v>
      </c>
      <c r="J10" s="33" t="s">
        <v>118</v>
      </c>
      <c r="K10" s="34"/>
      <c r="L10" s="33"/>
      <c r="M10" s="33"/>
      <c r="N10" s="27"/>
      <c r="O10" s="33"/>
      <c r="P10" s="35"/>
      <c r="Q10" s="35"/>
      <c r="R10" s="22"/>
      <c r="S10" s="17" t="str">
        <f>IFERROR(__xludf.DUMMYFUNCTION("IFERROR(REGEXEXTRACT(J10, ""(\d{1,3}[dD]\d{1,3})""), """")"),"")</f>
        <v/>
      </c>
      <c r="T10" s="17" t="str">
        <f>IFERROR(__xludf.DUMMYFUNCTION("IF(COUNTIF(ARRAYFORMULA(LOWER(Validations!$O$2:$O$100)), LOWER(REGEXEXTRACT(J10, ""\d{1,3}[dD]\d{1,3}\s+(\w+)"")))&gt;0, REGEXEXTRACT(J10, ""\d{1,3}[dD]\d{1,3}\s+(\w+)""), """")"),"")</f>
        <v/>
      </c>
      <c r="U10" s="17" t="str">
        <f>IFERROR(__xludf.DUMMYFUNCTION("IF(COUNTIF(ARRAYFORMULA(LOWER(Validations!$P$2:$P$100)), LOWER(REGEXEXTRACT(J10, ""\d{1,3}[dD]\d{1,3}\s+(\w+)"")))&gt;0, REGEXEXTRACT(J10, ""\d{1,3}[dD]\d{1,3}\s+(\w+)""), """")"),"")</f>
        <v/>
      </c>
      <c r="V10" s="12" t="str">
        <f>IFERROR(__xludf.DUMMYFUNCTION("TEXTJOIN("", "", TRUE, FILTER(Validations!$L$2:$L$100, ISNUMBER(SEARCH(Validations!$L$2:$L$100, J10))))"),"")</f>
        <v/>
      </c>
      <c r="W10" s="12" t="str">
        <f>IFERROR(__xludf.DUMMYFUNCTION("IFERROR(TEXTJOIN("", "", TRUE, FILTER(Validations!$M$2:$M$100, ISNUMBER(SEARCH(Validations!$M$2:$M$100 &amp; "" saving throw"", J10)))), """")"),"")</f>
        <v/>
      </c>
      <c r="X10" s="12"/>
      <c r="Y10" s="12"/>
      <c r="Z10" s="12" t="str">
        <f>IFERROR(__xludf.DUMMYFUNCTION("IFERROR(TEXTJOIN("", "", TRUE, FILTER(Validations!$N$2:$N$100, ISNUMBER(SEARCH(Validations!$N$2:$N$100 &amp; "" check"", J10)))), """")"),"")</f>
        <v/>
      </c>
      <c r="AA10" s="12" t="str">
        <f>IFERROR(__xludf.DUMMYFUNCTION("IFERROR(TEXTJOIN("", "", TRUE, FILTER(Validations!$N$2:$N$100, ISNUMBER(SEARCH(Validations!$N$2:$N$100 &amp; "" check"", W10)))), """")"),"")</f>
        <v/>
      </c>
      <c r="AB10" s="23" t="str">
        <f>IFERROR(__xludf.DUMMYFUNCTION("IFERROR(CONCATENATE(IF(ISNUMBER(SEARCH(Validations!$M$2:$M$100 &amp; "" spell save"", J10)),""Spell Save"",""""), REGEXEXTRACT(J10, ""DC (\d+)"")), """")"),"")</f>
        <v/>
      </c>
      <c r="AC10" s="24" t="b">
        <v>0</v>
      </c>
      <c r="AD10" s="24" t="b">
        <v>0</v>
      </c>
      <c r="AE10" s="36" t="s">
        <v>69</v>
      </c>
      <c r="AF10" s="25">
        <f>IFERROR(__xludf.DUMMYFUNCTION("IFERROR(VALUE(REGEXEXTRACT(AE10, ""\d+"")), 1)"),1.0)</f>
        <v>1</v>
      </c>
      <c r="AG10" s="12" t="str">
        <f>IFERROR(__xludf.DUMMYFUNCTION("IF(
  ISNUMBER(SEARCH(""Bonus Action"", AE10)),
  ""Bonus Action"",
  IF(
    ISNUMBER(SEARCH(""Reaction"", AE10)),
    ""Reaction"",
    IF(
      ISNUMBER(SEARCH(""Action"", AE10)),
      ""Action"",
      TEXTJOIN("", "", TRUE, FILTER(Validations!$S$2:"&amp;"$S$100, ISNUMBER(SEARCH(Validations!$S$2:$S$100, AE10))))
    )
  )
)"),"Action")</f>
        <v>Action</v>
      </c>
      <c r="AH10" s="36"/>
      <c r="AI10" s="27" t="s">
        <v>70</v>
      </c>
      <c r="AJ10" s="26" t="str">
        <f>IFERROR(__xludf.DUMMYFUNCTION("TEXTJOIN("", "", TRUE, FILTER(Validations!$T$2:$T$100, ISNUMBER(SEARCH(Validations!$T$2:$T$100, AI10))))"),"Instantaneous")</f>
        <v>Instantaneous</v>
      </c>
      <c r="AK10" s="26" t="str">
        <f>IFERROR(__xludf.DUMMYFUNCTION("IFERROR(VALUE(REGEXEXTRACT(AI10, ""\d+"")), """")"),"")</f>
        <v/>
      </c>
      <c r="AL10" s="26" t="str">
        <f>IFERROR(__xludf.DUMMYFUNCTION("TEXTJOIN("", "", TRUE, FILTER(Validations!$U$2:$U$100, ISNUMBER(SEARCH(Validations!$U$2:$U$100, AI10))))"),"")</f>
        <v/>
      </c>
      <c r="AM10" s="24" t="b">
        <f t="shared" si="1"/>
        <v>0</v>
      </c>
      <c r="AN10" s="24" t="b">
        <v>0</v>
      </c>
      <c r="AO10" s="22" t="s">
        <v>112</v>
      </c>
      <c r="AP10" s="12" t="str">
        <f>IFERROR(__xludf.DUMMYFUNCTION("IF(TEXTJOIN("", "", TRUE, FILTER(Validations!$Q$2:$Q$100, ISNUMBER(SEARCH(Validations!$Q$2:$Q$100, AO10)))) = """", Validations!$Q$2, TEXTJOIN("", "", TRUE, FILTER(Validations!$Q$2:$Q$100, ISNUMBER(SEARCH(Validations!$Q$2:$Q$100, AO10)))))"),"Point")</f>
        <v>Point</v>
      </c>
      <c r="AQ10" s="12">
        <f>IFERROR(__xludf.DUMMYFUNCTION("IFERROR(VALUE(REGEXEXTRACT(AO10, ""\d+"")), """")"),30.0)</f>
        <v>30</v>
      </c>
      <c r="AR10" s="12" t="str">
        <f>IFERROR(__xludf.DUMMYFUNCTION("TEXTJOIN("", "", TRUE, FILTER(Validations!$R$2:$R$100, ISNUMBER(SEARCH(Validations!$R$2:$R$100, AO10))))"),"Feet")</f>
        <v>Feet</v>
      </c>
      <c r="AS10" s="27"/>
      <c r="AT10" s="12" t="str">
        <f>IFERROR(__xludf.DUMMYFUNCTION("IFERROR(TEXTJOIN("", "", TRUE, FILTER(Validations!$I$2:$I$100, ISNUMBER(SEARCH(Validations!$I$2:$I$100, AS10)))), """")"),"")</f>
        <v/>
      </c>
      <c r="AU10" s="16" t="str">
        <f t="array" ref="AU10">IFERROR(INDEX(Validations!$J$2:$J$100, MATCH(TRUE, ISNUMBER(SEARCH(Validations!$I$2:$I$100, AT10)), 0)), "")</f>
        <v/>
      </c>
      <c r="AV10" s="12" t="str">
        <f>IFERROR(__xludf.DUMMYFUNCTION("IFERROR(VALUE(REGEXEXTRACT(AS10, ""\d+"")), """")"),"")</f>
        <v/>
      </c>
      <c r="AW10" s="12" t="str">
        <f>IFERROR(__xludf.DUMMYFUNCTION("IFERROR(TEXTJOIN("", "", TRUE, FILTER(Validations!$Q$2:$Q$100, ISNUMBER(SEARCH(Validations!$Q$2:$Q$100, AS10)))), """")"),"")</f>
        <v/>
      </c>
      <c r="AX10" s="28" t="s">
        <v>119</v>
      </c>
      <c r="AY10" s="28" t="str">
        <f>IFERROR(__xludf.DUMMYFUNCTION("TEXTJOIN("", "", TRUE, FILTER(Validations!$Y$2:$Y$100, ISNUMBER(SEARCH(Validations!$X$2:$X$100, AX10))))"),"V, R")</f>
        <v>V, R</v>
      </c>
      <c r="AZ10" s="20" t="s">
        <v>120</v>
      </c>
      <c r="BA10" s="22"/>
      <c r="BB10" s="22"/>
      <c r="BC10" s="22"/>
      <c r="BD10" s="22"/>
      <c r="BE10" s="27"/>
      <c r="BF10" s="22"/>
      <c r="BG10" s="27"/>
      <c r="BH10" s="27"/>
      <c r="BI10" s="12" t="str">
        <f>IFERROR(__xludf.DUMMYFUNCTION("IFERROR(TEXTJOIN("", "", TRUE, FILTER(SRD!$A$2:$A$1000, EXACT(SRD!$A$2:$A$1000, J10))), """")"),"")</f>
        <v/>
      </c>
      <c r="BJ10" s="29"/>
      <c r="BK10" s="29"/>
    </row>
    <row r="11">
      <c r="A11" s="38" t="s">
        <v>121</v>
      </c>
      <c r="B11" s="12"/>
      <c r="C11" s="13"/>
      <c r="D11" s="13" t="s">
        <v>122</v>
      </c>
      <c r="E11" s="13"/>
      <c r="F11" s="14" t="s">
        <v>123</v>
      </c>
      <c r="G11" s="15" t="s">
        <v>64</v>
      </c>
      <c r="H11" s="31" t="s">
        <v>76</v>
      </c>
      <c r="I11" s="16" t="str">
        <f t="array" ref="I11">INDEX(Validations!$C$2:$C$100, MATCH(TRUE, ISNUMBER(SEARCH(Validations!$B$2:$B$100, H11)), 0))</f>
        <v>V</v>
      </c>
      <c r="J11" s="17" t="s">
        <v>124</v>
      </c>
      <c r="K11" s="18"/>
      <c r="L11" s="17"/>
      <c r="M11" s="37"/>
      <c r="N11" s="20" t="s">
        <v>125</v>
      </c>
      <c r="O11" s="17" t="s">
        <v>126</v>
      </c>
      <c r="P11" s="21"/>
      <c r="Q11" s="21"/>
      <c r="R11" s="22"/>
      <c r="S11" s="17" t="str">
        <f>IFERROR(__xludf.DUMMYFUNCTION("IFERROR(REGEXEXTRACT(J11, ""(\d{1,3}[dD]\d{1,3})""), """")"),"2d6")</f>
        <v>2d6</v>
      </c>
      <c r="T11" s="17" t="str">
        <f>IFERROR(__xludf.DUMMYFUNCTION("IF(COUNTIF(ARRAYFORMULA(LOWER(Validations!$O$2:$O$100)), LOWER(REGEXEXTRACT(J11, ""\d{1,3}[dD]\d{1,3}\s+(\w+)"")))&gt;0, REGEXEXTRACT(J11, ""\d{1,3}[dD]\d{1,3}\s+(\w+)""), """")"),"impact")</f>
        <v>impact</v>
      </c>
      <c r="U11" s="17" t="str">
        <f>IFERROR(__xludf.DUMMYFUNCTION("IF(COUNTIF(ARRAYFORMULA(LOWER(Validations!$P$2:$P$100)), LOWER(REGEXEXTRACT(J11, ""\d{1,3}[dD]\d{1,3}\s+(\w+)"")))&gt;0, REGEXEXTRACT(J11, ""\d{1,3}[dD]\d{1,3}\s+(\w+)""), """")"),"")</f>
        <v/>
      </c>
      <c r="V11" s="12" t="str">
        <f>IFERROR(__xludf.DUMMYFUNCTION("TEXTJOIN("", "", TRUE, FILTER(Validations!$L$2:$L$100, ISNUMBER(SEARCH(Validations!$L$2:$L$100, J11))))"),"Prone")</f>
        <v>Prone</v>
      </c>
      <c r="W11" s="12" t="str">
        <f>IFERROR(__xludf.DUMMYFUNCTION("IFERROR(TEXTJOIN("", "", TRUE, FILTER(Validations!$M$2:$M$100, ISNUMBER(SEARCH(Validations!$M$2:$M$100 &amp; "" saving throw"", J11)))), """")"),"Dexterity")</f>
        <v>Dexterity</v>
      </c>
      <c r="X11" s="12"/>
      <c r="Y11" s="12"/>
      <c r="Z11" s="12" t="str">
        <f>IFERROR(__xludf.DUMMYFUNCTION("IFERROR(TEXTJOIN("", "", TRUE, FILTER(Validations!$N$2:$N$100, ISNUMBER(SEARCH(Validations!$N$2:$N$100 &amp; "" check"", J11)))), """")"),"")</f>
        <v/>
      </c>
      <c r="AA11" s="12" t="str">
        <f>IFERROR(__xludf.DUMMYFUNCTION("IFERROR(TEXTJOIN("", "", TRUE, FILTER(Validations!$N$2:$N$100, ISNUMBER(SEARCH(Validations!$N$2:$N$100 &amp; "" check"", W11)))), """")"),"")</f>
        <v/>
      </c>
      <c r="AB11" s="23" t="str">
        <f>IFERROR(__xludf.DUMMYFUNCTION("IFERROR(CONCATENATE(IF(ISNUMBER(SEARCH(Validations!$M$2:$M$100 &amp; "" spell save"", J11)),""Spell Save"",""""), REGEXEXTRACT(J11, ""DC (\d+)"")), """")"),"")</f>
        <v/>
      </c>
      <c r="AC11" s="24" t="b">
        <v>0</v>
      </c>
      <c r="AD11" s="24" t="b">
        <v>0</v>
      </c>
      <c r="AE11" s="12" t="s">
        <v>69</v>
      </c>
      <c r="AF11" s="25">
        <f>IFERROR(__xludf.DUMMYFUNCTION("IFERROR(VALUE(REGEXEXTRACT(AE11, ""\d+"")), 1)"),1.0)</f>
        <v>1</v>
      </c>
      <c r="AG11" s="12" t="str">
        <f>IFERROR(__xludf.DUMMYFUNCTION("IF(
  ISNUMBER(SEARCH(""Bonus Action"", AE11)),
  ""Bonus Action"",
  IF(
    ISNUMBER(SEARCH(""Reaction"", AE11)),
    ""Reaction"",
    IF(
      ISNUMBER(SEARCH(""Action"", AE11)),
      ""Action"",
      TEXTJOIN("", "", TRUE, FILTER(Validations!$S$2:"&amp;"$S$100, ISNUMBER(SEARCH(Validations!$S$2:$S$100, AE11))))
    )
  )
)"),"Action")</f>
        <v>Action</v>
      </c>
      <c r="AH11" s="12"/>
      <c r="AI11" s="26" t="s">
        <v>70</v>
      </c>
      <c r="AJ11" s="26" t="str">
        <f>IFERROR(__xludf.DUMMYFUNCTION("TEXTJOIN("", "", TRUE, FILTER(Validations!$T$2:$T$100, ISNUMBER(SEARCH(Validations!$T$2:$T$100, AI11))))"),"Instantaneous")</f>
        <v>Instantaneous</v>
      </c>
      <c r="AK11" s="26" t="str">
        <f>IFERROR(__xludf.DUMMYFUNCTION("IFERROR(VALUE(REGEXEXTRACT(AI11, ""\d+"")), """")"),"")</f>
        <v/>
      </c>
      <c r="AL11" s="26" t="str">
        <f>IFERROR(__xludf.DUMMYFUNCTION("TEXTJOIN("", "", TRUE, FILTER(Validations!$U$2:$U$100, ISNUMBER(SEARCH(Validations!$U$2:$U$100, AI11))))"),"")</f>
        <v/>
      </c>
      <c r="AM11" s="24" t="b">
        <f t="shared" si="1"/>
        <v>0</v>
      </c>
      <c r="AN11" s="24" t="b">
        <v>1</v>
      </c>
      <c r="AO11" s="36" t="s">
        <v>78</v>
      </c>
      <c r="AP11" s="12" t="str">
        <f>IFERROR(__xludf.DUMMYFUNCTION("IF(TEXTJOIN("", "", TRUE, FILTER(Validations!$Q$2:$Q$100, ISNUMBER(SEARCH(Validations!$Q$2:$Q$100, AO11)))) = """", Validations!$Q$2, TEXTJOIN("", "", TRUE, FILTER(Validations!$Q$2:$Q$100, ISNUMBER(SEARCH(Validations!$Q$2:$Q$100, AO11)))))"),"Point")</f>
        <v>Point</v>
      </c>
      <c r="AQ11" s="12" t="str">
        <f>IFERROR(__xludf.DUMMYFUNCTION("IFERROR(VALUE(REGEXEXTRACT(AO11, ""\d+"")), """")"),"")</f>
        <v/>
      </c>
      <c r="AR11" s="12" t="str">
        <f>IFERROR(__xludf.DUMMYFUNCTION("TEXTJOIN("", "", TRUE, FILTER(Validations!$R$2:$R$100, ISNUMBER(SEARCH(Validations!$R$2:$R$100, AO11))))"),"Self")</f>
        <v>Self</v>
      </c>
      <c r="AS11" s="26" t="s">
        <v>127</v>
      </c>
      <c r="AT11" s="12" t="str">
        <f>IFERROR(__xludf.DUMMYFUNCTION("IFERROR(TEXTJOIN("", "", TRUE, FILTER(Validations!$I$2:$I$100, ISNUMBER(SEARCH(Validations!$I$2:$I$100, AS11)))), """")"),"")</f>
        <v/>
      </c>
      <c r="AU11" s="16" t="str">
        <f t="array" ref="AU11">IFERROR(INDEX(Validations!$J$2:$J$100, MATCH(TRUE, ISNUMBER(SEARCH(Validations!$I$2:$I$100, AT11)), 0)), "")</f>
        <v/>
      </c>
      <c r="AV11" s="12">
        <f>IFERROR(__xludf.DUMMYFUNCTION("IFERROR(VALUE(REGEXEXTRACT(AS11, ""\d+"")), """")"),10.0)</f>
        <v>10</v>
      </c>
      <c r="AW11" s="12" t="str">
        <f>IFERROR(__xludf.DUMMYFUNCTION("IFERROR(TEXTJOIN("", "", TRUE, FILTER(Validations!$Q$2:$Q$100, ISNUMBER(SEARCH(Validations!$Q$2:$Q$100, AS11)))), """")"),"Radius")</f>
        <v>Radius</v>
      </c>
      <c r="AX11" s="28" t="s">
        <v>72</v>
      </c>
      <c r="AY11" s="28" t="str">
        <f>IFERROR(__xludf.DUMMYFUNCTION("TEXTJOIN("", "", TRUE, FILTER(Validations!$Y$2:$Y$100, ISNUMBER(SEARCH(Validations!$X$2:$X$100, AX11))))"),"V, S")</f>
        <v>V, S</v>
      </c>
      <c r="AZ11" s="26"/>
      <c r="BA11" s="12"/>
      <c r="BB11" s="22"/>
      <c r="BC11" s="22"/>
      <c r="BD11" s="22"/>
      <c r="BE11" s="27"/>
      <c r="BF11" s="22"/>
      <c r="BG11" s="27"/>
      <c r="BH11" s="27"/>
      <c r="BI11" s="12" t="str">
        <f>IFERROR(__xludf.DUMMYFUNCTION("IFERROR(TEXTJOIN("", "", TRUE, FILTER(SRD!$A$2:$A$1000, EXACT(SRD!$A$2:$A$1000, J11))), """")"),"")</f>
        <v/>
      </c>
      <c r="BJ11" s="29"/>
      <c r="BK11" s="29"/>
    </row>
    <row r="12">
      <c r="A12" s="38" t="s">
        <v>128</v>
      </c>
      <c r="B12" s="12"/>
      <c r="C12" s="16"/>
      <c r="D12" s="16" t="s">
        <v>129</v>
      </c>
      <c r="E12" s="16"/>
      <c r="F12" s="40" t="s">
        <v>130</v>
      </c>
      <c r="G12" s="15" t="s">
        <v>64</v>
      </c>
      <c r="H12" s="31" t="s">
        <v>76</v>
      </c>
      <c r="I12" s="16" t="str">
        <f t="array" ref="I12">INDEX(Validations!$C$2:$C$100, MATCH(TRUE, ISNUMBER(SEARCH(Validations!$B$2:$B$100, H12)), 0))</f>
        <v>V</v>
      </c>
      <c r="J12" s="17" t="s">
        <v>131</v>
      </c>
      <c r="K12" s="34"/>
      <c r="L12" s="33"/>
      <c r="M12" s="33"/>
      <c r="N12" s="20" t="s">
        <v>132</v>
      </c>
      <c r="O12" s="17" t="s">
        <v>133</v>
      </c>
      <c r="P12" s="21"/>
      <c r="Q12" s="21"/>
      <c r="R12" s="22"/>
      <c r="S12" s="17" t="str">
        <f>IFERROR(__xludf.DUMMYFUNCTION("IFERROR(REGEXEXTRACT(J12, ""(\d{1,3}[dD]\d{1,3})""), """")"),"")</f>
        <v/>
      </c>
      <c r="T12" s="17" t="str">
        <f>IFERROR(__xludf.DUMMYFUNCTION("IF(COUNTIF(ARRAYFORMULA(LOWER(Validations!$O$2:$O$100)), LOWER(REGEXEXTRACT(J12, ""\d{1,3}[dD]\d{1,3}\s+(\w+)"")))&gt;0, REGEXEXTRACT(J12, ""\d{1,3}[dD]\d{1,3}\s+(\w+)""), """")"),"")</f>
        <v/>
      </c>
      <c r="U12" s="17" t="str">
        <f>IFERROR(__xludf.DUMMYFUNCTION("IF(COUNTIF(ARRAYFORMULA(LOWER(Validations!$P$2:$P$100)), LOWER(REGEXEXTRACT(J12, ""\d{1,3}[dD]\d{1,3}\s+(\w+)"")))&gt;0, REGEXEXTRACT(J12, ""\d{1,3}[dD]\d{1,3}\s+(\w+)""), """")"),"")</f>
        <v/>
      </c>
      <c r="V12" s="12" t="str">
        <f>IFERROR(__xludf.DUMMYFUNCTION("TEXTJOIN("", "", TRUE, FILTER(Validations!$L$2:$L$100, ISNUMBER(SEARCH(Validations!$L$2:$L$100, J12))))"),"")</f>
        <v/>
      </c>
      <c r="W12" s="12" t="str">
        <f>IFERROR(__xludf.DUMMYFUNCTION("IFERROR(TEXTJOIN("", "", TRUE, FILTER(Validations!$M$2:$M$100, ISNUMBER(SEARCH(Validations!$M$2:$M$100 &amp; "" saving throw"", J12)))), """")"),"")</f>
        <v/>
      </c>
      <c r="X12" s="12"/>
      <c r="Y12" s="12"/>
      <c r="Z12" s="12" t="str">
        <f>IFERROR(__xludf.DUMMYFUNCTION("IFERROR(TEXTJOIN("", "", TRUE, FILTER(Validations!$N$2:$N$100, ISNUMBER(SEARCH(Validations!$N$2:$N$100 &amp; "" check"", J12)))), """")"),"")</f>
        <v/>
      </c>
      <c r="AA12" s="12" t="str">
        <f>IFERROR(__xludf.DUMMYFUNCTION("IFERROR(TEXTJOIN("", "", TRUE, FILTER(Validations!$N$2:$N$100, ISNUMBER(SEARCH(Validations!$N$2:$N$100 &amp; "" check"", W12)))), """")"),"")</f>
        <v/>
      </c>
      <c r="AB12" s="23" t="str">
        <f>IFERROR(__xludf.DUMMYFUNCTION("IFERROR(CONCATENATE(IF(ISNUMBER(SEARCH(Validations!$M$2:$M$100 &amp; "" spell save"", J12)),""Spell Save"",""""), REGEXEXTRACT(J12, ""DC (\d+)"")), """")"),"")</f>
        <v/>
      </c>
      <c r="AC12" s="24" t="b">
        <v>0</v>
      </c>
      <c r="AD12" s="24" t="b">
        <v>0</v>
      </c>
      <c r="AE12" s="12" t="s">
        <v>69</v>
      </c>
      <c r="AF12" s="25">
        <f>IFERROR(__xludf.DUMMYFUNCTION("IFERROR(VALUE(REGEXEXTRACT(AE12, ""\d+"")), 1)"),1.0)</f>
        <v>1</v>
      </c>
      <c r="AG12" s="12" t="str">
        <f>IFERROR(__xludf.DUMMYFUNCTION("IF(
  ISNUMBER(SEARCH(""Bonus Action"", AE12)),
  ""Bonus Action"",
  IF(
    ISNUMBER(SEARCH(""Reaction"", AE12)),
    ""Reaction"",
    IF(
      ISNUMBER(SEARCH(""Action"", AE12)),
      ""Action"",
      TEXTJOIN("", "", TRUE, FILTER(Validations!$S$2:"&amp;"$S$100, ISNUMBER(SEARCH(Validations!$S$2:$S$100, AE12))))
    )
  )
)"),"Action")</f>
        <v>Action</v>
      </c>
      <c r="AH12" s="12"/>
      <c r="AI12" s="20" t="s">
        <v>134</v>
      </c>
      <c r="AJ12" s="26" t="str">
        <f>IFERROR(__xludf.DUMMYFUNCTION("TEXTJOIN("", "", TRUE, FILTER(Validations!$T$2:$T$100, ISNUMBER(SEARCH(Validations!$T$2:$T$100, AI12))))"),"")</f>
        <v/>
      </c>
      <c r="AK12" s="26">
        <f>IFERROR(__xludf.DUMMYFUNCTION("IFERROR(VALUE(REGEXEXTRACT(AI12, ""\d+"")), """")"),10.0)</f>
        <v>10</v>
      </c>
      <c r="AL12" s="26" t="str">
        <f>IFERROR(__xludf.DUMMYFUNCTION("TEXTJOIN("", "", TRUE, FILTER(Validations!$U$2:$U$100, ISNUMBER(SEARCH(Validations!$U$2:$U$100, AI12))))"),"Minutes")</f>
        <v>Minutes</v>
      </c>
      <c r="AM12" s="24" t="b">
        <f t="shared" si="1"/>
        <v>0</v>
      </c>
      <c r="AN12" s="41" t="b">
        <v>0</v>
      </c>
      <c r="AO12" s="22" t="s">
        <v>78</v>
      </c>
      <c r="AP12" s="12" t="str">
        <f>IFERROR(__xludf.DUMMYFUNCTION("IF(TEXTJOIN("", "", TRUE, FILTER(Validations!$Q$2:$Q$100, ISNUMBER(SEARCH(Validations!$Q$2:$Q$100, AO12)))) = """", Validations!$Q$2, TEXTJOIN("", "", TRUE, FILTER(Validations!$Q$2:$Q$100, ISNUMBER(SEARCH(Validations!$Q$2:$Q$100, AO12)))))"),"Point")</f>
        <v>Point</v>
      </c>
      <c r="AQ12" s="12" t="str">
        <f>IFERROR(__xludf.DUMMYFUNCTION("IFERROR(VALUE(REGEXEXTRACT(AO12, ""\d+"")), """")"),"")</f>
        <v/>
      </c>
      <c r="AR12" s="12" t="str">
        <f>IFERROR(__xludf.DUMMYFUNCTION("TEXTJOIN("", "", TRUE, FILTER(Validations!$R$2:$R$100, ISNUMBER(SEARCH(Validations!$R$2:$R$100, AO12))))"),"Self")</f>
        <v>Self</v>
      </c>
      <c r="AS12" s="27"/>
      <c r="AT12" s="12" t="str">
        <f>IFERROR(__xludf.DUMMYFUNCTION("IFERROR(TEXTJOIN("", "", TRUE, FILTER(Validations!$I$2:$I$100, ISNUMBER(SEARCH(Validations!$I$2:$I$100, AS12)))), """")"),"")</f>
        <v/>
      </c>
      <c r="AU12" s="16" t="str">
        <f t="array" ref="AU12">IFERROR(INDEX(Validations!$J$2:$J$100, MATCH(TRUE, ISNUMBER(SEARCH(Validations!$I$2:$I$100, AT12)), 0)), "")</f>
        <v/>
      </c>
      <c r="AV12" s="12" t="str">
        <f>IFERROR(__xludf.DUMMYFUNCTION("IFERROR(VALUE(REGEXEXTRACT(AS12, ""\d+"")), """")"),"")</f>
        <v/>
      </c>
      <c r="AW12" s="12" t="str">
        <f>IFERROR(__xludf.DUMMYFUNCTION("IFERROR(TEXTJOIN("", "", TRUE, FILTER(Validations!$Q$2:$Q$100, ISNUMBER(SEARCH(Validations!$Q$2:$Q$100, AS12)))), """")"),"")</f>
        <v/>
      </c>
      <c r="AX12" s="36" t="s">
        <v>135</v>
      </c>
      <c r="AY12" s="28" t="str">
        <f>IFERROR(__xludf.DUMMYFUNCTION("TEXTJOIN("", "", TRUE, FILTER(Validations!$Y$2:$Y$100, ISNUMBER(SEARCH(Validations!$X$2:$X$100, AX12))))"),"V, S, T")</f>
        <v>V, S, T</v>
      </c>
      <c r="AZ12" s="26"/>
      <c r="BA12" s="22" t="s">
        <v>136</v>
      </c>
      <c r="BB12" s="22"/>
      <c r="BC12" s="22"/>
      <c r="BD12" s="22"/>
      <c r="BE12" s="27"/>
      <c r="BF12" s="22"/>
      <c r="BG12" s="27"/>
      <c r="BH12" s="27"/>
      <c r="BI12" s="12" t="str">
        <f>IFERROR(__xludf.DUMMYFUNCTION("IFERROR(TEXTJOIN("", "", TRUE, FILTER(SRD!$A$2:$A$1000, EXACT(SRD!$A$2:$A$1000, J12))), """")"),"")</f>
        <v/>
      </c>
      <c r="BJ12" s="29"/>
      <c r="BK12" s="29"/>
    </row>
    <row r="13">
      <c r="A13" s="30" t="s">
        <v>137</v>
      </c>
      <c r="B13" s="22"/>
      <c r="C13" s="31"/>
      <c r="D13" s="31" t="s">
        <v>138</v>
      </c>
      <c r="E13" s="31"/>
      <c r="F13" s="32" t="s">
        <v>139</v>
      </c>
      <c r="G13" s="15" t="s">
        <v>64</v>
      </c>
      <c r="H13" s="31" t="s">
        <v>140</v>
      </c>
      <c r="I13" s="16" t="str">
        <f t="array" ref="I13">INDEX(Validations!$C$2:$C$100, MATCH(TRUE, ISNUMBER(SEARCH(Validations!$B$2:$B$100, H13)), 0))</f>
        <v>N</v>
      </c>
      <c r="J13" s="17" t="s">
        <v>141</v>
      </c>
      <c r="K13" s="34"/>
      <c r="L13" s="17"/>
      <c r="M13" s="33"/>
      <c r="N13" s="27"/>
      <c r="O13" s="17"/>
      <c r="P13" s="21"/>
      <c r="Q13" s="21"/>
      <c r="R13" s="22"/>
      <c r="S13" s="17" t="str">
        <f>IFERROR(__xludf.DUMMYFUNCTION("IFERROR(REGEXEXTRACT(J13, ""(\d{1,3}[dD]\d{1,3})""), """")"),"")</f>
        <v/>
      </c>
      <c r="T13" s="17" t="str">
        <f>IFERROR(__xludf.DUMMYFUNCTION("IF(COUNTIF(ARRAYFORMULA(LOWER(Validations!$O$2:$O$100)), LOWER(REGEXEXTRACT(J13, ""\d{1,3}[dD]\d{1,3}\s+(\w+)"")))&gt;0, REGEXEXTRACT(J13, ""\d{1,3}[dD]\d{1,3}\s+(\w+)""), """")"),"")</f>
        <v/>
      </c>
      <c r="U13" s="17" t="str">
        <f>IFERROR(__xludf.DUMMYFUNCTION("IF(COUNTIF(ARRAYFORMULA(LOWER(Validations!$P$2:$P$100)), LOWER(REGEXEXTRACT(J13, ""\d{1,3}[dD]\d{1,3}\s+(\w+)"")))&gt;0, REGEXEXTRACT(J13, ""\d{1,3}[dD]\d{1,3}\s+(\w+)""), """")"),"")</f>
        <v/>
      </c>
      <c r="V13" s="12" t="str">
        <f>IFERROR(__xludf.DUMMYFUNCTION("TEXTJOIN("", "", TRUE, FILTER(Validations!$L$2:$L$100, ISNUMBER(SEARCH(Validations!$L$2:$L$100, J13))))"),"")</f>
        <v/>
      </c>
      <c r="W13" s="12" t="str">
        <f>IFERROR(__xludf.DUMMYFUNCTION("IFERROR(TEXTJOIN("", "", TRUE, FILTER(Validations!$M$2:$M$100, ISNUMBER(SEARCH(Validations!$M$2:$M$100 &amp; "" saving throw"", J13)))), """")"),"")</f>
        <v/>
      </c>
      <c r="X13" s="12"/>
      <c r="Y13" s="12"/>
      <c r="Z13" s="12" t="str">
        <f>IFERROR(__xludf.DUMMYFUNCTION("IFERROR(TEXTJOIN("", "", TRUE, FILTER(Validations!$N$2:$N$100, ISNUMBER(SEARCH(Validations!$N$2:$N$100 &amp; "" check"", J13)))), """")"),"")</f>
        <v/>
      </c>
      <c r="AA13" s="12" t="str">
        <f>IFERROR(__xludf.DUMMYFUNCTION("IFERROR(TEXTJOIN("", "", TRUE, FILTER(Validations!$N$2:$N$100, ISNUMBER(SEARCH(Validations!$N$2:$N$100 &amp; "" check"", W13)))), """")"),"")</f>
        <v/>
      </c>
      <c r="AB13" s="23" t="str">
        <f>IFERROR(__xludf.DUMMYFUNCTION("IFERROR(CONCATENATE(IF(ISNUMBER(SEARCH(Validations!$M$2:$M$100 &amp; "" spell save"", J13)),""Spell Save"",""""), REGEXEXTRACT(J13, ""DC (\d+)"")), """")"),"")</f>
        <v/>
      </c>
      <c r="AC13" s="24" t="b">
        <v>0</v>
      </c>
      <c r="AD13" s="24" t="b">
        <v>0</v>
      </c>
      <c r="AE13" s="36" t="s">
        <v>69</v>
      </c>
      <c r="AF13" s="25">
        <f>IFERROR(__xludf.DUMMYFUNCTION("IFERROR(VALUE(REGEXEXTRACT(AE13, ""\d+"")), 1)"),1.0)</f>
        <v>1</v>
      </c>
      <c r="AG13" s="12" t="str">
        <f>IFERROR(__xludf.DUMMYFUNCTION("IF(
  ISNUMBER(SEARCH(""Bonus Action"", AE13)),
  ""Bonus Action"",
  IF(
    ISNUMBER(SEARCH(""Reaction"", AE13)),
    ""Reaction"",
    IF(
      ISNUMBER(SEARCH(""Action"", AE13)),
      ""Action"",
      TEXTJOIN("", "", TRUE, FILTER(Validations!$S$2:"&amp;"$S$100, ISNUMBER(SEARCH(Validations!$S$2:$S$100, AE13))))
    )
  )
)"),"Action")</f>
        <v>Action</v>
      </c>
      <c r="AH13" s="36"/>
      <c r="AI13" s="27" t="s">
        <v>70</v>
      </c>
      <c r="AJ13" s="26" t="str">
        <f>IFERROR(__xludf.DUMMYFUNCTION("TEXTJOIN("", "", TRUE, FILTER(Validations!$T$2:$T$100, ISNUMBER(SEARCH(Validations!$T$2:$T$100, AI13))))"),"Instantaneous")</f>
        <v>Instantaneous</v>
      </c>
      <c r="AK13" s="26" t="str">
        <f>IFERROR(__xludf.DUMMYFUNCTION("IFERROR(VALUE(REGEXEXTRACT(AI13, ""\d+"")), """")"),"")</f>
        <v/>
      </c>
      <c r="AL13" s="26" t="str">
        <f>IFERROR(__xludf.DUMMYFUNCTION("TEXTJOIN("", "", TRUE, FILTER(Validations!$U$2:$U$100, ISNUMBER(SEARCH(Validations!$U$2:$U$100, AI13))))"),"")</f>
        <v/>
      </c>
      <c r="AM13" s="24" t="b">
        <f t="shared" si="1"/>
        <v>0</v>
      </c>
      <c r="AN13" s="24" t="b">
        <v>0</v>
      </c>
      <c r="AO13" s="22" t="s">
        <v>105</v>
      </c>
      <c r="AP13" s="12" t="str">
        <f>IFERROR(__xludf.DUMMYFUNCTION("IF(TEXTJOIN("", "", TRUE, FILTER(Validations!$Q$2:$Q$100, ISNUMBER(SEARCH(Validations!$Q$2:$Q$100, AO13)))) = """", Validations!$Q$2, TEXTJOIN("", "", TRUE, FILTER(Validations!$Q$2:$Q$100, ISNUMBER(SEARCH(Validations!$Q$2:$Q$100, AO13)))))"),"Point")</f>
        <v>Point</v>
      </c>
      <c r="AQ13" s="12">
        <f>IFERROR(__xludf.DUMMYFUNCTION("IFERROR(VALUE(REGEXEXTRACT(AO13, ""\d+"")), """")"),10.0)</f>
        <v>10</v>
      </c>
      <c r="AR13" s="12" t="str">
        <f>IFERROR(__xludf.DUMMYFUNCTION("TEXTJOIN("", "", TRUE, FILTER(Validations!$R$2:$R$100, ISNUMBER(SEARCH(Validations!$R$2:$R$100, AO13))))"),"Feet")</f>
        <v>Feet</v>
      </c>
      <c r="AS13" s="27"/>
      <c r="AT13" s="12" t="str">
        <f>IFERROR(__xludf.DUMMYFUNCTION("IFERROR(TEXTJOIN("", "", TRUE, FILTER(Validations!$I$2:$I$100, ISNUMBER(SEARCH(Validations!$I$2:$I$100, AS13)))), """")"),"")</f>
        <v/>
      </c>
      <c r="AU13" s="16" t="str">
        <f t="array" ref="AU13">IFERROR(INDEX(Validations!$J$2:$J$100, MATCH(TRUE, ISNUMBER(SEARCH(Validations!$I$2:$I$100, AT13)), 0)), "")</f>
        <v/>
      </c>
      <c r="AV13" s="12" t="str">
        <f>IFERROR(__xludf.DUMMYFUNCTION("IFERROR(VALUE(REGEXEXTRACT(AS13, ""\d+"")), """")"),"")</f>
        <v/>
      </c>
      <c r="AW13" s="12" t="str">
        <f>IFERROR(__xludf.DUMMYFUNCTION("IFERROR(TEXTJOIN("", "", TRUE, FILTER(Validations!$Q$2:$Q$100, ISNUMBER(SEARCH(Validations!$Q$2:$Q$100, AS13)))), """")"),"")</f>
        <v/>
      </c>
      <c r="AX13" s="28" t="s">
        <v>142</v>
      </c>
      <c r="AY13" s="28" t="str">
        <f>IFERROR(__xludf.DUMMYFUNCTION("TEXTJOIN("", "", TRUE, FILTER(Validations!$Y$2:$Y$100, ISNUMBER(SEARCH(Validations!$X$2:$X$100, AX13))))"),"V, S")</f>
        <v>V, S</v>
      </c>
      <c r="AZ13" s="27"/>
      <c r="BA13" s="22"/>
      <c r="BB13" s="22"/>
      <c r="BC13" s="22"/>
      <c r="BD13" s="22"/>
      <c r="BE13" s="27"/>
      <c r="BF13" s="22"/>
      <c r="BG13" s="27"/>
      <c r="BH13" s="27"/>
      <c r="BI13" s="12" t="str">
        <f>IFERROR(__xludf.DUMMYFUNCTION("IFERROR(TEXTJOIN("", "", TRUE, FILTER(SRD!$A$2:$A$1000, EXACT(SRD!$A$2:$A$1000, J13))), """")"),"")</f>
        <v/>
      </c>
      <c r="BJ13" s="29"/>
      <c r="BK13" s="29"/>
    </row>
    <row r="14">
      <c r="A14" s="38" t="s">
        <v>143</v>
      </c>
      <c r="B14" s="12"/>
      <c r="C14" s="16"/>
      <c r="D14" s="16" t="s">
        <v>129</v>
      </c>
      <c r="E14" s="16"/>
      <c r="F14" s="40" t="s">
        <v>130</v>
      </c>
      <c r="G14" s="15" t="s">
        <v>64</v>
      </c>
      <c r="H14" s="31" t="s">
        <v>144</v>
      </c>
      <c r="I14" s="16" t="str">
        <f t="array" ref="I14">INDEX(Validations!$C$2:$C$100, MATCH(TRUE, ISNUMBER(SEARCH(Validations!$B$2:$B$100, H14)), 0))</f>
        <v>D</v>
      </c>
      <c r="J14" s="17" t="s">
        <v>145</v>
      </c>
      <c r="K14" s="34"/>
      <c r="L14" s="33"/>
      <c r="M14" s="33"/>
      <c r="N14" s="20" t="s">
        <v>146</v>
      </c>
      <c r="O14" s="17" t="s">
        <v>147</v>
      </c>
      <c r="P14" s="21"/>
      <c r="Q14" s="21"/>
      <c r="R14" s="22"/>
      <c r="S14" s="17" t="str">
        <f>IFERROR(__xludf.DUMMYFUNCTION("IFERROR(REGEXEXTRACT(J14, ""(\d{1,3}[dD]\d{1,3})""), """")"),"")</f>
        <v/>
      </c>
      <c r="T14" s="17" t="str">
        <f>IFERROR(__xludf.DUMMYFUNCTION("IF(COUNTIF(ARRAYFORMULA(LOWER(Validations!$O$2:$O$100)), LOWER(REGEXEXTRACT(J14, ""\d{1,3}[dD]\d{1,3}\s+(\w+)"")))&gt;0, REGEXEXTRACT(J14, ""\d{1,3}[dD]\d{1,3}\s+(\w+)""), """")"),"")</f>
        <v/>
      </c>
      <c r="U14" s="17" t="str">
        <f>IFERROR(__xludf.DUMMYFUNCTION("IF(COUNTIF(ARRAYFORMULA(LOWER(Validations!$P$2:$P$100)), LOWER(REGEXEXTRACT(J14, ""\d{1,3}[dD]\d{1,3}\s+(\w+)"")))&gt;0, REGEXEXTRACT(J14, ""\d{1,3}[dD]\d{1,3}\s+(\w+)""), """")"),"")</f>
        <v/>
      </c>
      <c r="V14" s="12" t="str">
        <f>IFERROR(__xludf.DUMMYFUNCTION("TEXTJOIN("", "", TRUE, FILTER(Validations!$L$2:$L$100, ISNUMBER(SEARCH(Validations!$L$2:$L$100, J14))))"),"")</f>
        <v/>
      </c>
      <c r="W14" s="12" t="str">
        <f>IFERROR(__xludf.DUMMYFUNCTION("IFERROR(TEXTJOIN("", "", TRUE, FILTER(Validations!$M$2:$M$100, ISNUMBER(SEARCH(Validations!$M$2:$M$100 &amp; "" saving throw"", J14)))), """")"),"")</f>
        <v/>
      </c>
      <c r="X14" s="12"/>
      <c r="Y14" s="12"/>
      <c r="Z14" s="12" t="str">
        <f>IFERROR(__xludf.DUMMYFUNCTION("IFERROR(TEXTJOIN("", "", TRUE, FILTER(Validations!$N$2:$N$100, ISNUMBER(SEARCH(Validations!$N$2:$N$100 &amp; "" check"", J14)))), """")"),"")</f>
        <v/>
      </c>
      <c r="AA14" s="12" t="str">
        <f>IFERROR(__xludf.DUMMYFUNCTION("IFERROR(TEXTJOIN("", "", TRUE, FILTER(Validations!$N$2:$N$100, ISNUMBER(SEARCH(Validations!$N$2:$N$100 &amp; "" check"", W14)))), """")"),"")</f>
        <v/>
      </c>
      <c r="AB14" s="23" t="str">
        <f>IFERROR(__xludf.DUMMYFUNCTION("IFERROR(CONCATENATE(IF(ISNUMBER(SEARCH(Validations!$M$2:$M$100 &amp; "" spell save"", J14)),""Spell Save"",""""), REGEXEXTRACT(J14, ""DC (\d+)"")), """")"),"")</f>
        <v/>
      </c>
      <c r="AC14" s="24" t="b">
        <v>0</v>
      </c>
      <c r="AD14" s="24" t="b">
        <v>0</v>
      </c>
      <c r="AE14" s="12" t="s">
        <v>69</v>
      </c>
      <c r="AF14" s="25">
        <f>IFERROR(__xludf.DUMMYFUNCTION("IFERROR(VALUE(REGEXEXTRACT(AE14, ""\d+"")), 1)"),1.0)</f>
        <v>1</v>
      </c>
      <c r="AG14" s="12" t="str">
        <f>IFERROR(__xludf.DUMMYFUNCTION("IF(
  ISNUMBER(SEARCH(""Bonus Action"", AE14)),
  ""Bonus Action"",
  IF(
    ISNUMBER(SEARCH(""Reaction"", AE14)),
    ""Reaction"",
    IF(
      ISNUMBER(SEARCH(""Action"", AE14)),
      ""Action"",
      TEXTJOIN("", "", TRUE, FILTER(Validations!$S$2:"&amp;"$S$100, ISNUMBER(SEARCH(Validations!$S$2:$S$100, AE14))))
    )
  )
)"),"Action")</f>
        <v>Action</v>
      </c>
      <c r="AH14" s="12"/>
      <c r="AI14" s="20" t="s">
        <v>134</v>
      </c>
      <c r="AJ14" s="26" t="str">
        <f>IFERROR(__xludf.DUMMYFUNCTION("TEXTJOIN("", "", TRUE, FILTER(Validations!$T$2:$T$100, ISNUMBER(SEARCH(Validations!$T$2:$T$100, AI14))))"),"")</f>
        <v/>
      </c>
      <c r="AK14" s="26">
        <f>IFERROR(__xludf.DUMMYFUNCTION("IFERROR(VALUE(REGEXEXTRACT(AI14, ""\d+"")), """")"),10.0)</f>
        <v>10</v>
      </c>
      <c r="AL14" s="26" t="str">
        <f>IFERROR(__xludf.DUMMYFUNCTION("TEXTJOIN("", "", TRUE, FILTER(Validations!$U$2:$U$100, ISNUMBER(SEARCH(Validations!$U$2:$U$100, AI14))))"),"Minutes")</f>
        <v>Minutes</v>
      </c>
      <c r="AM14" s="24" t="b">
        <f t="shared" si="1"/>
        <v>0</v>
      </c>
      <c r="AN14" s="41" t="b">
        <v>0</v>
      </c>
      <c r="AO14" s="36" t="s">
        <v>148</v>
      </c>
      <c r="AP14" s="12" t="str">
        <f>IFERROR(__xludf.DUMMYFUNCTION("IF(TEXTJOIN("", "", TRUE, FILTER(Validations!$Q$2:$Q$100, ISNUMBER(SEARCH(Validations!$Q$2:$Q$100, AO14)))) = """", Validations!$Q$2, TEXTJOIN("", "", TRUE, FILTER(Validations!$Q$2:$Q$100, ISNUMBER(SEARCH(Validations!$Q$2:$Q$100, AO14)))))"),"Point")</f>
        <v>Point</v>
      </c>
      <c r="AQ14" s="12">
        <f>IFERROR(__xludf.DUMMYFUNCTION("IFERROR(VALUE(REGEXEXTRACT(AO14, ""\d+"")), """")"),60.0)</f>
        <v>60</v>
      </c>
      <c r="AR14" s="12" t="str">
        <f>IFERROR(__xludf.DUMMYFUNCTION("TEXTJOIN("", "", TRUE, FILTER(Validations!$R$2:$R$100, ISNUMBER(SEARCH(Validations!$R$2:$R$100, AO14))))"),"Feet")</f>
        <v>Feet</v>
      </c>
      <c r="AS14" s="27"/>
      <c r="AT14" s="12" t="str">
        <f>IFERROR(__xludf.DUMMYFUNCTION("IFERROR(TEXTJOIN("", "", TRUE, FILTER(Validations!$I$2:$I$100, ISNUMBER(SEARCH(Validations!$I$2:$I$100, AS14)))), """")"),"")</f>
        <v/>
      </c>
      <c r="AU14" s="16" t="str">
        <f t="array" ref="AU14">IFERROR(INDEX(Validations!$J$2:$J$100, MATCH(TRUE, ISNUMBER(SEARCH(Validations!$I$2:$I$100, AT14)), 0)), "")</f>
        <v/>
      </c>
      <c r="AV14" s="12" t="str">
        <f>IFERROR(__xludf.DUMMYFUNCTION("IFERROR(VALUE(REGEXEXTRACT(AS14, ""\d+"")), """")"),"")</f>
        <v/>
      </c>
      <c r="AW14" s="12" t="str">
        <f>IFERROR(__xludf.DUMMYFUNCTION("IFERROR(TEXTJOIN("", "", TRUE, FILTER(Validations!$Q$2:$Q$100, ISNUMBER(SEARCH(Validations!$Q$2:$Q$100, AS14)))), """")"),"")</f>
        <v/>
      </c>
      <c r="AX14" s="36" t="s">
        <v>135</v>
      </c>
      <c r="AY14" s="28" t="str">
        <f>IFERROR(__xludf.DUMMYFUNCTION("TEXTJOIN("", "", TRUE, FILTER(Validations!$Y$2:$Y$100, ISNUMBER(SEARCH(Validations!$X$2:$X$100, AX14))))"),"V, S, T")</f>
        <v>V, S, T</v>
      </c>
      <c r="AZ14" s="26"/>
      <c r="BA14" s="22" t="s">
        <v>149</v>
      </c>
      <c r="BB14" s="22"/>
      <c r="BC14" s="22"/>
      <c r="BD14" s="22"/>
      <c r="BE14" s="27"/>
      <c r="BF14" s="22"/>
      <c r="BG14" s="27"/>
      <c r="BH14" s="27"/>
      <c r="BI14" s="12" t="str">
        <f>IFERROR(__xludf.DUMMYFUNCTION("IFERROR(TEXTJOIN("", "", TRUE, FILTER(SRD!$A$2:$A$1000, EXACT(SRD!$A$2:$A$1000, J14))), """")"),"")</f>
        <v/>
      </c>
      <c r="BJ14" s="29"/>
      <c r="BK14" s="29"/>
    </row>
    <row r="15">
      <c r="A15" s="30" t="s">
        <v>150</v>
      </c>
      <c r="B15" s="22"/>
      <c r="C15" s="31"/>
      <c r="D15" s="31" t="s">
        <v>74</v>
      </c>
      <c r="E15" s="31"/>
      <c r="F15" s="32" t="s">
        <v>139</v>
      </c>
      <c r="G15" s="15" t="s">
        <v>64</v>
      </c>
      <c r="H15" s="31" t="s">
        <v>144</v>
      </c>
      <c r="I15" s="16" t="str">
        <f t="array" ref="I15">INDEX(Validations!$C$2:$C$100, MATCH(TRUE, ISNUMBER(SEARCH(Validations!$B$2:$B$100, H15)), 0))</f>
        <v>D</v>
      </c>
      <c r="J15" s="17" t="s">
        <v>151</v>
      </c>
      <c r="K15" s="18"/>
      <c r="L15" s="17"/>
      <c r="M15" s="17"/>
      <c r="N15" s="27"/>
      <c r="O15" s="17"/>
      <c r="P15" s="21"/>
      <c r="Q15" s="21"/>
      <c r="R15" s="22"/>
      <c r="S15" s="17" t="str">
        <f>IFERROR(__xludf.DUMMYFUNCTION("IFERROR(REGEXEXTRACT(J15, ""(\d{1,3}[dD]\d{1,3})""), """")"),"")</f>
        <v/>
      </c>
      <c r="T15" s="17" t="str">
        <f>IFERROR(__xludf.DUMMYFUNCTION("IF(COUNTIF(ARRAYFORMULA(LOWER(Validations!$O$2:$O$100)), LOWER(REGEXEXTRACT(J15, ""\d{1,3}[dD]\d{1,3}\s+(\w+)"")))&gt;0, REGEXEXTRACT(J15, ""\d{1,3}[dD]\d{1,3}\s+(\w+)""), """")"),"")</f>
        <v/>
      </c>
      <c r="U15" s="17" t="str">
        <f>IFERROR(__xludf.DUMMYFUNCTION("IF(COUNTIF(ARRAYFORMULA(LOWER(Validations!$P$2:$P$100)), LOWER(REGEXEXTRACT(J15, ""\d{1,3}[dD]\d{1,3}\s+(\w+)"")))&gt;0, REGEXEXTRACT(J15, ""\d{1,3}[dD]\d{1,3}\s+(\w+)""), """")"),"")</f>
        <v/>
      </c>
      <c r="V15" s="12" t="str">
        <f>IFERROR(__xludf.DUMMYFUNCTION("TEXTJOIN("", "", TRUE, FILTER(Validations!$L$2:$L$100, ISNUMBER(SEARCH(Validations!$L$2:$L$100, J15))))"),"")</f>
        <v/>
      </c>
      <c r="W15" s="12" t="str">
        <f>IFERROR(__xludf.DUMMYFUNCTION("IFERROR(TEXTJOIN("", "", TRUE, FILTER(Validations!$M$2:$M$100, ISNUMBER(SEARCH(Validations!$M$2:$M$100 &amp; "" saving throw"", J15)))), """")"),"")</f>
        <v/>
      </c>
      <c r="X15" s="12"/>
      <c r="Y15" s="12"/>
      <c r="Z15" s="12" t="str">
        <f>IFERROR(__xludf.DUMMYFUNCTION("IFERROR(TEXTJOIN("", "", TRUE, FILTER(Validations!$N$2:$N$100, ISNUMBER(SEARCH(Validations!$N$2:$N$100 &amp; "" check"", J15)))), """")"),"")</f>
        <v/>
      </c>
      <c r="AA15" s="12" t="str">
        <f>IFERROR(__xludf.DUMMYFUNCTION("IFERROR(TEXTJOIN("", "", TRUE, FILTER(Validations!$N$2:$N$100, ISNUMBER(SEARCH(Validations!$N$2:$N$100 &amp; "" check"", W15)))), """")"),"")</f>
        <v/>
      </c>
      <c r="AB15" s="23" t="str">
        <f>IFERROR(__xludf.DUMMYFUNCTION("IFERROR(CONCATENATE(IF(ISNUMBER(SEARCH(Validations!$M$2:$M$100 &amp; "" spell save"", J15)),""Spell Save"",""""), REGEXEXTRACT(J15, ""DC (\d+)"")), """")"),"")</f>
        <v/>
      </c>
      <c r="AC15" s="24" t="b">
        <v>0</v>
      </c>
      <c r="AD15" s="24" t="b">
        <v>0</v>
      </c>
      <c r="AE15" s="36" t="s">
        <v>69</v>
      </c>
      <c r="AF15" s="25">
        <f>IFERROR(__xludf.DUMMYFUNCTION("IFERROR(VALUE(REGEXEXTRACT(AE15, ""\d+"")), 1)"),1.0)</f>
        <v>1</v>
      </c>
      <c r="AG15" s="12" t="str">
        <f>IFERROR(__xludf.DUMMYFUNCTION("IF(
  ISNUMBER(SEARCH(""Bonus Action"", AE15)),
  ""Bonus Action"",
  IF(
    ISNUMBER(SEARCH(""Reaction"", AE15)),
    ""Reaction"",
    IF(
      ISNUMBER(SEARCH(""Action"", AE15)),
      ""Action"",
      TEXTJOIN("", "", TRUE, FILTER(Validations!$S$2:"&amp;"$S$100, ISNUMBER(SEARCH(Validations!$S$2:$S$100, AE15))))
    )
  )
)"),"Action")</f>
        <v>Action</v>
      </c>
      <c r="AH15" s="36"/>
      <c r="AI15" s="20" t="s">
        <v>92</v>
      </c>
      <c r="AJ15" s="26" t="str">
        <f>IFERROR(__xludf.DUMMYFUNCTION("TEXTJOIN("", "", TRUE, FILTER(Validations!$T$2:$T$100, ISNUMBER(SEARCH(Validations!$T$2:$T$100, AI15))))"),"")</f>
        <v/>
      </c>
      <c r="AK15" s="26">
        <f>IFERROR(__xludf.DUMMYFUNCTION("IFERROR(VALUE(REGEXEXTRACT(AI15, ""\d+"")), """")"),1.0)</f>
        <v>1</v>
      </c>
      <c r="AL15" s="26" t="str">
        <f>IFERROR(__xludf.DUMMYFUNCTION("TEXTJOIN("", "", TRUE, FILTER(Validations!$U$2:$U$100, ISNUMBER(SEARCH(Validations!$U$2:$U$100, AI15))))"),"Minutes")</f>
        <v>Minutes</v>
      </c>
      <c r="AM15" s="24" t="b">
        <f t="shared" si="1"/>
        <v>0</v>
      </c>
      <c r="AN15" s="24" t="b">
        <v>1</v>
      </c>
      <c r="AO15" s="22" t="s">
        <v>112</v>
      </c>
      <c r="AP15" s="12" t="str">
        <f>IFERROR(__xludf.DUMMYFUNCTION("IF(TEXTJOIN("", "", TRUE, FILTER(Validations!$Q$2:$Q$100, ISNUMBER(SEARCH(Validations!$Q$2:$Q$100, AO15)))) = """", Validations!$Q$2, TEXTJOIN("", "", TRUE, FILTER(Validations!$Q$2:$Q$100, ISNUMBER(SEARCH(Validations!$Q$2:$Q$100, AO15)))))"),"Point")</f>
        <v>Point</v>
      </c>
      <c r="AQ15" s="12">
        <f>IFERROR(__xludf.DUMMYFUNCTION("IFERROR(VALUE(REGEXEXTRACT(AO15, ""\d+"")), """")"),30.0)</f>
        <v>30</v>
      </c>
      <c r="AR15" s="12" t="str">
        <f>IFERROR(__xludf.DUMMYFUNCTION("TEXTJOIN("", "", TRUE, FILTER(Validations!$R$2:$R$100, ISNUMBER(SEARCH(Validations!$R$2:$R$100, AO15))))"),"Feet")</f>
        <v>Feet</v>
      </c>
      <c r="AS15" s="27"/>
      <c r="AT15" s="12" t="str">
        <f>IFERROR(__xludf.DUMMYFUNCTION("IFERROR(TEXTJOIN("", "", TRUE, FILTER(Validations!$I$2:$I$100, ISNUMBER(SEARCH(Validations!$I$2:$I$100, AS15)))), """")"),"")</f>
        <v/>
      </c>
      <c r="AU15" s="16" t="str">
        <f t="array" ref="AU15">IFERROR(INDEX(Validations!$J$2:$J$100, MATCH(TRUE, ISNUMBER(SEARCH(Validations!$I$2:$I$100, AT15)), 0)), "")</f>
        <v/>
      </c>
      <c r="AV15" s="12" t="str">
        <f>IFERROR(__xludf.DUMMYFUNCTION("IFERROR(VALUE(REGEXEXTRACT(AS15, ""\d+"")), """")"),"")</f>
        <v/>
      </c>
      <c r="AW15" s="12" t="str">
        <f>IFERROR(__xludf.DUMMYFUNCTION("IFERROR(TEXTJOIN("", "", TRUE, FILTER(Validations!$Q$2:$Q$100, ISNUMBER(SEARCH(Validations!$Q$2:$Q$100, AS15)))), """")"),"")</f>
        <v/>
      </c>
      <c r="AX15" s="28" t="s">
        <v>152</v>
      </c>
      <c r="AY15" s="28" t="str">
        <f>IFERROR(__xludf.DUMMYFUNCTION("TEXTJOIN("", "", TRUE, FILTER(Validations!$Y$2:$Y$100, ISNUMBER(SEARCH(Validations!$X$2:$X$100, AX15))))"),"V, S, R")</f>
        <v>V, S, R</v>
      </c>
      <c r="AZ15" s="20" t="s">
        <v>153</v>
      </c>
      <c r="BA15" s="22"/>
      <c r="BB15" s="22"/>
      <c r="BC15" s="22"/>
      <c r="BD15" s="22"/>
      <c r="BE15" s="27"/>
      <c r="BF15" s="22"/>
      <c r="BG15" s="27"/>
      <c r="BH15" s="27"/>
      <c r="BI15" s="12" t="str">
        <f>IFERROR(__xludf.DUMMYFUNCTION("IFERROR(TEXTJOIN("", "", TRUE, FILTER(SRD!$A$2:$A$1000, EXACT(SRD!$A$2:$A$1000, J15))), """")"),"")</f>
        <v/>
      </c>
      <c r="BJ15" s="29"/>
      <c r="BK15" s="29"/>
    </row>
    <row r="16">
      <c r="A16" s="30" t="s">
        <v>154</v>
      </c>
      <c r="B16" s="22"/>
      <c r="C16" s="31"/>
      <c r="D16" s="31" t="s">
        <v>74</v>
      </c>
      <c r="E16" s="31"/>
      <c r="F16" s="32" t="s">
        <v>84</v>
      </c>
      <c r="G16" s="15" t="s">
        <v>64</v>
      </c>
      <c r="H16" s="31" t="s">
        <v>85</v>
      </c>
      <c r="I16" s="16" t="str">
        <f t="array" ref="I16">INDEX(Validations!$C$2:$C$100, MATCH(TRUE, ISNUMBER(SEARCH(Validations!$B$2:$B$100, H16)), 0))</f>
        <v>T</v>
      </c>
      <c r="J16" s="33" t="s">
        <v>155</v>
      </c>
      <c r="K16" s="34"/>
      <c r="L16" s="33"/>
      <c r="M16" s="33"/>
      <c r="N16" s="27"/>
      <c r="O16" s="33"/>
      <c r="P16" s="35"/>
      <c r="Q16" s="35"/>
      <c r="R16" s="22"/>
      <c r="S16" s="17" t="str">
        <f>IFERROR(__xludf.DUMMYFUNCTION("IFERROR(REGEXEXTRACT(J16, ""(\d{1,3}[dD]\d{1,3})""), """")"),"")</f>
        <v/>
      </c>
      <c r="T16" s="17" t="str">
        <f>IFERROR(__xludf.DUMMYFUNCTION("IF(COUNTIF(ARRAYFORMULA(LOWER(Validations!$O$2:$O$100)), LOWER(REGEXEXTRACT(J16, ""\d{1,3}[dD]\d{1,3}\s+(\w+)"")))&gt;0, REGEXEXTRACT(J16, ""\d{1,3}[dD]\d{1,3}\s+(\w+)""), """")"),"")</f>
        <v/>
      </c>
      <c r="U16" s="17" t="str">
        <f>IFERROR(__xludf.DUMMYFUNCTION("IF(COUNTIF(ARRAYFORMULA(LOWER(Validations!$P$2:$P$100)), LOWER(REGEXEXTRACT(J16, ""\d{1,3}[dD]\d{1,3}\s+(\w+)"")))&gt;0, REGEXEXTRACT(J16, ""\d{1,3}[dD]\d{1,3}\s+(\w+)""), """")"),"")</f>
        <v/>
      </c>
      <c r="V16" s="12" t="str">
        <f>IFERROR(__xludf.DUMMYFUNCTION("TEXTJOIN("", "", TRUE, FILTER(Validations!$L$2:$L$100, ISNUMBER(SEARCH(Validations!$L$2:$L$100, J16))))"),"")</f>
        <v/>
      </c>
      <c r="W16" s="12" t="str">
        <f>IFERROR(__xludf.DUMMYFUNCTION("IFERROR(TEXTJOIN("", "", TRUE, FILTER(Validations!$M$2:$M$100, ISNUMBER(SEARCH(Validations!$M$2:$M$100 &amp; "" saving throw"", J16)))), """")"),"Intelligence")</f>
        <v>Intelligence</v>
      </c>
      <c r="X16" s="12"/>
      <c r="Y16" s="12"/>
      <c r="Z16" s="12" t="str">
        <f>IFERROR(__xludf.DUMMYFUNCTION("IFERROR(TEXTJOIN("", "", TRUE, FILTER(Validations!$N$2:$N$100, ISNUMBER(SEARCH(Validations!$N$2:$N$100 &amp; "" check"", J16)))), """")"),"")</f>
        <v/>
      </c>
      <c r="AA16" s="12" t="str">
        <f>IFERROR(__xludf.DUMMYFUNCTION("IFERROR(TEXTJOIN("", "", TRUE, FILTER(Validations!$N$2:$N$100, ISNUMBER(SEARCH(Validations!$N$2:$N$100 &amp; "" check"", W16)))), """")"),"")</f>
        <v/>
      </c>
      <c r="AB16" s="23" t="str">
        <f>IFERROR(__xludf.DUMMYFUNCTION("IFERROR(CONCATENATE(IF(ISNUMBER(SEARCH(Validations!$M$2:$M$100 &amp; "" spell save"", J16)),""Spell Save"",""""), REGEXEXTRACT(J16, ""DC (\d+)"")), """")"),"")</f>
        <v/>
      </c>
      <c r="AC16" s="24" t="b">
        <v>0</v>
      </c>
      <c r="AD16" s="24" t="b">
        <v>0</v>
      </c>
      <c r="AE16" s="36" t="s">
        <v>69</v>
      </c>
      <c r="AF16" s="25">
        <f>IFERROR(__xludf.DUMMYFUNCTION("IFERROR(VALUE(REGEXEXTRACT(AE16, ""\d+"")), 1)"),1.0)</f>
        <v>1</v>
      </c>
      <c r="AG16" s="12" t="str">
        <f>IFERROR(__xludf.DUMMYFUNCTION("IF(
  ISNUMBER(SEARCH(""Bonus Action"", AE16)),
  ""Bonus Action"",
  IF(
    ISNUMBER(SEARCH(""Reaction"", AE16)),
    ""Reaction"",
    IF(
      ISNUMBER(SEARCH(""Action"", AE16)),
      ""Action"",
      TEXTJOIN("", "", TRUE, FILTER(Validations!$S$2:"&amp;"$S$100, ISNUMBER(SEARCH(Validations!$S$2:$S$100, AE16))))
    )
  )
)"),"Action")</f>
        <v>Action</v>
      </c>
      <c r="AH16" s="36"/>
      <c r="AI16" s="27" t="s">
        <v>70</v>
      </c>
      <c r="AJ16" s="26" t="str">
        <f>IFERROR(__xludf.DUMMYFUNCTION("TEXTJOIN("", "", TRUE, FILTER(Validations!$T$2:$T$100, ISNUMBER(SEARCH(Validations!$T$2:$T$100, AI16))))"),"Instantaneous")</f>
        <v>Instantaneous</v>
      </c>
      <c r="AK16" s="26" t="str">
        <f>IFERROR(__xludf.DUMMYFUNCTION("IFERROR(VALUE(REGEXEXTRACT(AI16, ""\d+"")), """")"),"")</f>
        <v/>
      </c>
      <c r="AL16" s="26" t="str">
        <f>IFERROR(__xludf.DUMMYFUNCTION("TEXTJOIN("", "", TRUE, FILTER(Validations!$U$2:$U$100, ISNUMBER(SEARCH(Validations!$U$2:$U$100, AI16))))"),"")</f>
        <v/>
      </c>
      <c r="AM16" s="24" t="b">
        <f t="shared" si="1"/>
        <v>0</v>
      </c>
      <c r="AN16" s="24" t="b">
        <v>0</v>
      </c>
      <c r="AO16" s="22" t="s">
        <v>105</v>
      </c>
      <c r="AP16" s="12" t="str">
        <f>IFERROR(__xludf.DUMMYFUNCTION("IF(TEXTJOIN("", "", TRUE, FILTER(Validations!$Q$2:$Q$100, ISNUMBER(SEARCH(Validations!$Q$2:$Q$100, AO16)))) = """", Validations!$Q$2, TEXTJOIN("", "", TRUE, FILTER(Validations!$Q$2:$Q$100, ISNUMBER(SEARCH(Validations!$Q$2:$Q$100, AO16)))))"),"Point")</f>
        <v>Point</v>
      </c>
      <c r="AQ16" s="12">
        <f>IFERROR(__xludf.DUMMYFUNCTION("IFERROR(VALUE(REGEXEXTRACT(AO16, ""\d+"")), """")"),10.0)</f>
        <v>10</v>
      </c>
      <c r="AR16" s="12" t="str">
        <f>IFERROR(__xludf.DUMMYFUNCTION("TEXTJOIN("", "", TRUE, FILTER(Validations!$R$2:$R$100, ISNUMBER(SEARCH(Validations!$R$2:$R$100, AO16))))"),"Feet")</f>
        <v>Feet</v>
      </c>
      <c r="AS16" s="27"/>
      <c r="AT16" s="12" t="str">
        <f>IFERROR(__xludf.DUMMYFUNCTION("IFERROR(TEXTJOIN("", "", TRUE, FILTER(Validations!$I$2:$I$100, ISNUMBER(SEARCH(Validations!$I$2:$I$100, AS16)))), """")"),"")</f>
        <v/>
      </c>
      <c r="AU16" s="16" t="str">
        <f t="array" ref="AU16">IFERROR(INDEX(Validations!$J$2:$J$100, MATCH(TRUE, ISNUMBER(SEARCH(Validations!$I$2:$I$100, AT16)), 0)), "")</f>
        <v/>
      </c>
      <c r="AV16" s="12" t="str">
        <f>IFERROR(__xludf.DUMMYFUNCTION("IFERROR(VALUE(REGEXEXTRACT(AS16, ""\d+"")), """")"),"")</f>
        <v/>
      </c>
      <c r="AW16" s="12" t="str">
        <f>IFERROR(__xludf.DUMMYFUNCTION("IFERROR(TEXTJOIN("", "", TRUE, FILTER(Validations!$Q$2:$Q$100, ISNUMBER(SEARCH(Validations!$Q$2:$Q$100, AS16)))), """")"),"")</f>
        <v/>
      </c>
      <c r="AX16" s="28" t="s">
        <v>72</v>
      </c>
      <c r="AY16" s="28" t="str">
        <f>IFERROR(__xludf.DUMMYFUNCTION("TEXTJOIN("", "", TRUE, FILTER(Validations!$Y$2:$Y$100, ISNUMBER(SEARCH(Validations!$X$2:$X$100, AX16))))"),"V, S")</f>
        <v>V, S</v>
      </c>
      <c r="AZ16" s="27"/>
      <c r="BA16" s="22"/>
      <c r="BB16" s="22"/>
      <c r="BC16" s="22"/>
      <c r="BD16" s="22"/>
      <c r="BE16" s="27"/>
      <c r="BF16" s="22"/>
      <c r="BG16" s="27"/>
      <c r="BH16" s="27"/>
      <c r="BI16" s="12" t="str">
        <f>IFERROR(__xludf.DUMMYFUNCTION("IFERROR(TEXTJOIN("", "", TRUE, FILTER(SRD!$A$2:$A$1000, EXACT(SRD!$A$2:$A$1000, J16))), """")"),"")</f>
        <v/>
      </c>
      <c r="BJ16" s="29"/>
      <c r="BK16" s="29"/>
    </row>
    <row r="17">
      <c r="A17" s="38" t="s">
        <v>156</v>
      </c>
      <c r="B17" s="12"/>
      <c r="C17" s="16"/>
      <c r="D17" s="16" t="s">
        <v>129</v>
      </c>
      <c r="E17" s="16"/>
      <c r="F17" s="40" t="s">
        <v>130</v>
      </c>
      <c r="G17" s="15" t="s">
        <v>64</v>
      </c>
      <c r="H17" s="31" t="s">
        <v>65</v>
      </c>
      <c r="I17" s="16" t="str">
        <f t="array" ref="I17">INDEX(Validations!$C$2:$C$100, MATCH(TRUE, ISNUMBER(SEARCH(Validations!$B$2:$B$100, H17)), 0))</f>
        <v>I</v>
      </c>
      <c r="J17" s="17" t="s">
        <v>157</v>
      </c>
      <c r="K17" s="34"/>
      <c r="L17" s="33"/>
      <c r="M17" s="33"/>
      <c r="N17" s="20" t="s">
        <v>158</v>
      </c>
      <c r="O17" s="17" t="s">
        <v>159</v>
      </c>
      <c r="P17" s="21"/>
      <c r="Q17" s="21"/>
      <c r="R17" s="22"/>
      <c r="S17" s="17" t="str">
        <f>IFERROR(__xludf.DUMMYFUNCTION("IFERROR(REGEXEXTRACT(J17, ""(\d{1,3}[dD]\d{1,3})""), """")"),"")</f>
        <v/>
      </c>
      <c r="T17" s="17" t="str">
        <f>IFERROR(__xludf.DUMMYFUNCTION("IF(COUNTIF(ARRAYFORMULA(LOWER(Validations!$O$2:$O$100)), LOWER(REGEXEXTRACT(J17, ""\d{1,3}[dD]\d{1,3}\s+(\w+)"")))&gt;0, REGEXEXTRACT(J17, ""\d{1,3}[dD]\d{1,3}\s+(\w+)""), """")"),"")</f>
        <v/>
      </c>
      <c r="U17" s="17" t="str">
        <f>IFERROR(__xludf.DUMMYFUNCTION("IF(COUNTIF(ARRAYFORMULA(LOWER(Validations!$P$2:$P$100)), LOWER(REGEXEXTRACT(J17, ""\d{1,3}[dD]\d{1,3}\s+(\w+)"")))&gt;0, REGEXEXTRACT(J17, ""\d{1,3}[dD]\d{1,3}\s+(\w+)""), """")"),"")</f>
        <v/>
      </c>
      <c r="V17" s="12"/>
      <c r="W17" s="12" t="str">
        <f>IFERROR(__xludf.DUMMYFUNCTION("IFERROR(TEXTJOIN("", "", TRUE, FILTER(Validations!$M$2:$M$100, ISNUMBER(SEARCH(Validations!$M$2:$M$100 &amp; "" saving throw"", J17)))), """")"),"")</f>
        <v/>
      </c>
      <c r="X17" s="12"/>
      <c r="Y17" s="12"/>
      <c r="Z17" s="12" t="str">
        <f>IFERROR(__xludf.DUMMYFUNCTION("IFERROR(TEXTJOIN("", "", TRUE, FILTER(Validations!$N$2:$N$100, ISNUMBER(SEARCH(Validations!$N$2:$N$100 &amp; "" check"", J17)))), """")"),"")</f>
        <v/>
      </c>
      <c r="AA17" s="12" t="str">
        <f>IFERROR(__xludf.DUMMYFUNCTION("IFERROR(TEXTJOIN("", "", TRUE, FILTER(Validations!$N$2:$N$100, ISNUMBER(SEARCH(Validations!$N$2:$N$100 &amp; "" check"", W17)))), """")"),"")</f>
        <v/>
      </c>
      <c r="AB17" s="23" t="str">
        <f>IFERROR(__xludf.DUMMYFUNCTION("IFERROR(CONCATENATE(IF(ISNUMBER(SEARCH(Validations!$M$2:$M$100 &amp; "" spell save"", J17)),""Spell Save"",""""), REGEXEXTRACT(J17, ""DC (\d+)"")), """")"),"")</f>
        <v/>
      </c>
      <c r="AC17" s="24" t="b">
        <v>0</v>
      </c>
      <c r="AD17" s="24" t="b">
        <v>0</v>
      </c>
      <c r="AE17" s="12" t="s">
        <v>69</v>
      </c>
      <c r="AF17" s="25">
        <f>IFERROR(__xludf.DUMMYFUNCTION("IFERROR(VALUE(REGEXEXTRACT(AE17, ""\d+"")), 1)"),1.0)</f>
        <v>1</v>
      </c>
      <c r="AG17" s="12" t="str">
        <f>IFERROR(__xludf.DUMMYFUNCTION("IF(
  ISNUMBER(SEARCH(""Bonus Action"", AE17)),
  ""Bonus Action"",
  IF(
    ISNUMBER(SEARCH(""Reaction"", AE17)),
    ""Reaction"",
    IF(
      ISNUMBER(SEARCH(""Action"", AE17)),
      ""Action"",
      TEXTJOIN("", "", TRUE, FILTER(Validations!$S$2:"&amp;"$S$100, ISNUMBER(SEARCH(Validations!$S$2:$S$100, AE17))))
    )
  )
)"),"Action")</f>
        <v>Action</v>
      </c>
      <c r="AH17" s="12"/>
      <c r="AI17" s="20" t="s">
        <v>87</v>
      </c>
      <c r="AJ17" s="26" t="str">
        <f>IFERROR(__xludf.DUMMYFUNCTION("TEXTJOIN("", "", TRUE, FILTER(Validations!$T$2:$T$100, ISNUMBER(SEARCH(Validations!$T$2:$T$100, AI17))))"),"")</f>
        <v/>
      </c>
      <c r="AK17" s="26">
        <f>IFERROR(__xludf.DUMMYFUNCTION("IFERROR(VALUE(REGEXEXTRACT(AI17, ""\d+"")), """")"),1.0)</f>
        <v>1</v>
      </c>
      <c r="AL17" s="26" t="str">
        <f>IFERROR(__xludf.DUMMYFUNCTION("TEXTJOIN("", "", TRUE, FILTER(Validations!$U$2:$U$100, ISNUMBER(SEARCH(Validations!$U$2:$U$100, AI17))))"),"Rounds")</f>
        <v>Rounds</v>
      </c>
      <c r="AM17" s="24" t="b">
        <f t="shared" si="1"/>
        <v>0</v>
      </c>
      <c r="AN17" s="41" t="b">
        <v>0</v>
      </c>
      <c r="AO17" s="22" t="s">
        <v>78</v>
      </c>
      <c r="AP17" s="12" t="str">
        <f>IFERROR(__xludf.DUMMYFUNCTION("IF(TEXTJOIN("", "", TRUE, FILTER(Validations!$Q$2:$Q$100, ISNUMBER(SEARCH(Validations!$Q$2:$Q$100, AO17)))) = """", Validations!$Q$2, TEXTJOIN("", "", TRUE, FILTER(Validations!$Q$2:$Q$100, ISNUMBER(SEARCH(Validations!$Q$2:$Q$100, AO17)))))"),"Point")</f>
        <v>Point</v>
      </c>
      <c r="AQ17" s="12" t="str">
        <f>IFERROR(__xludf.DUMMYFUNCTION("IFERROR(VALUE(REGEXEXTRACT(AO17, ""\d+"")), """")"),"")</f>
        <v/>
      </c>
      <c r="AR17" s="12" t="str">
        <f>IFERROR(__xludf.DUMMYFUNCTION("TEXTJOIN("", "", TRUE, FILTER(Validations!$R$2:$R$100, ISNUMBER(SEARCH(Validations!$R$2:$R$100, AO17))))"),"Self")</f>
        <v>Self</v>
      </c>
      <c r="AS17" s="27"/>
      <c r="AT17" s="12" t="str">
        <f>IFERROR(__xludf.DUMMYFUNCTION("IFERROR(TEXTJOIN("", "", TRUE, FILTER(Validations!$I$2:$I$100, ISNUMBER(SEARCH(Validations!$I$2:$I$100, AS17)))), """")"),"")</f>
        <v/>
      </c>
      <c r="AU17" s="16" t="str">
        <f t="array" ref="AU17">IFERROR(INDEX(Validations!$J$2:$J$100, MATCH(TRUE, ISNUMBER(SEARCH(Validations!$I$2:$I$100, AT17)), 0)), "")</f>
        <v/>
      </c>
      <c r="AV17" s="12" t="str">
        <f>IFERROR(__xludf.DUMMYFUNCTION("IFERROR(VALUE(REGEXEXTRACT(AS17, ""\d+"")), """")"),"")</f>
        <v/>
      </c>
      <c r="AW17" s="12" t="str">
        <f>IFERROR(__xludf.DUMMYFUNCTION("IFERROR(TEXTJOIN("", "", TRUE, FILTER(Validations!$Q$2:$Q$100, ISNUMBER(SEARCH(Validations!$Q$2:$Q$100, AS17)))), """")"),"")</f>
        <v/>
      </c>
      <c r="AX17" s="36" t="s">
        <v>135</v>
      </c>
      <c r="AY17" s="28" t="str">
        <f>IFERROR(__xludf.DUMMYFUNCTION("TEXTJOIN("", "", TRUE, FILTER(Validations!$Y$2:$Y$100, ISNUMBER(SEARCH(Validations!$X$2:$X$100, AX17))))"),"V, S, T")</f>
        <v>V, S, T</v>
      </c>
      <c r="AZ17" s="26"/>
      <c r="BA17" s="22" t="s">
        <v>160</v>
      </c>
      <c r="BB17" s="22"/>
      <c r="BC17" s="22"/>
      <c r="BD17" s="22"/>
      <c r="BE17" s="27"/>
      <c r="BF17" s="22"/>
      <c r="BG17" s="27"/>
      <c r="BH17" s="27"/>
      <c r="BI17" s="12" t="str">
        <f>IFERROR(__xludf.DUMMYFUNCTION("IFERROR(TEXTJOIN("", "", TRUE, FILTER(SRD!$A$2:$A$1000, EXACT(SRD!$A$2:$A$1000, J17))), """")"),"")</f>
        <v/>
      </c>
      <c r="BJ17" s="29"/>
      <c r="BK17" s="29"/>
    </row>
    <row r="18">
      <c r="A18" s="30" t="s">
        <v>161</v>
      </c>
      <c r="B18" s="22"/>
      <c r="C18" s="31"/>
      <c r="D18" s="31" t="s">
        <v>74</v>
      </c>
      <c r="E18" s="31"/>
      <c r="F18" s="32" t="s">
        <v>102</v>
      </c>
      <c r="G18" s="15" t="s">
        <v>64</v>
      </c>
      <c r="H18" s="31" t="s">
        <v>144</v>
      </c>
      <c r="I18" s="16" t="str">
        <f t="array" ref="I18">INDEX(Validations!$C$2:$C$100, MATCH(TRUE, ISNUMBER(SEARCH(Validations!$B$2:$B$100, H18)), 0))</f>
        <v>D</v>
      </c>
      <c r="J18" s="33" t="s">
        <v>162</v>
      </c>
      <c r="K18" s="34"/>
      <c r="L18" s="33"/>
      <c r="M18" s="17" t="s">
        <v>163</v>
      </c>
      <c r="N18" s="27"/>
      <c r="O18" s="33"/>
      <c r="P18" s="35"/>
      <c r="Q18" s="35"/>
      <c r="R18" s="22"/>
      <c r="S18" s="17" t="str">
        <f>IFERROR(__xludf.DUMMYFUNCTION("IFERROR(REGEXEXTRACT(J18, ""(\d{1,3}[dD]\d{1,3})""), """")"),"")</f>
        <v/>
      </c>
      <c r="T18" s="17" t="str">
        <f>IFERROR(__xludf.DUMMYFUNCTION("IF(COUNTIF(ARRAYFORMULA(LOWER(Validations!$O$2:$O$100)), LOWER(REGEXEXTRACT(J18, ""\d{1,3}[dD]\d{1,3}\s+(\w+)"")))&gt;0, REGEXEXTRACT(J18, ""\d{1,3}[dD]\d{1,3}\s+(\w+)""), """")"),"")</f>
        <v/>
      </c>
      <c r="U18" s="17" t="str">
        <f>IFERROR(__xludf.DUMMYFUNCTION("IF(COUNTIF(ARRAYFORMULA(LOWER(Validations!$P$2:$P$100)), LOWER(REGEXEXTRACT(J18, ""\d{1,3}[dD]\d{1,3}\s+(\w+)"")))&gt;0, REGEXEXTRACT(J18, ""\d{1,3}[dD]\d{1,3}\s+(\w+)""), """")"),"")</f>
        <v/>
      </c>
      <c r="V18" s="12" t="str">
        <f>IFERROR(__xludf.DUMMYFUNCTION("TEXTJOIN("", "", TRUE, FILTER(Validations!$L$2:$L$100, ISNUMBER(SEARCH(Validations!$L$2:$L$100, J18))))"),"")</f>
        <v/>
      </c>
      <c r="W18" s="12" t="str">
        <f>IFERROR(__xludf.DUMMYFUNCTION("IFERROR(TEXTJOIN("", "", TRUE, FILTER(Validations!$M$2:$M$100, ISNUMBER(SEARCH(Validations!$M$2:$M$100 &amp; "" saving throw"", J18)))), """")"),"")</f>
        <v/>
      </c>
      <c r="X18" s="12"/>
      <c r="Y18" s="12"/>
      <c r="Z18" s="12" t="str">
        <f>IFERROR(__xludf.DUMMYFUNCTION("IFERROR(TEXTJOIN("", "", TRUE, FILTER(Validations!$N$2:$N$100, ISNUMBER(SEARCH(Validations!$N$2:$N$100 &amp; "" check"", J18)))), """")"),"")</f>
        <v/>
      </c>
      <c r="AA18" s="12" t="str">
        <f>IFERROR(__xludf.DUMMYFUNCTION("IFERROR(TEXTJOIN("", "", TRUE, FILTER(Validations!$N$2:$N$100, ISNUMBER(SEARCH(Validations!$N$2:$N$100 &amp; "" check"", W18)))), """")"),"")</f>
        <v/>
      </c>
      <c r="AB18" s="23" t="str">
        <f>IFERROR(__xludf.DUMMYFUNCTION("IFERROR(CONCATENATE(IF(ISNUMBER(SEARCH(Validations!$M$2:$M$100 &amp; "" spell save"", J18)),""Spell Save"",""""), REGEXEXTRACT(J18, ""DC (\d+)"")), """")"),"")</f>
        <v/>
      </c>
      <c r="AC18" s="24" t="b">
        <v>0</v>
      </c>
      <c r="AD18" s="24" t="b">
        <v>0</v>
      </c>
      <c r="AE18" s="36" t="s">
        <v>69</v>
      </c>
      <c r="AF18" s="25">
        <f>IFERROR(__xludf.DUMMYFUNCTION("IFERROR(VALUE(REGEXEXTRACT(AE18, ""\d+"")), 1)"),1.0)</f>
        <v>1</v>
      </c>
      <c r="AG18" s="12" t="str">
        <f>IFERROR(__xludf.DUMMYFUNCTION("IF(
  ISNUMBER(SEARCH(""Bonus Action"", AE18)),
  ""Bonus Action"",
  IF(
    ISNUMBER(SEARCH(""Reaction"", AE18)),
    ""Reaction"",
    IF(
      ISNUMBER(SEARCH(""Action"", AE18)),
      ""Action"",
      TEXTJOIN("", "", TRUE, FILTER(Validations!$S$2:"&amp;"$S$100, ISNUMBER(SEARCH(Validations!$S$2:$S$100, AE18))))
    )
  )
)"),"Action")</f>
        <v>Action</v>
      </c>
      <c r="AH18" s="36"/>
      <c r="AI18" s="27" t="s">
        <v>70</v>
      </c>
      <c r="AJ18" s="26" t="str">
        <f>IFERROR(__xludf.DUMMYFUNCTION("TEXTJOIN("", "", TRUE, FILTER(Validations!$T$2:$T$100, ISNUMBER(SEARCH(Validations!$T$2:$T$100, AI18))))"),"Instantaneous")</f>
        <v>Instantaneous</v>
      </c>
      <c r="AK18" s="26" t="str">
        <f>IFERROR(__xludf.DUMMYFUNCTION("IFERROR(VALUE(REGEXEXTRACT(AI18, ""\d+"")), """")"),"")</f>
        <v/>
      </c>
      <c r="AL18" s="26" t="str">
        <f>IFERROR(__xludf.DUMMYFUNCTION("TEXTJOIN("", "", TRUE, FILTER(Validations!$U$2:$U$100, ISNUMBER(SEARCH(Validations!$U$2:$U$100, AI18))))"),"")</f>
        <v/>
      </c>
      <c r="AM18" s="24" t="b">
        <f t="shared" si="1"/>
        <v>0</v>
      </c>
      <c r="AN18" s="24" t="b">
        <v>0</v>
      </c>
      <c r="AO18" s="22" t="s">
        <v>164</v>
      </c>
      <c r="AP18" s="12" t="str">
        <f>IFERROR(__xludf.DUMMYFUNCTION("IF(TEXTJOIN("", "", TRUE, FILTER(Validations!$Q$2:$Q$100, ISNUMBER(SEARCH(Validations!$Q$2:$Q$100, AO18)))) = """", Validations!$Q$2, TEXTJOIN("", "", TRUE, FILTER(Validations!$Q$2:$Q$100, ISNUMBER(SEARCH(Validations!$Q$2:$Q$100, AO18)))))"),"Point")</f>
        <v>Point</v>
      </c>
      <c r="AQ18" s="12">
        <f>IFERROR(__xludf.DUMMYFUNCTION("IFERROR(VALUE(REGEXEXTRACT(AO18, ""\d+"")), """")"),15.0)</f>
        <v>15</v>
      </c>
      <c r="AR18" s="12" t="str">
        <f>IFERROR(__xludf.DUMMYFUNCTION("TEXTJOIN("", "", TRUE, FILTER(Validations!$R$2:$R$100, ISNUMBER(SEARCH(Validations!$R$2:$R$100, AO18))))"),"Feet")</f>
        <v>Feet</v>
      </c>
      <c r="AS18" s="27"/>
      <c r="AT18" s="12" t="str">
        <f>IFERROR(__xludf.DUMMYFUNCTION("IFERROR(TEXTJOIN("", "", TRUE, FILTER(Validations!$I$2:$I$100, ISNUMBER(SEARCH(Validations!$I$2:$I$100, AS18)))), """")"),"")</f>
        <v/>
      </c>
      <c r="AU18" s="16" t="str">
        <f t="array" ref="AU18">IFERROR(INDEX(Validations!$J$2:$J$100, MATCH(TRUE, ISNUMBER(SEARCH(Validations!$I$2:$I$100, AT18)), 0)), "")</f>
        <v/>
      </c>
      <c r="AV18" s="12" t="str">
        <f>IFERROR(__xludf.DUMMYFUNCTION("IFERROR(VALUE(REGEXEXTRACT(AS18, ""\d+"")), """")"),"")</f>
        <v/>
      </c>
      <c r="AW18" s="12" t="str">
        <f>IFERROR(__xludf.DUMMYFUNCTION("IFERROR(TEXTJOIN("", "", TRUE, FILTER(Validations!$Q$2:$Q$100, ISNUMBER(SEARCH(Validations!$Q$2:$Q$100, AS18)))), """")"),"")</f>
        <v/>
      </c>
      <c r="AX18" s="28" t="s">
        <v>119</v>
      </c>
      <c r="AY18" s="28" t="str">
        <f>IFERROR(__xludf.DUMMYFUNCTION("TEXTJOIN("", "", TRUE, FILTER(Validations!$Y$2:$Y$100, ISNUMBER(SEARCH(Validations!$X$2:$X$100, AX18))))"),"V, R")</f>
        <v>V, R</v>
      </c>
      <c r="AZ18" s="20" t="s">
        <v>165</v>
      </c>
      <c r="BA18" s="22"/>
      <c r="BB18" s="22"/>
      <c r="BC18" s="22"/>
      <c r="BD18" s="22"/>
      <c r="BE18" s="27"/>
      <c r="BF18" s="22"/>
      <c r="BG18" s="27"/>
      <c r="BH18" s="27"/>
      <c r="BI18" s="12" t="str">
        <f>IFERROR(__xludf.DUMMYFUNCTION("IFERROR(TEXTJOIN("", "", TRUE, FILTER(SRD!$A$2:$A$1000, EXACT(SRD!$A$2:$A$1000, J18))), """")"),"")</f>
        <v/>
      </c>
      <c r="BJ18" s="29"/>
      <c r="BK18" s="29"/>
    </row>
    <row r="19" ht="15.75" customHeight="1">
      <c r="A19" s="30" t="s">
        <v>166</v>
      </c>
      <c r="B19" s="22"/>
      <c r="C19" s="31"/>
      <c r="D19" s="31" t="s">
        <v>74</v>
      </c>
      <c r="E19" s="31"/>
      <c r="F19" s="32" t="s">
        <v>97</v>
      </c>
      <c r="G19" s="15" t="s">
        <v>64</v>
      </c>
      <c r="H19" s="31" t="s">
        <v>144</v>
      </c>
      <c r="I19" s="16" t="str">
        <f t="array" ref="I19">INDEX(Validations!$C$2:$C$100, MATCH(TRUE, ISNUMBER(SEARCH(Validations!$B$2:$B$100, H19)), 0))</f>
        <v>D</v>
      </c>
      <c r="J19" s="33" t="s">
        <v>167</v>
      </c>
      <c r="K19" s="34"/>
      <c r="L19" s="33"/>
      <c r="M19" s="33"/>
      <c r="N19" s="27"/>
      <c r="O19" s="33"/>
      <c r="P19" s="35"/>
      <c r="Q19" s="35"/>
      <c r="R19" s="22"/>
      <c r="S19" s="17" t="str">
        <f>IFERROR(__xludf.DUMMYFUNCTION("IFERROR(REGEXEXTRACT(J19, ""(\d{1,3}[dD]\d{1,3})""), """")"),"")</f>
        <v/>
      </c>
      <c r="T19" s="17" t="str">
        <f>IFERROR(__xludf.DUMMYFUNCTION("IF(COUNTIF(ARRAYFORMULA(LOWER(Validations!$O$2:$O$100)), LOWER(REGEXEXTRACT(J19, ""\d{1,3}[dD]\d{1,3}\s+(\w+)"")))&gt;0, REGEXEXTRACT(J19, ""\d{1,3}[dD]\d{1,3}\s+(\w+)""), """")"),"")</f>
        <v/>
      </c>
      <c r="U19" s="17" t="str">
        <f>IFERROR(__xludf.DUMMYFUNCTION("IF(COUNTIF(ARRAYFORMULA(LOWER(Validations!$P$2:$P$100)), LOWER(REGEXEXTRACT(J19, ""\d{1,3}[dD]\d{1,3}\s+(\w+)"")))&gt;0, REGEXEXTRACT(J19, ""\d{1,3}[dD]\d{1,3}\s+(\w+)""), """")"),"")</f>
        <v/>
      </c>
      <c r="V19" s="12" t="str">
        <f>IFERROR(__xludf.DUMMYFUNCTION("TEXTJOIN("", "", TRUE, FILTER(Validations!$L$2:$L$100, ISNUMBER(SEARCH(Validations!$L$2:$L$100, J19))))"),"")</f>
        <v/>
      </c>
      <c r="W19" s="12" t="str">
        <f>IFERROR(__xludf.DUMMYFUNCTION("IFERROR(TEXTJOIN("", "", TRUE, FILTER(Validations!$M$2:$M$100, ISNUMBER(SEARCH(Validations!$M$2:$M$100 &amp; "" saving throw"", J19)))), """")"),"")</f>
        <v/>
      </c>
      <c r="X19" s="12"/>
      <c r="Y19" s="12"/>
      <c r="Z19" s="12" t="str">
        <f>IFERROR(__xludf.DUMMYFUNCTION("IFERROR(TEXTJOIN("", "", TRUE, FILTER(Validations!$N$2:$N$100, ISNUMBER(SEARCH(Validations!$N$2:$N$100 &amp; "" check"", J19)))), """")"),"")</f>
        <v/>
      </c>
      <c r="AA19" s="12" t="str">
        <f>IFERROR(__xludf.DUMMYFUNCTION("IFERROR(TEXTJOIN("", "", TRUE, FILTER(Validations!$N$2:$N$100, ISNUMBER(SEARCH(Validations!$N$2:$N$100 &amp; "" check"", W19)))), """")"),"")</f>
        <v/>
      </c>
      <c r="AB19" s="23" t="str">
        <f>IFERROR(__xludf.DUMMYFUNCTION("IFERROR(CONCATENATE(IF(ISNUMBER(SEARCH(Validations!$M$2:$M$100 &amp; "" spell save"", J19)),""Spell Save"",""""), REGEXEXTRACT(J19, ""DC (\d+)"")), """")"),"")</f>
        <v/>
      </c>
      <c r="AC19" s="24" t="b">
        <v>0</v>
      </c>
      <c r="AD19" s="24" t="b">
        <v>0</v>
      </c>
      <c r="AE19" s="36" t="s">
        <v>69</v>
      </c>
      <c r="AF19" s="25">
        <f>IFERROR(__xludf.DUMMYFUNCTION("IFERROR(VALUE(REGEXEXTRACT(AE19, ""\d+"")), 1)"),1.0)</f>
        <v>1</v>
      </c>
      <c r="AG19" s="12" t="str">
        <f>IFERROR(__xludf.DUMMYFUNCTION("IF(
  ISNUMBER(SEARCH(""Bonus Action"", AE19)),
  ""Bonus Action"",
  IF(
    ISNUMBER(SEARCH(""Reaction"", AE19)),
    ""Reaction"",
    IF(
      ISNUMBER(SEARCH(""Action"", AE19)),
      ""Action"",
      TEXTJOIN("", "", TRUE, FILTER(Validations!$S$2:"&amp;"$S$100, ISNUMBER(SEARCH(Validations!$S$2:$S$100, AE19))))
    )
  )
)"),"Action")</f>
        <v>Action</v>
      </c>
      <c r="AH19" s="36"/>
      <c r="AI19" s="27" t="s">
        <v>70</v>
      </c>
      <c r="AJ19" s="26" t="str">
        <f>IFERROR(__xludf.DUMMYFUNCTION("TEXTJOIN("", "", TRUE, FILTER(Validations!$T$2:$T$100, ISNUMBER(SEARCH(Validations!$T$2:$T$100, AI19))))"),"Instantaneous")</f>
        <v>Instantaneous</v>
      </c>
      <c r="AK19" s="26" t="str">
        <f>IFERROR(__xludf.DUMMYFUNCTION("IFERROR(VALUE(REGEXEXTRACT(AI19, ""\d+"")), """")"),"")</f>
        <v/>
      </c>
      <c r="AL19" s="26" t="str">
        <f>IFERROR(__xludf.DUMMYFUNCTION("TEXTJOIN("", "", TRUE, FILTER(Validations!$U$2:$U$100, ISNUMBER(SEARCH(Validations!$U$2:$U$100, AI19))))"),"")</f>
        <v/>
      </c>
      <c r="AM19" s="24" t="b">
        <f t="shared" si="1"/>
        <v>0</v>
      </c>
      <c r="AN19" s="24" t="b">
        <v>0</v>
      </c>
      <c r="AO19" s="22" t="s">
        <v>164</v>
      </c>
      <c r="AP19" s="12" t="str">
        <f>IFERROR(__xludf.DUMMYFUNCTION("IF(TEXTJOIN("", "", TRUE, FILTER(Validations!$Q$2:$Q$100, ISNUMBER(SEARCH(Validations!$Q$2:$Q$100, AO19)))) = """", Validations!$Q$2, TEXTJOIN("", "", TRUE, FILTER(Validations!$Q$2:$Q$100, ISNUMBER(SEARCH(Validations!$Q$2:$Q$100, AO19)))))"),"Point")</f>
        <v>Point</v>
      </c>
      <c r="AQ19" s="12">
        <f>IFERROR(__xludf.DUMMYFUNCTION("IFERROR(VALUE(REGEXEXTRACT(AO19, ""\d+"")), """")"),15.0)</f>
        <v>15</v>
      </c>
      <c r="AR19" s="12" t="str">
        <f>IFERROR(__xludf.DUMMYFUNCTION("TEXTJOIN("", "", TRUE, FILTER(Validations!$R$2:$R$100, ISNUMBER(SEARCH(Validations!$R$2:$R$100, AO19))))"),"Feet")</f>
        <v>Feet</v>
      </c>
      <c r="AS19" s="27"/>
      <c r="AT19" s="12" t="str">
        <f>IFERROR(__xludf.DUMMYFUNCTION("IFERROR(TEXTJOIN("", "", TRUE, FILTER(Validations!$I$2:$I$100, ISNUMBER(SEARCH(Validations!$I$2:$I$100, AS19)))), """")"),"")</f>
        <v/>
      </c>
      <c r="AU19" s="16" t="str">
        <f t="array" ref="AU19">IFERROR(INDEX(Validations!$J$2:$J$100, MATCH(TRUE, ISNUMBER(SEARCH(Validations!$I$2:$I$100, AT19)), 0)), "")</f>
        <v/>
      </c>
      <c r="AV19" s="12" t="str">
        <f>IFERROR(__xludf.DUMMYFUNCTION("IFERROR(VALUE(REGEXEXTRACT(AS19, ""\d+"")), """")"),"")</f>
        <v/>
      </c>
      <c r="AW19" s="12" t="str">
        <f>IFERROR(__xludf.DUMMYFUNCTION("IFERROR(TEXTJOIN("", "", TRUE, FILTER(Validations!$Q$2:$Q$100, ISNUMBER(SEARCH(Validations!$Q$2:$Q$100, AS19)))), """")"),"")</f>
        <v/>
      </c>
      <c r="AX19" s="28" t="s">
        <v>119</v>
      </c>
      <c r="AY19" s="28" t="str">
        <f>IFERROR(__xludf.DUMMYFUNCTION("TEXTJOIN("", "", TRUE, FILTER(Validations!$Y$2:$Y$100, ISNUMBER(SEARCH(Validations!$X$2:$X$100, AX19))))"),"V, R")</f>
        <v>V, R</v>
      </c>
      <c r="AZ19" s="20" t="s">
        <v>168</v>
      </c>
      <c r="BA19" s="22"/>
      <c r="BB19" s="22"/>
      <c r="BC19" s="22"/>
      <c r="BD19" s="22"/>
      <c r="BE19" s="27"/>
      <c r="BF19" s="22"/>
      <c r="BG19" s="27"/>
      <c r="BH19" s="27"/>
      <c r="BI19" s="12" t="str">
        <f>IFERROR(__xludf.DUMMYFUNCTION("IFERROR(TEXTJOIN("", "", TRUE, FILTER(SRD!$A$2:$A$1000, EXACT(SRD!$A$2:$A$1000, J19))), """")"),"")</f>
        <v/>
      </c>
      <c r="BJ19" s="29"/>
      <c r="BK19" s="29"/>
    </row>
    <row r="20" ht="15.75" customHeight="1">
      <c r="A20" s="38" t="s">
        <v>169</v>
      </c>
      <c r="B20" s="12"/>
      <c r="C20" s="16"/>
      <c r="D20" s="16" t="s">
        <v>170</v>
      </c>
      <c r="E20" s="16"/>
      <c r="F20" s="40" t="s">
        <v>130</v>
      </c>
      <c r="G20" s="15" t="s">
        <v>64</v>
      </c>
      <c r="H20" s="31" t="s">
        <v>76</v>
      </c>
      <c r="I20" s="16" t="str">
        <f t="array" ref="I20">INDEX(Validations!$C$2:$C$100, MATCH(TRUE, ISNUMBER(SEARCH(Validations!$B$2:$B$100, H20)), 0))</f>
        <v>V</v>
      </c>
      <c r="J20" s="17" t="s">
        <v>171</v>
      </c>
      <c r="K20" s="34"/>
      <c r="L20" s="17"/>
      <c r="M20" s="33"/>
      <c r="N20" s="20" t="s">
        <v>172</v>
      </c>
      <c r="O20" s="17" t="s">
        <v>173</v>
      </c>
      <c r="P20" s="21"/>
      <c r="Q20" s="21"/>
      <c r="R20" s="22"/>
      <c r="S20" s="17" t="str">
        <f>IFERROR(__xludf.DUMMYFUNCTION("IFERROR(REGEXEXTRACT(J20, ""(\d{1,3}[dD]\d{1,3})""), """")"),"1d6")</f>
        <v>1d6</v>
      </c>
      <c r="T20" s="17" t="str">
        <f>IFERROR(__xludf.DUMMYFUNCTION("IF(COUNTIF(ARRAYFORMULA(LOWER(Validations!$O$2:$O$100)), LOWER(REGEXEXTRACT(J20, ""\d{1,3}[dD]\d{1,3}\s+(\w+)"")))&gt;0, REGEXEXTRACT(J20, ""\d{1,3}[dD]\d{1,3}\s+(\w+)""), """")"),"sonic")</f>
        <v>sonic</v>
      </c>
      <c r="U20" s="17" t="str">
        <f>IFERROR(__xludf.DUMMYFUNCTION("IF(COUNTIF(ARRAYFORMULA(LOWER(Validations!$P$2:$P$100)), LOWER(REGEXEXTRACT(J20, ""\d{1,3}[dD]\d{1,3}\s+(\w+)"")))&gt;0, REGEXEXTRACT(J20, ""\d{1,3}[dD]\d{1,3}\s+(\w+)""), """")"),"")</f>
        <v/>
      </c>
      <c r="V20" s="12" t="str">
        <f>IFERROR(__xludf.DUMMYFUNCTION("TEXTJOIN("", "", TRUE, FILTER(Validations!$L$2:$L$100, ISNUMBER(SEARCH(Validations!$L$2:$L$100, J20))))"),"Stunned")</f>
        <v>Stunned</v>
      </c>
      <c r="W20" s="12" t="str">
        <f>IFERROR(__xludf.DUMMYFUNCTION("IFERROR(TEXTJOIN("", "", TRUE, FILTER(Validations!$M$2:$M$100, ISNUMBER(SEARCH(Validations!$M$2:$M$100 &amp; "" saving throw"", J20)))), """")"),"Constitution")</f>
        <v>Constitution</v>
      </c>
      <c r="X20" s="12"/>
      <c r="Y20" s="12"/>
      <c r="Z20" s="12" t="str">
        <f>IFERROR(__xludf.DUMMYFUNCTION("IFERROR(TEXTJOIN("", "", TRUE, FILTER(Validations!$N$2:$N$100, ISNUMBER(SEARCH(Validations!$N$2:$N$100 &amp; "" check"", J20)))), """")"),"")</f>
        <v/>
      </c>
      <c r="AA20" s="12" t="str">
        <f>IFERROR(__xludf.DUMMYFUNCTION("IFERROR(TEXTJOIN("", "", TRUE, FILTER(Validations!$N$2:$N$100, ISNUMBER(SEARCH(Validations!$N$2:$N$100 &amp; "" check"", W20)))), """")"),"")</f>
        <v/>
      </c>
      <c r="AB20" s="23" t="str">
        <f>IFERROR(__xludf.DUMMYFUNCTION("IFERROR(CONCATENATE(IF(ISNUMBER(SEARCH(Validations!$M$2:$M$100 &amp; "" spell save"", J20)),""Spell Save"",""""), REGEXEXTRACT(J20, ""DC (\d+)"")), """")"),"")</f>
        <v/>
      </c>
      <c r="AC20" s="24" t="b">
        <v>0</v>
      </c>
      <c r="AD20" s="24" t="b">
        <v>0</v>
      </c>
      <c r="AE20" s="12" t="s">
        <v>69</v>
      </c>
      <c r="AF20" s="25">
        <f>IFERROR(__xludf.DUMMYFUNCTION("IFERROR(VALUE(REGEXEXTRACT(AE20, ""\d+"")), 1)"),1.0)</f>
        <v>1</v>
      </c>
      <c r="AG20" s="12" t="str">
        <f>IFERROR(__xludf.DUMMYFUNCTION("IF(
  ISNUMBER(SEARCH(""Bonus Action"", AE20)),
  ""Bonus Action"",
  IF(
    ISNUMBER(SEARCH(""Reaction"", AE20)),
    ""Reaction"",
    IF(
      ISNUMBER(SEARCH(""Action"", AE20)),
      ""Action"",
      TEXTJOIN("", "", TRUE, FILTER(Validations!$S$2:"&amp;"$S$100, ISNUMBER(SEARCH(Validations!$S$2:$S$100, AE20))))
    )
  )
)"),"Action")</f>
        <v>Action</v>
      </c>
      <c r="AH20" s="12"/>
      <c r="AI20" s="26" t="s">
        <v>174</v>
      </c>
      <c r="AJ20" s="26" t="str">
        <f>IFERROR(__xludf.DUMMYFUNCTION("TEXTJOIN("", "", TRUE, FILTER(Validations!$T$2:$T$100, ISNUMBER(SEARCH(Validations!$T$2:$T$100, AI20))))"),"")</f>
        <v/>
      </c>
      <c r="AK20" s="26" t="str">
        <f>IFERROR(__xludf.DUMMYFUNCTION("IFERROR(VALUE(REGEXEXTRACT(AI20, ""\d+"")), """")"),"")</f>
        <v/>
      </c>
      <c r="AL20" s="26" t="str">
        <f>IFERROR(__xludf.DUMMYFUNCTION("TEXTJOIN("", "", TRUE, FILTER(Validations!$U$2:$U$100, ISNUMBER(SEARCH(Validations!$U$2:$U$100, AI20))))"),"")</f>
        <v/>
      </c>
      <c r="AM20" s="24" t="b">
        <f t="shared" si="1"/>
        <v>0</v>
      </c>
      <c r="AN20" s="41" t="b">
        <v>0</v>
      </c>
      <c r="AO20" s="36" t="s">
        <v>175</v>
      </c>
      <c r="AP20" s="12" t="str">
        <f>IFERROR(__xludf.DUMMYFUNCTION("IF(TEXTJOIN("", "", TRUE, FILTER(Validations!$Q$2:$Q$100, ISNUMBER(SEARCH(Validations!$Q$2:$Q$100, AO20)))) = """", Validations!$Q$2, TEXTJOIN("", "", TRUE, FILTER(Validations!$Q$2:$Q$100, ISNUMBER(SEARCH(Validations!$Q$2:$Q$100, AO20)))))"),"Radius")</f>
        <v>Radius</v>
      </c>
      <c r="AQ20" s="12">
        <f>IFERROR(__xludf.DUMMYFUNCTION("IFERROR(VALUE(REGEXEXTRACT(AO20, ""\d+"")), """")"),10.0)</f>
        <v>10</v>
      </c>
      <c r="AR20" s="12" t="str">
        <f>IFERROR(__xludf.DUMMYFUNCTION("TEXTJOIN("", "", TRUE, FILTER(Validations!$R$2:$R$100, ISNUMBER(SEARCH(Validations!$R$2:$R$100, AO20))))"),"Feet")</f>
        <v>Feet</v>
      </c>
      <c r="AS20" s="27"/>
      <c r="AT20" s="12" t="str">
        <f>IFERROR(__xludf.DUMMYFUNCTION("IFERROR(TEXTJOIN("", "", TRUE, FILTER(Validations!$I$2:$I$100, ISNUMBER(SEARCH(Validations!$I$2:$I$100, AS20)))), """")"),"")</f>
        <v/>
      </c>
      <c r="AU20" s="16" t="str">
        <f t="array" ref="AU20">IFERROR(INDEX(Validations!$J$2:$J$100, MATCH(TRUE, ISNUMBER(SEARCH(Validations!$I$2:$I$100, AT20)), 0)), "")</f>
        <v/>
      </c>
      <c r="AV20" s="12" t="str">
        <f>IFERROR(__xludf.DUMMYFUNCTION("IFERROR(VALUE(REGEXEXTRACT(AS20, ""\d+"")), """")"),"")</f>
        <v/>
      </c>
      <c r="AW20" s="12" t="str">
        <f>IFERROR(__xludf.DUMMYFUNCTION("IFERROR(TEXTJOIN("", "", TRUE, FILTER(Validations!$Q$2:$Q$100, ISNUMBER(SEARCH(Validations!$Q$2:$Q$100, AS20)))), """")"),"")</f>
        <v/>
      </c>
      <c r="AX20" s="36" t="s">
        <v>135</v>
      </c>
      <c r="AY20" s="28" t="str">
        <f>IFERROR(__xludf.DUMMYFUNCTION("TEXTJOIN("", "", TRUE, FILTER(Validations!$Y$2:$Y$100, ISNUMBER(SEARCH(Validations!$X$2:$X$100, AX20))))"),"V, S, T")</f>
        <v>V, S, T</v>
      </c>
      <c r="AZ20" s="26"/>
      <c r="BA20" s="22" t="s">
        <v>176</v>
      </c>
      <c r="BB20" s="22"/>
      <c r="BC20" s="22"/>
      <c r="BD20" s="22"/>
      <c r="BE20" s="27"/>
      <c r="BF20" s="22"/>
      <c r="BG20" s="27"/>
      <c r="BH20" s="27"/>
      <c r="BI20" s="12" t="str">
        <f>IFERROR(__xludf.DUMMYFUNCTION("IFERROR(TEXTJOIN("", "", TRUE, FILTER(SRD!$A$2:$A$1000, EXACT(SRD!$A$2:$A$1000, J20))), """")"),"")</f>
        <v/>
      </c>
      <c r="BJ20" s="29"/>
      <c r="BK20" s="29"/>
    </row>
    <row r="21" ht="15.75" customHeight="1">
      <c r="A21" s="30" t="s">
        <v>177</v>
      </c>
      <c r="B21" s="22"/>
      <c r="C21" s="31"/>
      <c r="D21" s="31" t="s">
        <v>74</v>
      </c>
      <c r="E21" s="31"/>
      <c r="F21" s="32" t="s">
        <v>139</v>
      </c>
      <c r="G21" s="15" t="s">
        <v>64</v>
      </c>
      <c r="H21" s="31" t="s">
        <v>178</v>
      </c>
      <c r="I21" s="16" t="str">
        <f t="array" ref="I21">INDEX(Validations!$C$2:$C$100, MATCH(TRUE, ISNUMBER(SEARCH(Validations!$B$2:$B$100, H21)), 0))</f>
        <v>A</v>
      </c>
      <c r="J21" s="17" t="s">
        <v>179</v>
      </c>
      <c r="K21" s="34"/>
      <c r="L21" s="33"/>
      <c r="M21" s="33"/>
      <c r="N21" s="27"/>
      <c r="O21" s="33"/>
      <c r="P21" s="35"/>
      <c r="Q21" s="35"/>
      <c r="R21" s="22"/>
      <c r="S21" s="17" t="str">
        <f>IFERROR(__xludf.DUMMYFUNCTION("IFERROR(REGEXEXTRACT(J21, ""(\d{1,3}[dD]\d{1,3})""), """")"),"1d4")</f>
        <v>1d4</v>
      </c>
      <c r="T21" s="17" t="str">
        <f>IFERROR(__xludf.DUMMYFUNCTION("IF(COUNTIF(ARRAYFORMULA(LOWER(Validations!$O$2:$O$100)), LOWER(REGEXEXTRACT(J21, ""\d{1,3}[dD]\d{1,3}\s+(\w+)"")))&gt;0, REGEXEXTRACT(J21, ""\d{1,3}[dD]\d{1,3}\s+(\w+)""), """")"),"")</f>
        <v/>
      </c>
      <c r="U21" s="17" t="str">
        <f>IFERROR(__xludf.DUMMYFUNCTION("IF(COUNTIF(ARRAYFORMULA(LOWER(Validations!$P$2:$P$100)), LOWER(REGEXEXTRACT(J21, ""\d{1,3}[dD]\d{1,3}\s+(\w+)"")))&gt;0, REGEXEXTRACT(J21, ""\d{1,3}[dD]\d{1,3}\s+(\w+)""), """")"),"")</f>
        <v/>
      </c>
      <c r="V21" s="12" t="str">
        <f>IFERROR(__xludf.DUMMYFUNCTION("TEXTJOIN("", "", TRUE, FILTER(Validations!$L$2:$L$100, ISNUMBER(SEARCH(Validations!$L$2:$L$100, J21))))"),"")</f>
        <v/>
      </c>
      <c r="W21" s="12" t="str">
        <f>IFERROR(__xludf.DUMMYFUNCTION("IFERROR(TEXTJOIN("", "", TRUE, FILTER(Validations!$M$2:$M$100, ISNUMBER(SEARCH(Validations!$M$2:$M$100 &amp; "" saving throw"", J21)))), """")"),"")</f>
        <v/>
      </c>
      <c r="X21" s="12"/>
      <c r="Y21" s="12"/>
      <c r="Z21" s="12" t="str">
        <f>IFERROR(__xludf.DUMMYFUNCTION("IFERROR(TEXTJOIN("", "", TRUE, FILTER(Validations!$N$2:$N$100, ISNUMBER(SEARCH(Validations!$N$2:$N$100 &amp; "" check"", J21)))), """")"),"")</f>
        <v/>
      </c>
      <c r="AA21" s="12" t="str">
        <f>IFERROR(__xludf.DUMMYFUNCTION("IFERROR(TEXTJOIN("", "", TRUE, FILTER(Validations!$N$2:$N$100, ISNUMBER(SEARCH(Validations!$N$2:$N$100 &amp; "" check"", W21)))), """")"),"")</f>
        <v/>
      </c>
      <c r="AB21" s="23" t="str">
        <f>IFERROR(__xludf.DUMMYFUNCTION("IFERROR(CONCATENATE(IF(ISNUMBER(SEARCH(Validations!$M$2:$M$100 &amp; "" spell save"", J21)),""Spell Save"",""""), REGEXEXTRACT(J21, ""DC (\d+)"")), """")"),"")</f>
        <v/>
      </c>
      <c r="AC21" s="24" t="b">
        <v>0</v>
      </c>
      <c r="AD21" s="24" t="b">
        <v>0</v>
      </c>
      <c r="AE21" s="36" t="s">
        <v>69</v>
      </c>
      <c r="AF21" s="25">
        <f>IFERROR(__xludf.DUMMYFUNCTION("IFERROR(VALUE(REGEXEXTRACT(AE21, ""\d+"")), 1)"),1.0)</f>
        <v>1</v>
      </c>
      <c r="AG21" s="12" t="str">
        <f>IFERROR(__xludf.DUMMYFUNCTION("IF(
  ISNUMBER(SEARCH(""Bonus Action"", AE21)),
  ""Bonus Action"",
  IF(
    ISNUMBER(SEARCH(""Reaction"", AE21)),
    ""Reaction"",
    IF(
      ISNUMBER(SEARCH(""Action"", AE21)),
      ""Action"",
      TEXTJOIN("", "", TRUE, FILTER(Validations!$S$2:"&amp;"$S$100, ISNUMBER(SEARCH(Validations!$S$2:$S$100, AE21))))
    )
  )
)"),"Action")</f>
        <v>Action</v>
      </c>
      <c r="AH21" s="36"/>
      <c r="AI21" s="20" t="s">
        <v>87</v>
      </c>
      <c r="AJ21" s="26" t="str">
        <f>IFERROR(__xludf.DUMMYFUNCTION("TEXTJOIN("", "", TRUE, FILTER(Validations!$T$2:$T$100, ISNUMBER(SEARCH(Validations!$T$2:$T$100, AI21))))"),"")</f>
        <v/>
      </c>
      <c r="AK21" s="26">
        <f>IFERROR(__xludf.DUMMYFUNCTION("IFERROR(VALUE(REGEXEXTRACT(AI21, ""\d+"")), """")"),1.0)</f>
        <v>1</v>
      </c>
      <c r="AL21" s="26" t="str">
        <f>IFERROR(__xludf.DUMMYFUNCTION("TEXTJOIN("", "", TRUE, FILTER(Validations!$U$2:$U$100, ISNUMBER(SEARCH(Validations!$U$2:$U$100, AI21))))"),"Rounds")</f>
        <v>Rounds</v>
      </c>
      <c r="AM21" s="24" t="b">
        <f t="shared" si="1"/>
        <v>0</v>
      </c>
      <c r="AN21" s="24" t="b">
        <v>0</v>
      </c>
      <c r="AO21" s="22" t="s">
        <v>71</v>
      </c>
      <c r="AP21" s="12" t="str">
        <f>IFERROR(__xludf.DUMMYFUNCTION("IF(TEXTJOIN("", "", TRUE, FILTER(Validations!$Q$2:$Q$100, ISNUMBER(SEARCH(Validations!$Q$2:$Q$100, AO21)))) = """", Validations!$Q$2, TEXTJOIN("", "", TRUE, FILTER(Validations!$Q$2:$Q$100, ISNUMBER(SEARCH(Validations!$Q$2:$Q$100, AO21)))))"),"Point")</f>
        <v>Point</v>
      </c>
      <c r="AQ21" s="12" t="str">
        <f>IFERROR(__xludf.DUMMYFUNCTION("IFERROR(VALUE(REGEXEXTRACT(AO21, ""\d+"")), """")"),"")</f>
        <v/>
      </c>
      <c r="AR21" s="12" t="str">
        <f>IFERROR(__xludf.DUMMYFUNCTION("TEXTJOIN("", "", TRUE, FILTER(Validations!$R$2:$R$100, ISNUMBER(SEARCH(Validations!$R$2:$R$100, AO21))))"),"Touch")</f>
        <v>Touch</v>
      </c>
      <c r="AS21" s="27"/>
      <c r="AT21" s="12" t="str">
        <f>IFERROR(__xludf.DUMMYFUNCTION("IFERROR(TEXTJOIN("", "", TRUE, FILTER(Validations!$I$2:$I$100, ISNUMBER(SEARCH(Validations!$I$2:$I$100, AS21)))), """")"),"")</f>
        <v/>
      </c>
      <c r="AU21" s="16" t="str">
        <f t="array" ref="AU21">IFERROR(INDEX(Validations!$J$2:$J$100, MATCH(TRUE, ISNUMBER(SEARCH(Validations!$I$2:$I$100, AT21)), 0)), "")</f>
        <v/>
      </c>
      <c r="AV21" s="12" t="str">
        <f>IFERROR(__xludf.DUMMYFUNCTION("IFERROR(VALUE(REGEXEXTRACT(AS21, ""\d+"")), """")"),"")</f>
        <v/>
      </c>
      <c r="AW21" s="12" t="str">
        <f>IFERROR(__xludf.DUMMYFUNCTION("IFERROR(TEXTJOIN("", "", TRUE, FILTER(Validations!$Q$2:$Q$100, ISNUMBER(SEARCH(Validations!$Q$2:$Q$100, AS21)))), """")"),"")</f>
        <v/>
      </c>
      <c r="AX21" s="28" t="s">
        <v>72</v>
      </c>
      <c r="AY21" s="28" t="str">
        <f>IFERROR(__xludf.DUMMYFUNCTION("TEXTJOIN("", "", TRUE, FILTER(Validations!$Y$2:$Y$100, ISNUMBER(SEARCH(Validations!$X$2:$X$100, AX21))))"),"V, S")</f>
        <v>V, S</v>
      </c>
      <c r="AZ21" s="27"/>
      <c r="BA21" s="22"/>
      <c r="BB21" s="22"/>
      <c r="BC21" s="22"/>
      <c r="BD21" s="22"/>
      <c r="BE21" s="27"/>
      <c r="BF21" s="22"/>
      <c r="BG21" s="27"/>
      <c r="BH21" s="27"/>
      <c r="BI21" s="12" t="str">
        <f>IFERROR(__xludf.DUMMYFUNCTION("IFERROR(TEXTJOIN("", "", TRUE, FILTER(SRD!$A$2:$A$1000, EXACT(SRD!$A$2:$A$1000, J21))), """")"),"")</f>
        <v/>
      </c>
      <c r="BJ21" s="29"/>
      <c r="BK21" s="29"/>
    </row>
    <row r="22" ht="15.75" customHeight="1">
      <c r="A22" s="30" t="s">
        <v>180</v>
      </c>
      <c r="B22" s="22"/>
      <c r="C22" s="31"/>
      <c r="D22" s="31" t="s">
        <v>74</v>
      </c>
      <c r="E22" s="31"/>
      <c r="F22" s="32" t="s">
        <v>75</v>
      </c>
      <c r="G22" s="15" t="s">
        <v>64</v>
      </c>
      <c r="H22" s="31" t="s">
        <v>85</v>
      </c>
      <c r="I22" s="16" t="str">
        <f t="array" ref="I22">INDEX(Validations!$C$2:$C$100, MATCH(TRUE, ISNUMBER(SEARCH(Validations!$B$2:$B$100, H22)), 0))</f>
        <v>T</v>
      </c>
      <c r="J22" s="33" t="s">
        <v>181</v>
      </c>
      <c r="K22" s="34"/>
      <c r="L22" s="33"/>
      <c r="M22" s="33"/>
      <c r="N22" s="27"/>
      <c r="O22" s="33"/>
      <c r="P22" s="35"/>
      <c r="Q22" s="35"/>
      <c r="R22" s="22"/>
      <c r="S22" s="17" t="str">
        <f>IFERROR(__xludf.DUMMYFUNCTION("IFERROR(REGEXEXTRACT(J22, ""(\d{1,3}[dD]\d{1,3})""), """")"),"")</f>
        <v/>
      </c>
      <c r="T22" s="17" t="str">
        <f>IFERROR(__xludf.DUMMYFUNCTION("IF(COUNTIF(ARRAYFORMULA(LOWER(Validations!$O$2:$O$100)), LOWER(REGEXEXTRACT(J22, ""\d{1,3}[dD]\d{1,3}\s+(\w+)"")))&gt;0, REGEXEXTRACT(J22, ""\d{1,3}[dD]\d{1,3}\s+(\w+)""), """")"),"")</f>
        <v/>
      </c>
      <c r="U22" s="17" t="str">
        <f>IFERROR(__xludf.DUMMYFUNCTION("IF(COUNTIF(ARRAYFORMULA(LOWER(Validations!$P$2:$P$100)), LOWER(REGEXEXTRACT(J22, ""\d{1,3}[dD]\d{1,3}\s+(\w+)"")))&gt;0, REGEXEXTRACT(J22, ""\d{1,3}[dD]\d{1,3}\s+(\w+)""), """")"),"")</f>
        <v/>
      </c>
      <c r="V22" s="12" t="str">
        <f>IFERROR(__xludf.DUMMYFUNCTION("TEXTJOIN("", "", TRUE, FILTER(Validations!$L$2:$L$100, ISNUMBER(SEARCH(Validations!$L$2:$L$100, J22))))"),"")</f>
        <v/>
      </c>
      <c r="W22" s="12" t="str">
        <f>IFERROR(__xludf.DUMMYFUNCTION("IFERROR(TEXTJOIN("", "", TRUE, FILTER(Validations!$M$2:$M$100, ISNUMBER(SEARCH(Validations!$M$2:$M$100 &amp; "" saving throw"", J22)))), """")"),"")</f>
        <v/>
      </c>
      <c r="X22" s="12"/>
      <c r="Y22" s="12"/>
      <c r="Z22" s="12" t="str">
        <f>IFERROR(__xludf.DUMMYFUNCTION("IFERROR(TEXTJOIN("", "", TRUE, FILTER(Validations!$N$2:$N$100, ISNUMBER(SEARCH(Validations!$N$2:$N$100 &amp; "" check"", J22)))), """")"),"")</f>
        <v/>
      </c>
      <c r="AA22" s="12" t="str">
        <f>IFERROR(__xludf.DUMMYFUNCTION("IFERROR(TEXTJOIN("", "", TRUE, FILTER(Validations!$N$2:$N$100, ISNUMBER(SEARCH(Validations!$N$2:$N$100 &amp; "" check"", W22)))), """")"),"")</f>
        <v/>
      </c>
      <c r="AB22" s="23" t="str">
        <f>IFERROR(__xludf.DUMMYFUNCTION("IFERROR(CONCATENATE(IF(ISNUMBER(SEARCH(Validations!$M$2:$M$100 &amp; "" spell save"", J22)),""Spell Save"",""""), REGEXEXTRACT(J22, ""DC (\d+)"")), """")"),"")</f>
        <v/>
      </c>
      <c r="AC22" s="24" t="b">
        <v>0</v>
      </c>
      <c r="AD22" s="24" t="b">
        <v>0</v>
      </c>
      <c r="AE22" s="36" t="s">
        <v>69</v>
      </c>
      <c r="AF22" s="25">
        <f>IFERROR(__xludf.DUMMYFUNCTION("IFERROR(VALUE(REGEXEXTRACT(AE22, ""\d+"")), 1)"),1.0)</f>
        <v>1</v>
      </c>
      <c r="AG22" s="12" t="str">
        <f>IFERROR(__xludf.DUMMYFUNCTION("IF(
  ISNUMBER(SEARCH(""Bonus Action"", AE22)),
  ""Bonus Action"",
  IF(
    ISNUMBER(SEARCH(""Reaction"", AE22)),
    ""Reaction"",
    IF(
      ISNUMBER(SEARCH(""Action"", AE22)),
      ""Action"",
      TEXTJOIN("", "", TRUE, FILTER(Validations!$S$2:"&amp;"$S$100, ISNUMBER(SEARCH(Validations!$S$2:$S$100, AE22))))
    )
  )
)"),"Action")</f>
        <v>Action</v>
      </c>
      <c r="AH22" s="36"/>
      <c r="AI22" s="20" t="s">
        <v>92</v>
      </c>
      <c r="AJ22" s="26" t="str">
        <f>IFERROR(__xludf.DUMMYFUNCTION("TEXTJOIN("", "", TRUE, FILTER(Validations!$T$2:$T$100, ISNUMBER(SEARCH(Validations!$T$2:$T$100, AI22))))"),"")</f>
        <v/>
      </c>
      <c r="AK22" s="26">
        <f>IFERROR(__xludf.DUMMYFUNCTION("IFERROR(VALUE(REGEXEXTRACT(AI22, ""\d+"")), """")"),1.0)</f>
        <v>1</v>
      </c>
      <c r="AL22" s="26" t="str">
        <f>IFERROR(__xludf.DUMMYFUNCTION("TEXTJOIN("", "", TRUE, FILTER(Validations!$U$2:$U$100, ISNUMBER(SEARCH(Validations!$U$2:$U$100, AI22))))"),"Minutes")</f>
        <v>Minutes</v>
      </c>
      <c r="AM22" s="24" t="b">
        <f t="shared" si="1"/>
        <v>0</v>
      </c>
      <c r="AN22" s="24" t="b">
        <v>0</v>
      </c>
      <c r="AO22" s="22" t="s">
        <v>71</v>
      </c>
      <c r="AP22" s="12" t="str">
        <f>IFERROR(__xludf.DUMMYFUNCTION("IF(TEXTJOIN("", "", TRUE, FILTER(Validations!$Q$2:$Q$100, ISNUMBER(SEARCH(Validations!$Q$2:$Q$100, AO22)))) = """", Validations!$Q$2, TEXTJOIN("", "", TRUE, FILTER(Validations!$Q$2:$Q$100, ISNUMBER(SEARCH(Validations!$Q$2:$Q$100, AO22)))))"),"Point")</f>
        <v>Point</v>
      </c>
      <c r="AQ22" s="12" t="str">
        <f>IFERROR(__xludf.DUMMYFUNCTION("IFERROR(VALUE(REGEXEXTRACT(AO22, ""\d+"")), """")"),"")</f>
        <v/>
      </c>
      <c r="AR22" s="12" t="str">
        <f>IFERROR(__xludf.DUMMYFUNCTION("TEXTJOIN("", "", TRUE, FILTER(Validations!$R$2:$R$100, ISNUMBER(SEARCH(Validations!$R$2:$R$100, AO22))))"),"Touch")</f>
        <v>Touch</v>
      </c>
      <c r="AS22" s="27"/>
      <c r="AT22" s="12" t="str">
        <f>IFERROR(__xludf.DUMMYFUNCTION("IFERROR(TEXTJOIN("", "", TRUE, FILTER(Validations!$I$2:$I$100, ISNUMBER(SEARCH(Validations!$I$2:$I$100, AS22)))), """")"),"")</f>
        <v/>
      </c>
      <c r="AU22" s="16" t="str">
        <f t="array" ref="AU22">IFERROR(INDEX(Validations!$J$2:$J$100, MATCH(TRUE, ISNUMBER(SEARCH(Validations!$I$2:$I$100, AT22)), 0)), "")</f>
        <v/>
      </c>
      <c r="AV22" s="12" t="str">
        <f>IFERROR(__xludf.DUMMYFUNCTION("IFERROR(VALUE(REGEXEXTRACT(AS22, ""\d+"")), """")"),"")</f>
        <v/>
      </c>
      <c r="AW22" s="12" t="str">
        <f>IFERROR(__xludf.DUMMYFUNCTION("IFERROR(TEXTJOIN("", "", TRUE, FILTER(Validations!$Q$2:$Q$100, ISNUMBER(SEARCH(Validations!$Q$2:$Q$100, AS22)))), """")"),"")</f>
        <v/>
      </c>
      <c r="AX22" s="28" t="s">
        <v>72</v>
      </c>
      <c r="AY22" s="28" t="str">
        <f>IFERROR(__xludf.DUMMYFUNCTION("TEXTJOIN("", "", TRUE, FILTER(Validations!$Y$2:$Y$100, ISNUMBER(SEARCH(Validations!$X$2:$X$100, AX22))))"),"V, S")</f>
        <v>V, S</v>
      </c>
      <c r="AZ22" s="27"/>
      <c r="BA22" s="22"/>
      <c r="BB22" s="22"/>
      <c r="BC22" s="22"/>
      <c r="BD22" s="22"/>
      <c r="BE22" s="27"/>
      <c r="BF22" s="22"/>
      <c r="BG22" s="27"/>
      <c r="BH22" s="27"/>
      <c r="BI22" s="12" t="str">
        <f>IFERROR(__xludf.DUMMYFUNCTION("IFERROR(TEXTJOIN("", "", TRUE, FILTER(SRD!$A$2:$A$1000, EXACT(SRD!$A$2:$A$1000, J22))), """")"),"")</f>
        <v/>
      </c>
      <c r="BJ22" s="29"/>
      <c r="BK22" s="29"/>
    </row>
    <row r="23" ht="15.75" customHeight="1">
      <c r="A23" s="30" t="s">
        <v>182</v>
      </c>
      <c r="B23" s="22"/>
      <c r="C23" s="31"/>
      <c r="D23" s="31" t="s">
        <v>74</v>
      </c>
      <c r="E23" s="31"/>
      <c r="F23" s="32" t="s">
        <v>139</v>
      </c>
      <c r="G23" s="15" t="s">
        <v>64</v>
      </c>
      <c r="H23" s="31" t="s">
        <v>183</v>
      </c>
      <c r="I23" s="16" t="str">
        <f t="array" ref="I23">INDEX(Validations!$C$2:$C$100, MATCH(TRUE, ISNUMBER(SEARCH(Validations!$B$2:$B$100, H23)), 0))</f>
        <v>E</v>
      </c>
      <c r="J23" s="33" t="s">
        <v>184</v>
      </c>
      <c r="K23" s="34"/>
      <c r="L23" s="33"/>
      <c r="M23" s="33"/>
      <c r="N23" s="27"/>
      <c r="O23" s="33"/>
      <c r="P23" s="35"/>
      <c r="Q23" s="35"/>
      <c r="R23" s="22"/>
      <c r="S23" s="17" t="str">
        <f>IFERROR(__xludf.DUMMYFUNCTION("IFERROR(REGEXEXTRACT(J23, ""(\d{1,3}[dD]\d{1,3})""), """")"),"")</f>
        <v/>
      </c>
      <c r="T23" s="17" t="str">
        <f>IFERROR(__xludf.DUMMYFUNCTION("IF(COUNTIF(ARRAYFORMULA(LOWER(Validations!$O$2:$O$100)), LOWER(REGEXEXTRACT(J23, ""\d{1,3}[dD]\d{1,3}\s+(\w+)"")))&gt;0, REGEXEXTRACT(J23, ""\d{1,3}[dD]\d{1,3}\s+(\w+)""), """")"),"")</f>
        <v/>
      </c>
      <c r="U23" s="17" t="str">
        <f>IFERROR(__xludf.DUMMYFUNCTION("IF(COUNTIF(ARRAYFORMULA(LOWER(Validations!$P$2:$P$100)), LOWER(REGEXEXTRACT(J23, ""\d{1,3}[dD]\d{1,3}\s+(\w+)"")))&gt;0, REGEXEXTRACT(J23, ""\d{1,3}[dD]\d{1,3}\s+(\w+)""), """")"),"")</f>
        <v/>
      </c>
      <c r="V23" s="12" t="str">
        <f>IFERROR(__xludf.DUMMYFUNCTION("TEXTJOIN("", "", TRUE, FILTER(Validations!$L$2:$L$100, ISNUMBER(SEARCH(Validations!$L$2:$L$100, J23))))"),"")</f>
        <v/>
      </c>
      <c r="W23" s="12" t="str">
        <f>IFERROR(__xludf.DUMMYFUNCTION("IFERROR(TEXTJOIN("", "", TRUE, FILTER(Validations!$M$2:$M$100, ISNUMBER(SEARCH(Validations!$M$2:$M$100 &amp; "" saving throw"", J23)))), """")"),"Charisma")</f>
        <v>Charisma</v>
      </c>
      <c r="X23" s="12"/>
      <c r="Y23" s="12"/>
      <c r="Z23" s="12" t="str">
        <f>IFERROR(__xludf.DUMMYFUNCTION("IFERROR(TEXTJOIN("", "", TRUE, FILTER(Validations!$N$2:$N$100, ISNUMBER(SEARCH(Validations!$N$2:$N$100 &amp; "" check"", J23)))), """")"),"")</f>
        <v/>
      </c>
      <c r="AA23" s="12" t="str">
        <f>IFERROR(__xludf.DUMMYFUNCTION("IFERROR(TEXTJOIN("", "", TRUE, FILTER(Validations!$N$2:$N$100, ISNUMBER(SEARCH(Validations!$N$2:$N$100 &amp; "" check"", W23)))), """")"),"")</f>
        <v/>
      </c>
      <c r="AB23" s="23" t="str">
        <f>IFERROR(__xludf.DUMMYFUNCTION("IFERROR(CONCATENATE(IF(ISNUMBER(SEARCH(Validations!$M$2:$M$100 &amp; "" spell save"", J23)),""Spell Save"",""""), REGEXEXTRACT(J23, ""DC (\d+)"")), """")"),"")</f>
        <v/>
      </c>
      <c r="AC23" s="24" t="b">
        <v>0</v>
      </c>
      <c r="AD23" s="24" t="b">
        <v>0</v>
      </c>
      <c r="AE23" s="36" t="s">
        <v>69</v>
      </c>
      <c r="AF23" s="25">
        <f>IFERROR(__xludf.DUMMYFUNCTION("IFERROR(VALUE(REGEXEXTRACT(AE23, ""\d+"")), 1)"),1.0)</f>
        <v>1</v>
      </c>
      <c r="AG23" s="12" t="str">
        <f>IFERROR(__xludf.DUMMYFUNCTION("IF(
  ISNUMBER(SEARCH(""Bonus Action"", AE23)),
  ""Bonus Action"",
  IF(
    ISNUMBER(SEARCH(""Reaction"", AE23)),
    ""Reaction"",
    IF(
      ISNUMBER(SEARCH(""Action"", AE23)),
      ""Action"",
      TEXTJOIN("", "", TRUE, FILTER(Validations!$S$2:"&amp;"$S$100, ISNUMBER(SEARCH(Validations!$S$2:$S$100, AE23))))
    )
  )
)"),"Action")</f>
        <v>Action</v>
      </c>
      <c r="AH23" s="36"/>
      <c r="AI23" s="20" t="s">
        <v>87</v>
      </c>
      <c r="AJ23" s="26" t="str">
        <f>IFERROR(__xludf.DUMMYFUNCTION("TEXTJOIN("", "", TRUE, FILTER(Validations!$T$2:$T$100, ISNUMBER(SEARCH(Validations!$T$2:$T$100, AI23))))"),"")</f>
        <v/>
      </c>
      <c r="AK23" s="26">
        <f>IFERROR(__xludf.DUMMYFUNCTION("IFERROR(VALUE(REGEXEXTRACT(AI23, ""\d+"")), """")"),1.0)</f>
        <v>1</v>
      </c>
      <c r="AL23" s="26" t="str">
        <f>IFERROR(__xludf.DUMMYFUNCTION("TEXTJOIN("", "", TRUE, FILTER(Validations!$U$2:$U$100, ISNUMBER(SEARCH(Validations!$U$2:$U$100, AI23))))"),"Rounds")</f>
        <v>Rounds</v>
      </c>
      <c r="AM23" s="24" t="b">
        <f t="shared" si="1"/>
        <v>0</v>
      </c>
      <c r="AN23" s="24" t="b">
        <v>0</v>
      </c>
      <c r="AO23" s="22" t="s">
        <v>105</v>
      </c>
      <c r="AP23" s="12" t="str">
        <f>IFERROR(__xludf.DUMMYFUNCTION("IF(TEXTJOIN("", "", TRUE, FILTER(Validations!$Q$2:$Q$100, ISNUMBER(SEARCH(Validations!$Q$2:$Q$100, AO23)))) = """", Validations!$Q$2, TEXTJOIN("", "", TRUE, FILTER(Validations!$Q$2:$Q$100, ISNUMBER(SEARCH(Validations!$Q$2:$Q$100, AO23)))))"),"Point")</f>
        <v>Point</v>
      </c>
      <c r="AQ23" s="12">
        <f>IFERROR(__xludf.DUMMYFUNCTION("IFERROR(VALUE(REGEXEXTRACT(AO23, ""\d+"")), """")"),10.0)</f>
        <v>10</v>
      </c>
      <c r="AR23" s="12" t="str">
        <f>IFERROR(__xludf.DUMMYFUNCTION("TEXTJOIN("", "", TRUE, FILTER(Validations!$R$2:$R$100, ISNUMBER(SEARCH(Validations!$R$2:$R$100, AO23))))"),"Feet")</f>
        <v>Feet</v>
      </c>
      <c r="AS23" s="27"/>
      <c r="AT23" s="12" t="str">
        <f>IFERROR(__xludf.DUMMYFUNCTION("IFERROR(TEXTJOIN("", "", TRUE, FILTER(Validations!$I$2:$I$100, ISNUMBER(SEARCH(Validations!$I$2:$I$100, AS23)))), """")"),"")</f>
        <v/>
      </c>
      <c r="AU23" s="16" t="str">
        <f t="array" ref="AU23">IFERROR(INDEX(Validations!$J$2:$J$100, MATCH(TRUE, ISNUMBER(SEARCH(Validations!$I$2:$I$100, AT23)), 0)), "")</f>
        <v/>
      </c>
      <c r="AV23" s="12" t="str">
        <f>IFERROR(__xludf.DUMMYFUNCTION("IFERROR(VALUE(REGEXEXTRACT(AS23, ""\d+"")), """")"),"")</f>
        <v/>
      </c>
      <c r="AW23" s="12" t="str">
        <f>IFERROR(__xludf.DUMMYFUNCTION("IFERROR(TEXTJOIN("", "", TRUE, FILTER(Validations!$Q$2:$Q$100, ISNUMBER(SEARCH(Validations!$Q$2:$Q$100, AS23)))), """")"),"")</f>
        <v/>
      </c>
      <c r="AX23" s="28" t="s">
        <v>142</v>
      </c>
      <c r="AY23" s="28" t="str">
        <f>IFERROR(__xludf.DUMMYFUNCTION("TEXTJOIN("", "", TRUE, FILTER(Validations!$Y$2:$Y$100, ISNUMBER(SEARCH(Validations!$X$2:$X$100, AX23))))"),"V, S")</f>
        <v>V, S</v>
      </c>
      <c r="AZ23" s="27"/>
      <c r="BA23" s="22"/>
      <c r="BB23" s="22"/>
      <c r="BC23" s="22"/>
      <c r="BD23" s="22"/>
      <c r="BE23" s="27"/>
      <c r="BF23" s="22"/>
      <c r="BG23" s="27"/>
      <c r="BH23" s="27"/>
      <c r="BI23" s="12" t="str">
        <f>IFERROR(__xludf.DUMMYFUNCTION("IFERROR(TEXTJOIN("", "", TRUE, FILTER(SRD!$A$2:$A$1000, EXACT(SRD!$A$2:$A$1000, J23))), """")"),"")</f>
        <v/>
      </c>
      <c r="BJ23" s="29"/>
      <c r="BK23" s="29"/>
    </row>
    <row r="24" ht="15.75" customHeight="1">
      <c r="A24" s="30" t="s">
        <v>185</v>
      </c>
      <c r="B24" s="22"/>
      <c r="C24" s="31"/>
      <c r="D24" s="31" t="s">
        <v>74</v>
      </c>
      <c r="E24" s="31"/>
      <c r="F24" s="32" t="s">
        <v>186</v>
      </c>
      <c r="G24" s="15" t="s">
        <v>64</v>
      </c>
      <c r="H24" s="16" t="s">
        <v>144</v>
      </c>
      <c r="I24" s="16" t="str">
        <f t="array" ref="I24">INDEX(Validations!$C$2:$C$100, MATCH(TRUE, ISNUMBER(SEARCH(Validations!$B$2:$B$100, H24)), 0))</f>
        <v>D</v>
      </c>
      <c r="J24" s="33" t="s">
        <v>187</v>
      </c>
      <c r="K24" s="34"/>
      <c r="L24" s="33"/>
      <c r="M24" s="33"/>
      <c r="N24" s="27"/>
      <c r="O24" s="33"/>
      <c r="P24" s="35"/>
      <c r="Q24" s="35"/>
      <c r="R24" s="22"/>
      <c r="S24" s="17" t="str">
        <f>IFERROR(__xludf.DUMMYFUNCTION("IFERROR(REGEXEXTRACT(J24, ""(\d{1,3}[dD]\d{1,3})""), """")"),"")</f>
        <v/>
      </c>
      <c r="T24" s="17" t="str">
        <f>IFERROR(__xludf.DUMMYFUNCTION("IF(COUNTIF(ARRAYFORMULA(LOWER(Validations!$O$2:$O$100)), LOWER(REGEXEXTRACT(J24, ""\d{1,3}[dD]\d{1,3}\s+(\w+)"")))&gt;0, REGEXEXTRACT(J24, ""\d{1,3}[dD]\d{1,3}\s+(\w+)""), """")"),"")</f>
        <v/>
      </c>
      <c r="U24" s="17" t="str">
        <f>IFERROR(__xludf.DUMMYFUNCTION("IF(COUNTIF(ARRAYFORMULA(LOWER(Validations!$P$2:$P$100)), LOWER(REGEXEXTRACT(J24, ""\d{1,3}[dD]\d{1,3}\s+(\w+)"")))&gt;0, REGEXEXTRACT(J24, ""\d{1,3}[dD]\d{1,3}\s+(\w+)""), """")"),"")</f>
        <v/>
      </c>
      <c r="V24" s="12" t="str">
        <f>IFERROR(__xludf.DUMMYFUNCTION("TEXTJOIN("", "", TRUE, FILTER(Validations!$L$2:$L$100, ISNUMBER(SEARCH(Validations!$L$2:$L$100, J24))))"),"")</f>
        <v/>
      </c>
      <c r="W24" s="12" t="str">
        <f>IFERROR(__xludf.DUMMYFUNCTION("IFERROR(TEXTJOIN("", "", TRUE, FILTER(Validations!$M$2:$M$100, ISNUMBER(SEARCH(Validations!$M$2:$M$100 &amp; "" saving throw"", J24)))), """")"),"")</f>
        <v/>
      </c>
      <c r="X24" s="12"/>
      <c r="Y24" s="12"/>
      <c r="Z24" s="12" t="str">
        <f>IFERROR(__xludf.DUMMYFUNCTION("IFERROR(TEXTJOIN("", "", TRUE, FILTER(Validations!$N$2:$N$100, ISNUMBER(SEARCH(Validations!$N$2:$N$100 &amp; "" check"", J24)))), """")"),"")</f>
        <v/>
      </c>
      <c r="AA24" s="12" t="str">
        <f>IFERROR(__xludf.DUMMYFUNCTION("IFERROR(TEXTJOIN("", "", TRUE, FILTER(Validations!$N$2:$N$100, ISNUMBER(SEARCH(Validations!$N$2:$N$100 &amp; "" check"", W24)))), """")"),"")</f>
        <v/>
      </c>
      <c r="AB24" s="23" t="str">
        <f>IFERROR(__xludf.DUMMYFUNCTION("IFERROR(CONCATENATE(IF(ISNUMBER(SEARCH(Validations!$M$2:$M$100 &amp; "" spell save"", J24)),""Spell Save"",""""), REGEXEXTRACT(J24, ""DC (\d+)"")), """")"),"")</f>
        <v/>
      </c>
      <c r="AC24" s="24" t="b">
        <v>0</v>
      </c>
      <c r="AD24" s="24" t="b">
        <v>0</v>
      </c>
      <c r="AE24" s="36" t="s">
        <v>69</v>
      </c>
      <c r="AF24" s="25">
        <f>IFERROR(__xludf.DUMMYFUNCTION("IFERROR(VALUE(REGEXEXTRACT(AE24, ""\d+"")), 1)"),1.0)</f>
        <v>1</v>
      </c>
      <c r="AG24" s="12" t="str">
        <f>IFERROR(__xludf.DUMMYFUNCTION("IF(
  ISNUMBER(SEARCH(""Bonus Action"", AE24)),
  ""Bonus Action"",
  IF(
    ISNUMBER(SEARCH(""Reaction"", AE24)),
    ""Reaction"",
    IF(
      ISNUMBER(SEARCH(""Action"", AE24)),
      ""Action"",
      TEXTJOIN("", "", TRUE, FILTER(Validations!$S$2:"&amp;"$S$100, ISNUMBER(SEARCH(Validations!$S$2:$S$100, AE24))))
    )
  )
)"),"Action")</f>
        <v>Action</v>
      </c>
      <c r="AH24" s="36"/>
      <c r="AI24" s="27" t="s">
        <v>70</v>
      </c>
      <c r="AJ24" s="26" t="str">
        <f>IFERROR(__xludf.DUMMYFUNCTION("TEXTJOIN("", "", TRUE, FILTER(Validations!$T$2:$T$100, ISNUMBER(SEARCH(Validations!$T$2:$T$100, AI24))))"),"Instantaneous")</f>
        <v>Instantaneous</v>
      </c>
      <c r="AK24" s="26" t="str">
        <f>IFERROR(__xludf.DUMMYFUNCTION("IFERROR(VALUE(REGEXEXTRACT(AI24, ""\d+"")), """")"),"")</f>
        <v/>
      </c>
      <c r="AL24" s="26" t="str">
        <f>IFERROR(__xludf.DUMMYFUNCTION("TEXTJOIN("", "", TRUE, FILTER(Validations!$U$2:$U$100, ISNUMBER(SEARCH(Validations!$U$2:$U$100, AI24))))"),"")</f>
        <v/>
      </c>
      <c r="AM24" s="24" t="b">
        <f t="shared" si="1"/>
        <v>0</v>
      </c>
      <c r="AN24" s="24" t="b">
        <v>0</v>
      </c>
      <c r="AO24" s="22" t="s">
        <v>99</v>
      </c>
      <c r="AP24" s="12" t="str">
        <f>IFERROR(__xludf.DUMMYFUNCTION("IF(TEXTJOIN("", "", TRUE, FILTER(Validations!$Q$2:$Q$100, ISNUMBER(SEARCH(Validations!$Q$2:$Q$100, AO24)))) = """", Validations!$Q$2, TEXTJOIN("", "", TRUE, FILTER(Validations!$Q$2:$Q$100, ISNUMBER(SEARCH(Validations!$Q$2:$Q$100, AO24)))))"),"Point")</f>
        <v>Point</v>
      </c>
      <c r="AQ24" s="12">
        <f>IFERROR(__xludf.DUMMYFUNCTION("IFERROR(VALUE(REGEXEXTRACT(AO24, ""\d+"")), """")"),5.0)</f>
        <v>5</v>
      </c>
      <c r="AR24" s="12" t="str">
        <f>IFERROR(__xludf.DUMMYFUNCTION("TEXTJOIN("", "", TRUE, FILTER(Validations!$R$2:$R$100, ISNUMBER(SEARCH(Validations!$R$2:$R$100, AO24))))"),"Feet")</f>
        <v>Feet</v>
      </c>
      <c r="AS24" s="27"/>
      <c r="AT24" s="12" t="str">
        <f>IFERROR(__xludf.DUMMYFUNCTION("IFERROR(TEXTJOIN("", "", TRUE, FILTER(Validations!$I$2:$I$100, ISNUMBER(SEARCH(Validations!$I$2:$I$100, AS24)))), """")"),"")</f>
        <v/>
      </c>
      <c r="AU24" s="16" t="str">
        <f t="array" ref="AU24">IFERROR(INDEX(Validations!$J$2:$J$100, MATCH(TRUE, ISNUMBER(SEARCH(Validations!$I$2:$I$100, AT24)), 0)), "")</f>
        <v/>
      </c>
      <c r="AV24" s="12" t="str">
        <f>IFERROR(__xludf.DUMMYFUNCTION("IFERROR(VALUE(REGEXEXTRACT(AS24, ""\d+"")), """")"),"")</f>
        <v/>
      </c>
      <c r="AW24" s="12" t="str">
        <f>IFERROR(__xludf.DUMMYFUNCTION("IFERROR(TEXTJOIN("", "", TRUE, FILTER(Validations!$Q$2:$Q$100, ISNUMBER(SEARCH(Validations!$Q$2:$Q$100, AS24)))), """")"),"")</f>
        <v/>
      </c>
      <c r="AX24" s="28" t="s">
        <v>72</v>
      </c>
      <c r="AY24" s="28" t="str">
        <f>IFERROR(__xludf.DUMMYFUNCTION("TEXTJOIN("", "", TRUE, FILTER(Validations!$Y$2:$Y$100, ISNUMBER(SEARCH(Validations!$X$2:$X$100, AX24))))"),"V, S")</f>
        <v>V, S</v>
      </c>
      <c r="AZ24" s="27"/>
      <c r="BA24" s="22"/>
      <c r="BB24" s="22"/>
      <c r="BC24" s="22"/>
      <c r="BD24" s="22"/>
      <c r="BE24" s="27"/>
      <c r="BF24" s="22"/>
      <c r="BG24" s="27"/>
      <c r="BH24" s="27"/>
      <c r="BI24" s="12" t="str">
        <f>IFERROR(__xludf.DUMMYFUNCTION("IFERROR(TEXTJOIN("", "", TRUE, FILTER(SRD!$A$2:$A$1000, EXACT(SRD!$A$2:$A$1000, J24))), """")"),"")</f>
        <v/>
      </c>
      <c r="BJ24" s="29"/>
      <c r="BK24" s="29"/>
    </row>
    <row r="25" ht="15.75" customHeight="1">
      <c r="A25" s="30" t="s">
        <v>188</v>
      </c>
      <c r="B25" s="22"/>
      <c r="C25" s="31"/>
      <c r="D25" s="31" t="s">
        <v>74</v>
      </c>
      <c r="E25" s="31"/>
      <c r="F25" s="32" t="s">
        <v>108</v>
      </c>
      <c r="G25" s="15" t="s">
        <v>64</v>
      </c>
      <c r="H25" s="31" t="s">
        <v>140</v>
      </c>
      <c r="I25" s="16" t="str">
        <f t="array" ref="I25">INDEX(Validations!$C$2:$C$100, MATCH(TRUE, ISNUMBER(SEARCH(Validations!$B$2:$B$100, H25)), 0))</f>
        <v>N</v>
      </c>
      <c r="J25" s="33" t="s">
        <v>189</v>
      </c>
      <c r="K25" s="34"/>
      <c r="L25" s="33"/>
      <c r="M25" s="33"/>
      <c r="N25" s="27"/>
      <c r="O25" s="33"/>
      <c r="P25" s="35"/>
      <c r="Q25" s="35"/>
      <c r="R25" s="22"/>
      <c r="S25" s="17" t="str">
        <f>IFERROR(__xludf.DUMMYFUNCTION("IFERROR(REGEXEXTRACT(J25, ""(\d{1,3}[dD]\d{1,3})""), """")"),"")</f>
        <v/>
      </c>
      <c r="T25" s="17" t="str">
        <f>IFERROR(__xludf.DUMMYFUNCTION("IF(COUNTIF(ARRAYFORMULA(LOWER(Validations!$O$2:$O$100)), LOWER(REGEXEXTRACT(J25, ""\d{1,3}[dD]\d{1,3}\s+(\w+)"")))&gt;0, REGEXEXTRACT(J25, ""\d{1,3}[dD]\d{1,3}\s+(\w+)""), """")"),"")</f>
        <v/>
      </c>
      <c r="U25" s="17" t="str">
        <f>IFERROR(__xludf.DUMMYFUNCTION("IF(COUNTIF(ARRAYFORMULA(LOWER(Validations!$P$2:$P$100)), LOWER(REGEXEXTRACT(J25, ""\d{1,3}[dD]\d{1,3}\s+(\w+)"")))&gt;0, REGEXEXTRACT(J25, ""\d{1,3}[dD]\d{1,3}\s+(\w+)""), """")"),"")</f>
        <v/>
      </c>
      <c r="V25" s="12" t="str">
        <f>IFERROR(__xludf.DUMMYFUNCTION("TEXTJOIN("", "", TRUE, FILTER(Validations!$L$2:$L$100, ISNUMBER(SEARCH(Validations!$L$2:$L$100, J25))))"),"Invisible")</f>
        <v>Invisible</v>
      </c>
      <c r="W25" s="12" t="str">
        <f>IFERROR(__xludf.DUMMYFUNCTION("IFERROR(TEXTJOIN("", "", TRUE, FILTER(Validations!$M$2:$M$100, ISNUMBER(SEARCH(Validations!$M$2:$M$100 &amp; "" saving throw"", J25)))), """")"),"")</f>
        <v/>
      </c>
      <c r="X25" s="12"/>
      <c r="Y25" s="12"/>
      <c r="Z25" s="12" t="str">
        <f>IFERROR(__xludf.DUMMYFUNCTION("IFERROR(TEXTJOIN("", "", TRUE, FILTER(Validations!$N$2:$N$100, ISNUMBER(SEARCH(Validations!$N$2:$N$100 &amp; "" check"", J25)))), """")"),"")</f>
        <v/>
      </c>
      <c r="AA25" s="12" t="str">
        <f>IFERROR(__xludf.DUMMYFUNCTION("IFERROR(TEXTJOIN("", "", TRUE, FILTER(Validations!$N$2:$N$100, ISNUMBER(SEARCH(Validations!$N$2:$N$100 &amp; "" check"", W25)))), """")"),"")</f>
        <v/>
      </c>
      <c r="AB25" s="23" t="str">
        <f>IFERROR(__xludf.DUMMYFUNCTION("IFERROR(CONCATENATE(IF(ISNUMBER(SEARCH(Validations!$M$2:$M$100 &amp; "" spell save"", J25)),""Spell Save"",""""), REGEXEXTRACT(J25, ""DC (\d+)"")), """")"),"")</f>
        <v/>
      </c>
      <c r="AC25" s="24" t="b">
        <v>0</v>
      </c>
      <c r="AD25" s="24" t="b">
        <v>0</v>
      </c>
      <c r="AE25" s="36" t="s">
        <v>69</v>
      </c>
      <c r="AF25" s="25">
        <f>IFERROR(__xludf.DUMMYFUNCTION("IFERROR(VALUE(REGEXEXTRACT(AE25, ""\d+"")), 1)"),1.0)</f>
        <v>1</v>
      </c>
      <c r="AG25" s="12" t="str">
        <f>IFERROR(__xludf.DUMMYFUNCTION("IF(
  ISNUMBER(SEARCH(""Bonus Action"", AE25)),
  ""Bonus Action"",
  IF(
    ISNUMBER(SEARCH(""Reaction"", AE25)),
    ""Reaction"",
    IF(
      ISNUMBER(SEARCH(""Action"", AE25)),
      ""Action"",
      TEXTJOIN("", "", TRUE, FILTER(Validations!$S$2:"&amp;"$S$100, ISNUMBER(SEARCH(Validations!$S$2:$S$100, AE25))))
    )
  )
)"),"Action")</f>
        <v>Action</v>
      </c>
      <c r="AH25" s="36"/>
      <c r="AI25" s="20" t="s">
        <v>92</v>
      </c>
      <c r="AJ25" s="26" t="str">
        <f>IFERROR(__xludf.DUMMYFUNCTION("TEXTJOIN("", "", TRUE, FILTER(Validations!$T$2:$T$100, ISNUMBER(SEARCH(Validations!$T$2:$T$100, AI25))))"),"")</f>
        <v/>
      </c>
      <c r="AK25" s="26">
        <f>IFERROR(__xludf.DUMMYFUNCTION("IFERROR(VALUE(REGEXEXTRACT(AI25, ""\d+"")), """")"),1.0)</f>
        <v>1</v>
      </c>
      <c r="AL25" s="26" t="str">
        <f>IFERROR(__xludf.DUMMYFUNCTION("TEXTJOIN("", "", TRUE, FILTER(Validations!$U$2:$U$100, ISNUMBER(SEARCH(Validations!$U$2:$U$100, AI25))))"),"Minutes")</f>
        <v>Minutes</v>
      </c>
      <c r="AM25" s="24" t="b">
        <f t="shared" si="1"/>
        <v>0</v>
      </c>
      <c r="AN25" s="24" t="b">
        <v>1</v>
      </c>
      <c r="AO25" s="22" t="s">
        <v>112</v>
      </c>
      <c r="AP25" s="12" t="str">
        <f>IFERROR(__xludf.DUMMYFUNCTION("IF(TEXTJOIN("", "", TRUE, FILTER(Validations!$Q$2:$Q$100, ISNUMBER(SEARCH(Validations!$Q$2:$Q$100, AO25)))) = """", Validations!$Q$2, TEXTJOIN("", "", TRUE, FILTER(Validations!$Q$2:$Q$100, ISNUMBER(SEARCH(Validations!$Q$2:$Q$100, AO25)))))"),"Point")</f>
        <v>Point</v>
      </c>
      <c r="AQ25" s="12">
        <f>IFERROR(__xludf.DUMMYFUNCTION("IFERROR(VALUE(REGEXEXTRACT(AO25, ""\d+"")), """")"),30.0)</f>
        <v>30</v>
      </c>
      <c r="AR25" s="12" t="str">
        <f>IFERROR(__xludf.DUMMYFUNCTION("TEXTJOIN("", "", TRUE, FILTER(Validations!$R$2:$R$100, ISNUMBER(SEARCH(Validations!$R$2:$R$100, AO25))))"),"Feet")</f>
        <v>Feet</v>
      </c>
      <c r="AS25" s="27"/>
      <c r="AT25" s="12" t="str">
        <f>IFERROR(__xludf.DUMMYFUNCTION("IFERROR(TEXTJOIN("", "", TRUE, FILTER(Validations!$I$2:$I$100, ISNUMBER(SEARCH(Validations!$I$2:$I$100, AS25)))), """")"),"")</f>
        <v/>
      </c>
      <c r="AU25" s="16" t="str">
        <f t="array" ref="AU25">IFERROR(INDEX(Validations!$J$2:$J$100, MATCH(TRUE, ISNUMBER(SEARCH(Validations!$I$2:$I$100, AT25)), 0)), "")</f>
        <v/>
      </c>
      <c r="AV25" s="12" t="str">
        <f>IFERROR(__xludf.DUMMYFUNCTION("IFERROR(VALUE(REGEXEXTRACT(AS25, ""\d+"")), """")"),"")</f>
        <v/>
      </c>
      <c r="AW25" s="12" t="str">
        <f>IFERROR(__xludf.DUMMYFUNCTION("IFERROR(TEXTJOIN("", "", TRUE, FILTER(Validations!$Q$2:$Q$100, ISNUMBER(SEARCH(Validations!$Q$2:$Q$100, AS25)))), """")"),"")</f>
        <v/>
      </c>
      <c r="AX25" s="28" t="s">
        <v>142</v>
      </c>
      <c r="AY25" s="28" t="str">
        <f>IFERROR(__xludf.DUMMYFUNCTION("TEXTJOIN("", "", TRUE, FILTER(Validations!$Y$2:$Y$100, ISNUMBER(SEARCH(Validations!$X$2:$X$100, AX25))))"),"V, S")</f>
        <v>V, S</v>
      </c>
      <c r="AZ25" s="27"/>
      <c r="BA25" s="22"/>
      <c r="BB25" s="22"/>
      <c r="BC25" s="22"/>
      <c r="BD25" s="22"/>
      <c r="BE25" s="27"/>
      <c r="BF25" s="22"/>
      <c r="BG25" s="27"/>
      <c r="BH25" s="27"/>
      <c r="BI25" s="12" t="str">
        <f>IFERROR(__xludf.DUMMYFUNCTION("IFERROR(TEXTJOIN("", "", TRUE, FILTER(SRD!$A$2:$A$1000, EXACT(SRD!$A$2:$A$1000, J25))), """")"),"")</f>
        <v/>
      </c>
      <c r="BJ25" s="29"/>
      <c r="BK25" s="29"/>
    </row>
    <row r="26" ht="15.75" customHeight="1">
      <c r="A26" s="30" t="s">
        <v>190</v>
      </c>
      <c r="B26" s="22"/>
      <c r="C26" s="31"/>
      <c r="D26" s="31" t="s">
        <v>191</v>
      </c>
      <c r="E26" s="31"/>
      <c r="F26" s="32" t="s">
        <v>123</v>
      </c>
      <c r="G26" s="15" t="s">
        <v>64</v>
      </c>
      <c r="H26" s="16" t="s">
        <v>65</v>
      </c>
      <c r="I26" s="16" t="str">
        <f t="array" ref="I26">INDEX(Validations!$C$2:$C$100, MATCH(TRUE, ISNUMBER(SEARCH(Validations!$B$2:$B$100, H26)), 0))</f>
        <v>I</v>
      </c>
      <c r="J26" s="17" t="s">
        <v>192</v>
      </c>
      <c r="K26" s="18"/>
      <c r="L26" s="17"/>
      <c r="M26" s="17"/>
      <c r="N26" s="27"/>
      <c r="O26" s="17"/>
      <c r="P26" s="21"/>
      <c r="Q26" s="21"/>
      <c r="R26" s="22"/>
      <c r="S26" s="17" t="str">
        <f>IFERROR(__xludf.DUMMYFUNCTION("IFERROR(REGEXEXTRACT(J26, ""(\d{1,3}[dD]\d{1,3})""), """")"),"")</f>
        <v/>
      </c>
      <c r="T26" s="17" t="str">
        <f>IFERROR(__xludf.DUMMYFUNCTION("IF(COUNTIF(ARRAYFORMULA(LOWER(Validations!$O$2:$O$100)), LOWER(REGEXEXTRACT(J26, ""\d{1,3}[dD]\d{1,3}\s+(\w+)"")))&gt;0, REGEXEXTRACT(J26, ""\d{1,3}[dD]\d{1,3}\s+(\w+)""), """")"),"")</f>
        <v/>
      </c>
      <c r="U26" s="17" t="str">
        <f>IFERROR(__xludf.DUMMYFUNCTION("IF(COUNTIF(ARRAYFORMULA(LOWER(Validations!$P$2:$P$100)), LOWER(REGEXEXTRACT(J26, ""\d{1,3}[dD]\d{1,3}\s+(\w+)"")))&gt;0, REGEXEXTRACT(J26, ""\d{1,3}[dD]\d{1,3}\s+(\w+)""), """")"),"")</f>
        <v/>
      </c>
      <c r="V26" s="12" t="str">
        <f>IFERROR(__xludf.DUMMYFUNCTION("TEXTJOIN("", "", TRUE, FILTER(Validations!$L$2:$L$100, ISNUMBER(SEARCH(Validations!$L$2:$L$100, J26))))"),"")</f>
        <v/>
      </c>
      <c r="W26" s="12" t="str">
        <f>IFERROR(__xludf.DUMMYFUNCTION("IFERROR(TEXTJOIN("", "", TRUE, FILTER(Validations!$M$2:$M$100, ISNUMBER(SEARCH(Validations!$M$2:$M$100 &amp; "" saving throw"", J26)))), """")"),"Wisdom")</f>
        <v>Wisdom</v>
      </c>
      <c r="X26" s="12"/>
      <c r="Y26" s="12"/>
      <c r="Z26" s="12" t="str">
        <f>IFERROR(__xludf.DUMMYFUNCTION("IFERROR(TEXTJOIN("", "", TRUE, FILTER(Validations!$N$2:$N$100, ISNUMBER(SEARCH(Validations!$N$2:$N$100 &amp; "" check"", J26)))), """")"),"")</f>
        <v/>
      </c>
      <c r="AA26" s="12" t="str">
        <f>IFERROR(__xludf.DUMMYFUNCTION("IFERROR(TEXTJOIN("", "", TRUE, FILTER(Validations!$N$2:$N$100, ISNUMBER(SEARCH(Validations!$N$2:$N$100 &amp; "" check"", W26)))), """")"),"")</f>
        <v/>
      </c>
      <c r="AB26" s="23" t="str">
        <f>IFERROR(__xludf.DUMMYFUNCTION("IFERROR(CONCATENATE(IF(ISNUMBER(SEARCH(Validations!$M$2:$M$100 &amp; "" spell save"", J26)),""Spell Save"",""""), REGEXEXTRACT(J26, ""DC (\d+)"")), """")"),"")</f>
        <v/>
      </c>
      <c r="AC26" s="24" t="b">
        <v>0</v>
      </c>
      <c r="AD26" s="24" t="b">
        <v>0</v>
      </c>
      <c r="AE26" s="36" t="s">
        <v>69</v>
      </c>
      <c r="AF26" s="25">
        <f>IFERROR(__xludf.DUMMYFUNCTION("IFERROR(VALUE(REGEXEXTRACT(AE26, ""\d+"")), 1)"),1.0)</f>
        <v>1</v>
      </c>
      <c r="AG26" s="12" t="str">
        <f>IFERROR(__xludf.DUMMYFUNCTION("IF(
  ISNUMBER(SEARCH(""Bonus Action"", AE26)),
  ""Bonus Action"",
  IF(
    ISNUMBER(SEARCH(""Reaction"", AE26)),
    ""Reaction"",
    IF(
      ISNUMBER(SEARCH(""Action"", AE26)),
      ""Action"",
      TEXTJOIN("", "", TRUE, FILTER(Validations!$S$2:"&amp;"$S$100, ISNUMBER(SEARCH(Validations!$S$2:$S$100, AE26))))
    )
  )
)"),"Action")</f>
        <v>Action</v>
      </c>
      <c r="AH26" s="36"/>
      <c r="AI26" s="20" t="s">
        <v>92</v>
      </c>
      <c r="AJ26" s="26" t="str">
        <f>IFERROR(__xludf.DUMMYFUNCTION("TEXTJOIN("", "", TRUE, FILTER(Validations!$T$2:$T$100, ISNUMBER(SEARCH(Validations!$T$2:$T$100, AI26))))"),"")</f>
        <v/>
      </c>
      <c r="AK26" s="26">
        <f>IFERROR(__xludf.DUMMYFUNCTION("IFERROR(VALUE(REGEXEXTRACT(AI26, ""\d+"")), """")"),1.0)</f>
        <v>1</v>
      </c>
      <c r="AL26" s="26" t="str">
        <f>IFERROR(__xludf.DUMMYFUNCTION("TEXTJOIN("", "", TRUE, FILTER(Validations!$U$2:$U$100, ISNUMBER(SEARCH(Validations!$U$2:$U$100, AI26))))"),"Minutes")</f>
        <v>Minutes</v>
      </c>
      <c r="AM26" s="24" t="b">
        <f t="shared" si="1"/>
        <v>0</v>
      </c>
      <c r="AN26" s="24" t="b">
        <v>1</v>
      </c>
      <c r="AO26" s="22" t="s">
        <v>193</v>
      </c>
      <c r="AP26" s="12" t="str">
        <f>IFERROR(__xludf.DUMMYFUNCTION("IF(TEXTJOIN("", "", TRUE, FILTER(Validations!$Q$2:$Q$100, ISNUMBER(SEARCH(Validations!$Q$2:$Q$100, AO26)))) = """", Validations!$Q$2, TEXTJOIN("", "", TRUE, FILTER(Validations!$Q$2:$Q$100, ISNUMBER(SEARCH(Validations!$Q$2:$Q$100, AO26)))))"),"Point")</f>
        <v>Point</v>
      </c>
      <c r="AQ26" s="12">
        <f>IFERROR(__xludf.DUMMYFUNCTION("IFERROR(VALUE(REGEXEXTRACT(AO26, ""\d+"")), """")"),12.0)</f>
        <v>12</v>
      </c>
      <c r="AR26" s="12" t="str">
        <f>IFERROR(__xludf.DUMMYFUNCTION("TEXTJOIN("", "", TRUE, FILTER(Validations!$R$2:$R$100, ISNUMBER(SEARCH(Validations!$R$2:$R$100, AO26))))"),"Feet")</f>
        <v>Feet</v>
      </c>
      <c r="AS26" s="27"/>
      <c r="AT26" s="12" t="str">
        <f>IFERROR(__xludf.DUMMYFUNCTION("IFERROR(TEXTJOIN("", "", TRUE, FILTER(Validations!$I$2:$I$100, ISNUMBER(SEARCH(Validations!$I$2:$I$100, AS26)))), """")"),"")</f>
        <v/>
      </c>
      <c r="AU26" s="16" t="str">
        <f t="array" ref="AU26">IFERROR(INDEX(Validations!$J$2:$J$100, MATCH(TRUE, ISNUMBER(SEARCH(Validations!$I$2:$I$100, AT26)), 0)), "")</f>
        <v/>
      </c>
      <c r="AV26" s="12" t="str">
        <f>IFERROR(__xludf.DUMMYFUNCTION("IFERROR(VALUE(REGEXEXTRACT(AS26, ""\d+"")), """")"),"")</f>
        <v/>
      </c>
      <c r="AW26" s="12" t="str">
        <f>IFERROR(__xludf.DUMMYFUNCTION("IFERROR(TEXTJOIN("", "", TRUE, FILTER(Validations!$Q$2:$Q$100, ISNUMBER(SEARCH(Validations!$Q$2:$Q$100, AS26)))), """")"),"")</f>
        <v/>
      </c>
      <c r="AX26" s="28" t="s">
        <v>152</v>
      </c>
      <c r="AY26" s="28" t="str">
        <f>IFERROR(__xludf.DUMMYFUNCTION("TEXTJOIN("", "", TRUE, FILTER(Validations!$Y$2:$Y$100, ISNUMBER(SEARCH(Validations!$X$2:$X$100, AX26))))"),"V, S, R")</f>
        <v>V, S, R</v>
      </c>
      <c r="AZ26" s="20" t="s">
        <v>194</v>
      </c>
      <c r="BA26" s="22"/>
      <c r="BB26" s="22"/>
      <c r="BC26" s="22"/>
      <c r="BD26" s="22"/>
      <c r="BE26" s="27"/>
      <c r="BF26" s="22"/>
      <c r="BG26" s="27"/>
      <c r="BH26" s="27"/>
      <c r="BI26" s="12" t="str">
        <f>IFERROR(__xludf.DUMMYFUNCTION("IFERROR(TEXTJOIN("", "", TRUE, FILTER(SRD!$A$2:$A$1000, EXACT(SRD!$A$2:$A$1000, J26))), """")"),"")</f>
        <v/>
      </c>
      <c r="BJ26" s="29"/>
      <c r="BK26" s="29"/>
    </row>
    <row r="27" ht="15.75" customHeight="1">
      <c r="A27" s="30" t="s">
        <v>195</v>
      </c>
      <c r="B27" s="22"/>
      <c r="C27" s="31"/>
      <c r="D27" s="31" t="s">
        <v>74</v>
      </c>
      <c r="E27" s="31"/>
      <c r="F27" s="32" t="s">
        <v>84</v>
      </c>
      <c r="G27" s="15" t="s">
        <v>64</v>
      </c>
      <c r="H27" s="31" t="s">
        <v>76</v>
      </c>
      <c r="I27" s="16" t="str">
        <f t="array" ref="I27">INDEX(Validations!$C$2:$C$100, MATCH(TRUE, ISNUMBER(SEARCH(Validations!$B$2:$B$100, H27)), 0))</f>
        <v>V</v>
      </c>
      <c r="J27" s="33" t="s">
        <v>196</v>
      </c>
      <c r="K27" s="34"/>
      <c r="L27" s="33"/>
      <c r="M27" s="33"/>
      <c r="N27" s="27"/>
      <c r="O27" s="33"/>
      <c r="P27" s="35"/>
      <c r="Q27" s="35"/>
      <c r="R27" s="22"/>
      <c r="S27" s="17" t="str">
        <f>IFERROR(__xludf.DUMMYFUNCTION("IFERROR(REGEXEXTRACT(J27, ""(\d{1,3}[dD]\d{1,3})""), """")"),"")</f>
        <v/>
      </c>
      <c r="T27" s="17" t="str">
        <f>IFERROR(__xludf.DUMMYFUNCTION("IF(COUNTIF(ARRAYFORMULA(LOWER(Validations!$O$2:$O$100)), LOWER(REGEXEXTRACT(J27, ""\d{1,3}[dD]\d{1,3}\s+(\w+)"")))&gt;0, REGEXEXTRACT(J27, ""\d{1,3}[dD]\d{1,3}\s+(\w+)""), """")"),"")</f>
        <v/>
      </c>
      <c r="U27" s="17" t="str">
        <f>IFERROR(__xludf.DUMMYFUNCTION("IF(COUNTIF(ARRAYFORMULA(LOWER(Validations!$P$2:$P$100)), LOWER(REGEXEXTRACT(J27, ""\d{1,3}[dD]\d{1,3}\s+(\w+)"")))&gt;0, REGEXEXTRACT(J27, ""\d{1,3}[dD]\d{1,3}\s+(\w+)""), """")"),"")</f>
        <v/>
      </c>
      <c r="V27" s="12" t="str">
        <f>IFERROR(__xludf.DUMMYFUNCTION("TEXTJOIN("", "", TRUE, FILTER(Validations!$L$2:$L$100, ISNUMBER(SEARCH(Validations!$L$2:$L$100, J27))))"),"")</f>
        <v/>
      </c>
      <c r="W27" s="12" t="str">
        <f>IFERROR(__xludf.DUMMYFUNCTION("IFERROR(TEXTJOIN("", "", TRUE, FILTER(Validations!$M$2:$M$100, ISNUMBER(SEARCH(Validations!$M$2:$M$100 &amp; "" saving throw"", J27)))), """")"),"")</f>
        <v/>
      </c>
      <c r="X27" s="12"/>
      <c r="Y27" s="12"/>
      <c r="Z27" s="12" t="str">
        <f>IFERROR(__xludf.DUMMYFUNCTION("IFERROR(TEXTJOIN("", "", TRUE, FILTER(Validations!$N$2:$N$100, ISNUMBER(SEARCH(Validations!$N$2:$N$100 &amp; "" check"", J27)))), """")"),"")</f>
        <v/>
      </c>
      <c r="AA27" s="12" t="str">
        <f>IFERROR(__xludf.DUMMYFUNCTION("IFERROR(TEXTJOIN("", "", TRUE, FILTER(Validations!$N$2:$N$100, ISNUMBER(SEARCH(Validations!$N$2:$N$100 &amp; "" check"", W27)))), """")"),"")</f>
        <v/>
      </c>
      <c r="AB27" s="23" t="str">
        <f>IFERROR(__xludf.DUMMYFUNCTION("IFERROR(CONCATENATE(IF(ISNUMBER(SEARCH(Validations!$M$2:$M$100 &amp; "" spell save"", J27)),""Spell Save"",""""), REGEXEXTRACT(J27, ""DC (\d+)"")), """")"),"")</f>
        <v/>
      </c>
      <c r="AC27" s="24" t="b">
        <v>0</v>
      </c>
      <c r="AD27" s="24" t="b">
        <v>0</v>
      </c>
      <c r="AE27" s="36" t="s">
        <v>69</v>
      </c>
      <c r="AF27" s="25">
        <f>IFERROR(__xludf.DUMMYFUNCTION("IFERROR(VALUE(REGEXEXTRACT(AE27, ""\d+"")), 1)"),1.0)</f>
        <v>1</v>
      </c>
      <c r="AG27" s="12" t="str">
        <f>IFERROR(__xludf.DUMMYFUNCTION("IF(
  ISNUMBER(SEARCH(""Bonus Action"", AE27)),
  ""Bonus Action"",
  IF(
    ISNUMBER(SEARCH(""Reaction"", AE27)),
    ""Reaction"",
    IF(
      ISNUMBER(SEARCH(""Action"", AE27)),
      ""Action"",
      TEXTJOIN("", "", TRUE, FILTER(Validations!$S$2:"&amp;"$S$100, ISNUMBER(SEARCH(Validations!$S$2:$S$100, AE27))))
    )
  )
)"),"Action")</f>
        <v>Action</v>
      </c>
      <c r="AH27" s="36"/>
      <c r="AI27" s="27" t="s">
        <v>70</v>
      </c>
      <c r="AJ27" s="26" t="str">
        <f>IFERROR(__xludf.DUMMYFUNCTION("TEXTJOIN("", "", TRUE, FILTER(Validations!$T$2:$T$100, ISNUMBER(SEARCH(Validations!$T$2:$T$100, AI27))))"),"Instantaneous")</f>
        <v>Instantaneous</v>
      </c>
      <c r="AK27" s="26" t="str">
        <f>IFERROR(__xludf.DUMMYFUNCTION("IFERROR(VALUE(REGEXEXTRACT(AI27, ""\d+"")), """")"),"")</f>
        <v/>
      </c>
      <c r="AL27" s="26" t="str">
        <f>IFERROR(__xludf.DUMMYFUNCTION("TEXTJOIN("", "", TRUE, FILTER(Validations!$U$2:$U$100, ISNUMBER(SEARCH(Validations!$U$2:$U$100, AI27))))"),"")</f>
        <v/>
      </c>
      <c r="AM27" s="24" t="b">
        <f t="shared" si="1"/>
        <v>0</v>
      </c>
      <c r="AN27" s="24" t="b">
        <v>0</v>
      </c>
      <c r="AO27" s="22" t="s">
        <v>112</v>
      </c>
      <c r="AP27" s="12" t="str">
        <f>IFERROR(__xludf.DUMMYFUNCTION("IF(TEXTJOIN("", "", TRUE, FILTER(Validations!$Q$2:$Q$100, ISNUMBER(SEARCH(Validations!$Q$2:$Q$100, AO27)))) = """", Validations!$Q$2, TEXTJOIN("", "", TRUE, FILTER(Validations!$Q$2:$Q$100, ISNUMBER(SEARCH(Validations!$Q$2:$Q$100, AO27)))))"),"Point")</f>
        <v>Point</v>
      </c>
      <c r="AQ27" s="12">
        <f>IFERROR(__xludf.DUMMYFUNCTION("IFERROR(VALUE(REGEXEXTRACT(AO27, ""\d+"")), """")"),30.0)</f>
        <v>30</v>
      </c>
      <c r="AR27" s="12" t="str">
        <f>IFERROR(__xludf.DUMMYFUNCTION("TEXTJOIN("", "", TRUE, FILTER(Validations!$R$2:$R$100, ISNUMBER(SEARCH(Validations!$R$2:$R$100, AO27))))"),"Feet")</f>
        <v>Feet</v>
      </c>
      <c r="AS27" s="27"/>
      <c r="AT27" s="12" t="str">
        <f>IFERROR(__xludf.DUMMYFUNCTION("IFERROR(TEXTJOIN("", "", TRUE, FILTER(Validations!$I$2:$I$100, ISNUMBER(SEARCH(Validations!$I$2:$I$100, AS27)))), """")"),"")</f>
        <v/>
      </c>
      <c r="AU27" s="16" t="str">
        <f t="array" ref="AU27">IFERROR(INDEX(Validations!$J$2:$J$100, MATCH(TRUE, ISNUMBER(SEARCH(Validations!$I$2:$I$100, AT27)), 0)), "")</f>
        <v/>
      </c>
      <c r="AV27" s="12" t="str">
        <f>IFERROR(__xludf.DUMMYFUNCTION("IFERROR(VALUE(REGEXEXTRACT(AS27, ""\d+"")), """")"),"")</f>
        <v/>
      </c>
      <c r="AW27" s="12" t="str">
        <f>IFERROR(__xludf.DUMMYFUNCTION("IFERROR(TEXTJOIN("", "", TRUE, FILTER(Validations!$Q$2:$Q$100, ISNUMBER(SEARCH(Validations!$Q$2:$Q$100, AS27)))), """")"),"")</f>
        <v/>
      </c>
      <c r="AX27" s="28" t="s">
        <v>119</v>
      </c>
      <c r="AY27" s="28" t="str">
        <f>IFERROR(__xludf.DUMMYFUNCTION("TEXTJOIN("", "", TRUE, FILTER(Validations!$Y$2:$Y$100, ISNUMBER(SEARCH(Validations!$X$2:$X$100, AX27))))"),"V, R")</f>
        <v>V, R</v>
      </c>
      <c r="AZ27" s="20" t="s">
        <v>197</v>
      </c>
      <c r="BA27" s="22"/>
      <c r="BB27" s="22"/>
      <c r="BC27" s="22"/>
      <c r="BD27" s="22"/>
      <c r="BE27" s="27"/>
      <c r="BF27" s="22"/>
      <c r="BG27" s="27"/>
      <c r="BH27" s="27"/>
      <c r="BI27" s="12" t="str">
        <f>IFERROR(__xludf.DUMMYFUNCTION("IFERROR(TEXTJOIN("", "", TRUE, FILTER(SRD!$A$2:$A$1000, EXACT(SRD!$A$2:$A$1000, J27))), """")"),"")</f>
        <v/>
      </c>
      <c r="BJ27" s="29"/>
      <c r="BK27" s="29"/>
    </row>
    <row r="28" ht="15.75" customHeight="1">
      <c r="A28" s="30" t="s">
        <v>198</v>
      </c>
      <c r="B28" s="22"/>
      <c r="C28" s="31"/>
      <c r="D28" s="31" t="s">
        <v>74</v>
      </c>
      <c r="E28" s="31"/>
      <c r="F28" s="32" t="s">
        <v>199</v>
      </c>
      <c r="G28" s="15" t="s">
        <v>64</v>
      </c>
      <c r="H28" s="31" t="s">
        <v>65</v>
      </c>
      <c r="I28" s="16" t="str">
        <f t="array" ref="I28">INDEX(Validations!$C$2:$C$100, MATCH(TRUE, ISNUMBER(SEARCH(Validations!$B$2:$B$100, H28)), 0))</f>
        <v>I</v>
      </c>
      <c r="J28" s="33" t="s">
        <v>200</v>
      </c>
      <c r="K28" s="34"/>
      <c r="L28" s="33"/>
      <c r="M28" s="33"/>
      <c r="N28" s="27"/>
      <c r="O28" s="33"/>
      <c r="P28" s="35"/>
      <c r="Q28" s="35"/>
      <c r="R28" s="22"/>
      <c r="S28" s="17" t="str">
        <f>IFERROR(__xludf.DUMMYFUNCTION("IFERROR(REGEXEXTRACT(J28, ""(\d{1,3}[dD]\d{1,3})""), """")"),"")</f>
        <v/>
      </c>
      <c r="T28" s="17" t="str">
        <f>IFERROR(__xludf.DUMMYFUNCTION("IF(COUNTIF(ARRAYFORMULA(LOWER(Validations!$O$2:$O$100)), LOWER(REGEXEXTRACT(J28, ""\d{1,3}[dD]\d{1,3}\s+(\w+)"")))&gt;0, REGEXEXTRACT(J28, ""\d{1,3}[dD]\d{1,3}\s+(\w+)""), """")"),"")</f>
        <v/>
      </c>
      <c r="U28" s="17" t="str">
        <f>IFERROR(__xludf.DUMMYFUNCTION("IF(COUNTIF(ARRAYFORMULA(LOWER(Validations!$P$2:$P$100)), LOWER(REGEXEXTRACT(J28, ""\d{1,3}[dD]\d{1,3}\s+(\w+)"")))&gt;0, REGEXEXTRACT(J28, ""\d{1,3}[dD]\d{1,3}\s+(\w+)""), """")"),"")</f>
        <v/>
      </c>
      <c r="V28" s="12" t="str">
        <f>IFERROR(__xludf.DUMMYFUNCTION("TEXTJOIN("", "", TRUE, FILTER(Validations!$L$2:$L$100, ISNUMBER(SEARCH(Validations!$L$2:$L$100, J28))))"),"")</f>
        <v/>
      </c>
      <c r="W28" s="12" t="str">
        <f>IFERROR(__xludf.DUMMYFUNCTION("IFERROR(TEXTJOIN("", "", TRUE, FILTER(Validations!$M$2:$M$100, ISNUMBER(SEARCH(Validations!$M$2:$M$100 &amp; "" saving throw"", J28)))), """")"),"")</f>
        <v/>
      </c>
      <c r="X28" s="12"/>
      <c r="Y28" s="12"/>
      <c r="Z28" s="12" t="str">
        <f>IFERROR(__xludf.DUMMYFUNCTION("IFERROR(TEXTJOIN("", "", TRUE, FILTER(Validations!$N$2:$N$100, ISNUMBER(SEARCH(Validations!$N$2:$N$100 &amp; "" check"", J28)))), """")"),"")</f>
        <v/>
      </c>
      <c r="AA28" s="12" t="str">
        <f>IFERROR(__xludf.DUMMYFUNCTION("IFERROR(TEXTJOIN("", "", TRUE, FILTER(Validations!$N$2:$N$100, ISNUMBER(SEARCH(Validations!$N$2:$N$100 &amp; "" check"", W28)))), """")"),"")</f>
        <v/>
      </c>
      <c r="AB28" s="23" t="str">
        <f>IFERROR(__xludf.DUMMYFUNCTION("IFERROR(CONCATENATE(IF(ISNUMBER(SEARCH(Validations!$M$2:$M$100 &amp; "" spell save"", J28)),""Spell Save"",""""), REGEXEXTRACT(J28, ""DC (\d+)"")), """")"),"")</f>
        <v/>
      </c>
      <c r="AC28" s="24" t="b">
        <v>0</v>
      </c>
      <c r="AD28" s="24" t="b">
        <v>0</v>
      </c>
      <c r="AE28" s="36" t="s">
        <v>69</v>
      </c>
      <c r="AF28" s="25">
        <f>IFERROR(__xludf.DUMMYFUNCTION("IFERROR(VALUE(REGEXEXTRACT(AE28, ""\d+"")), 1)"),1.0)</f>
        <v>1</v>
      </c>
      <c r="AG28" s="12" t="str">
        <f>IFERROR(__xludf.DUMMYFUNCTION("IF(
  ISNUMBER(SEARCH(""Bonus Action"", AE28)),
  ""Bonus Action"",
  IF(
    ISNUMBER(SEARCH(""Reaction"", AE28)),
    ""Reaction"",
    IF(
      ISNUMBER(SEARCH(""Action"", AE28)),
      ""Action"",
      TEXTJOIN("", "", TRUE, FILTER(Validations!$S$2:"&amp;"$S$100, ISNUMBER(SEARCH(Validations!$S$2:$S$100, AE28))))
    )
  )
)"),"Action")</f>
        <v>Action</v>
      </c>
      <c r="AH28" s="36"/>
      <c r="AI28" s="20" t="s">
        <v>87</v>
      </c>
      <c r="AJ28" s="26" t="str">
        <f>IFERROR(__xludf.DUMMYFUNCTION("TEXTJOIN("", "", TRUE, FILTER(Validations!$T$2:$T$100, ISNUMBER(SEARCH(Validations!$T$2:$T$100, AI28))))"),"")</f>
        <v/>
      </c>
      <c r="AK28" s="26">
        <f>IFERROR(__xludf.DUMMYFUNCTION("IFERROR(VALUE(REGEXEXTRACT(AI28, ""\d+"")), """")"),1.0)</f>
        <v>1</v>
      </c>
      <c r="AL28" s="26" t="str">
        <f>IFERROR(__xludf.DUMMYFUNCTION("TEXTJOIN("", "", TRUE, FILTER(Validations!$U$2:$U$100, ISNUMBER(SEARCH(Validations!$U$2:$U$100, AI28))))"),"Rounds")</f>
        <v>Rounds</v>
      </c>
      <c r="AM28" s="24" t="b">
        <f t="shared" si="1"/>
        <v>0</v>
      </c>
      <c r="AN28" s="24" t="b">
        <v>0</v>
      </c>
      <c r="AO28" s="22" t="s">
        <v>105</v>
      </c>
      <c r="AP28" s="12" t="str">
        <f>IFERROR(__xludf.DUMMYFUNCTION("IF(TEXTJOIN("", "", TRUE, FILTER(Validations!$Q$2:$Q$100, ISNUMBER(SEARCH(Validations!$Q$2:$Q$100, AO28)))) = """", Validations!$Q$2, TEXTJOIN("", "", TRUE, FILTER(Validations!$Q$2:$Q$100, ISNUMBER(SEARCH(Validations!$Q$2:$Q$100, AO28)))))"),"Point")</f>
        <v>Point</v>
      </c>
      <c r="AQ28" s="12">
        <f>IFERROR(__xludf.DUMMYFUNCTION("IFERROR(VALUE(REGEXEXTRACT(AO28, ""\d+"")), """")"),10.0)</f>
        <v>10</v>
      </c>
      <c r="AR28" s="12" t="str">
        <f>IFERROR(__xludf.DUMMYFUNCTION("TEXTJOIN("", "", TRUE, FILTER(Validations!$R$2:$R$100, ISNUMBER(SEARCH(Validations!$R$2:$R$100, AO28))))"),"Feet")</f>
        <v>Feet</v>
      </c>
      <c r="AS28" s="27"/>
      <c r="AT28" s="12" t="str">
        <f>IFERROR(__xludf.DUMMYFUNCTION("IFERROR(TEXTJOIN("", "", TRUE, FILTER(Validations!$I$2:$I$100, ISNUMBER(SEARCH(Validations!$I$2:$I$100, AS28)))), """")"),"")</f>
        <v/>
      </c>
      <c r="AU28" s="16" t="str">
        <f t="array" ref="AU28">IFERROR(INDEX(Validations!$J$2:$J$100, MATCH(TRUE, ISNUMBER(SEARCH(Validations!$I$2:$I$100, AT28)), 0)), "")</f>
        <v/>
      </c>
      <c r="AV28" s="12" t="str">
        <f>IFERROR(__xludf.DUMMYFUNCTION("IFERROR(VALUE(REGEXEXTRACT(AS28, ""\d+"")), """")"),"")</f>
        <v/>
      </c>
      <c r="AW28" s="12" t="str">
        <f>IFERROR(__xludf.DUMMYFUNCTION("IFERROR(TEXTJOIN("", "", TRUE, FILTER(Validations!$Q$2:$Q$100, ISNUMBER(SEARCH(Validations!$Q$2:$Q$100, AS28)))), """")"),"")</f>
        <v/>
      </c>
      <c r="AX28" s="28" t="s">
        <v>72</v>
      </c>
      <c r="AY28" s="28" t="str">
        <f>IFERROR(__xludf.DUMMYFUNCTION("TEXTJOIN("", "", TRUE, FILTER(Validations!$Y$2:$Y$100, ISNUMBER(SEARCH(Validations!$X$2:$X$100, AX28))))"),"V, S")</f>
        <v>V, S</v>
      </c>
      <c r="AZ28" s="27"/>
      <c r="BA28" s="22"/>
      <c r="BB28" s="22"/>
      <c r="BC28" s="22"/>
      <c r="BD28" s="22"/>
      <c r="BE28" s="27"/>
      <c r="BF28" s="22"/>
      <c r="BG28" s="27"/>
      <c r="BH28" s="27"/>
      <c r="BI28" s="12" t="str">
        <f>IFERROR(__xludf.DUMMYFUNCTION("IFERROR(TEXTJOIN("", "", TRUE, FILTER(SRD!$A$2:$A$1000, EXACT(SRD!$A$2:$A$1000, J28))), """")"),"")</f>
        <v/>
      </c>
      <c r="BJ28" s="29"/>
      <c r="BK28" s="29"/>
    </row>
    <row r="29" ht="15.75" customHeight="1">
      <c r="A29" s="30" t="s">
        <v>201</v>
      </c>
      <c r="B29" s="22"/>
      <c r="C29" s="31"/>
      <c r="D29" s="31" t="s">
        <v>74</v>
      </c>
      <c r="E29" s="31"/>
      <c r="F29" s="32" t="s">
        <v>75</v>
      </c>
      <c r="G29" s="15" t="s">
        <v>64</v>
      </c>
      <c r="H29" s="31" t="s">
        <v>65</v>
      </c>
      <c r="I29" s="16" t="str">
        <f t="array" ref="I29">INDEX(Validations!$C$2:$C$100, MATCH(TRUE, ISNUMBER(SEARCH(Validations!$B$2:$B$100, H29)), 0))</f>
        <v>I</v>
      </c>
      <c r="J29" s="33" t="s">
        <v>202</v>
      </c>
      <c r="K29" s="34"/>
      <c r="L29" s="33"/>
      <c r="M29" s="33"/>
      <c r="N29" s="27"/>
      <c r="O29" s="33"/>
      <c r="P29" s="35"/>
      <c r="Q29" s="35"/>
      <c r="R29" s="22"/>
      <c r="S29" s="17" t="str">
        <f>IFERROR(__xludf.DUMMYFUNCTION("IFERROR(REGEXEXTRACT(J29, ""(\d{1,3}[dD]\d{1,3})""), """")"),"")</f>
        <v/>
      </c>
      <c r="T29" s="17" t="str">
        <f>IFERROR(__xludf.DUMMYFUNCTION("IF(COUNTIF(ARRAYFORMULA(LOWER(Validations!$O$2:$O$100)), LOWER(REGEXEXTRACT(J29, ""\d{1,3}[dD]\d{1,3}\s+(\w+)"")))&gt;0, REGEXEXTRACT(J29, ""\d{1,3}[dD]\d{1,3}\s+(\w+)""), """")"),"")</f>
        <v/>
      </c>
      <c r="U29" s="17" t="str">
        <f>IFERROR(__xludf.DUMMYFUNCTION("IF(COUNTIF(ARRAYFORMULA(LOWER(Validations!$P$2:$P$100)), LOWER(REGEXEXTRACT(J29, ""\d{1,3}[dD]\d{1,3}\s+(\w+)"")))&gt;0, REGEXEXTRACT(J29, ""\d{1,3}[dD]\d{1,3}\s+(\w+)""), """")"),"")</f>
        <v/>
      </c>
      <c r="V29" s="12" t="str">
        <f>IFERROR(__xludf.DUMMYFUNCTION("TEXTJOIN("", "", TRUE, FILTER(Validations!$L$2:$L$100, ISNUMBER(SEARCH(Validations!$L$2:$L$100, J29))))"),"")</f>
        <v/>
      </c>
      <c r="W29" s="12" t="str">
        <f>IFERROR(__xludf.DUMMYFUNCTION("IFERROR(TEXTJOIN("", "", TRUE, FILTER(Validations!$M$2:$M$100, ISNUMBER(SEARCH(Validations!$M$2:$M$100 &amp; "" saving throw"", J29)))), """")"),"")</f>
        <v/>
      </c>
      <c r="X29" s="12"/>
      <c r="Y29" s="12"/>
      <c r="Z29" s="12" t="str">
        <f>IFERROR(__xludf.DUMMYFUNCTION("IFERROR(TEXTJOIN("", "", TRUE, FILTER(Validations!$N$2:$N$100, ISNUMBER(SEARCH(Validations!$N$2:$N$100 &amp; "" check"", J29)))), """")"),"")</f>
        <v/>
      </c>
      <c r="AA29" s="12" t="str">
        <f>IFERROR(__xludf.DUMMYFUNCTION("IFERROR(TEXTJOIN("", "", TRUE, FILTER(Validations!$N$2:$N$100, ISNUMBER(SEARCH(Validations!$N$2:$N$100 &amp; "" check"", W29)))), """")"),"")</f>
        <v/>
      </c>
      <c r="AB29" s="23" t="str">
        <f>IFERROR(__xludf.DUMMYFUNCTION("IFERROR(CONCATENATE(IF(ISNUMBER(SEARCH(Validations!$M$2:$M$100 &amp; "" spell save"", J29)),""Spell Save"",""""), REGEXEXTRACT(J29, ""DC (\d+)"")), """")"),"")</f>
        <v/>
      </c>
      <c r="AC29" s="24" t="b">
        <v>0</v>
      </c>
      <c r="AD29" s="24" t="b">
        <v>0</v>
      </c>
      <c r="AE29" s="36" t="s">
        <v>69</v>
      </c>
      <c r="AF29" s="25">
        <f>IFERROR(__xludf.DUMMYFUNCTION("IFERROR(VALUE(REGEXEXTRACT(AE29, ""\d+"")), 1)"),1.0)</f>
        <v>1</v>
      </c>
      <c r="AG29" s="12" t="str">
        <f>IFERROR(__xludf.DUMMYFUNCTION("IF(
  ISNUMBER(SEARCH(""Bonus Action"", AE29)),
  ""Bonus Action"",
  IF(
    ISNUMBER(SEARCH(""Reaction"", AE29)),
    ""Reaction"",
    IF(
      ISNUMBER(SEARCH(""Action"", AE29)),
      ""Action"",
      TEXTJOIN("", "", TRUE, FILTER(Validations!$S$2:"&amp;"$S$100, ISNUMBER(SEARCH(Validations!$S$2:$S$100, AE29))))
    )
  )
)"),"Action")</f>
        <v>Action</v>
      </c>
      <c r="AH29" s="36"/>
      <c r="AI29" s="20" t="s">
        <v>92</v>
      </c>
      <c r="AJ29" s="26" t="str">
        <f>IFERROR(__xludf.DUMMYFUNCTION("TEXTJOIN("", "", TRUE, FILTER(Validations!$T$2:$T$100, ISNUMBER(SEARCH(Validations!$T$2:$T$100, AI29))))"),"")</f>
        <v/>
      </c>
      <c r="AK29" s="26">
        <f>IFERROR(__xludf.DUMMYFUNCTION("IFERROR(VALUE(REGEXEXTRACT(AI29, ""\d+"")), """")"),1.0)</f>
        <v>1</v>
      </c>
      <c r="AL29" s="26" t="str">
        <f>IFERROR(__xludf.DUMMYFUNCTION("TEXTJOIN("", "", TRUE, FILTER(Validations!$U$2:$U$100, ISNUMBER(SEARCH(Validations!$U$2:$U$100, AI29))))"),"Minutes")</f>
        <v>Minutes</v>
      </c>
      <c r="AM29" s="24" t="b">
        <f t="shared" si="1"/>
        <v>0</v>
      </c>
      <c r="AN29" s="24" t="b">
        <v>1</v>
      </c>
      <c r="AO29" s="22" t="s">
        <v>78</v>
      </c>
      <c r="AP29" s="12" t="str">
        <f>IFERROR(__xludf.DUMMYFUNCTION("IF(TEXTJOIN("", "", TRUE, FILTER(Validations!$Q$2:$Q$100, ISNUMBER(SEARCH(Validations!$Q$2:$Q$100, AO29)))) = """", Validations!$Q$2, TEXTJOIN("", "", TRUE, FILTER(Validations!$Q$2:$Q$100, ISNUMBER(SEARCH(Validations!$Q$2:$Q$100, AO29)))))"),"Point")</f>
        <v>Point</v>
      </c>
      <c r="AQ29" s="12" t="str">
        <f>IFERROR(__xludf.DUMMYFUNCTION("IFERROR(VALUE(REGEXEXTRACT(AO29, ""\d+"")), """")"),"")</f>
        <v/>
      </c>
      <c r="AR29" s="12" t="str">
        <f>IFERROR(__xludf.DUMMYFUNCTION("TEXTJOIN("", "", TRUE, FILTER(Validations!$R$2:$R$100, ISNUMBER(SEARCH(Validations!$R$2:$R$100, AO29))))"),"Self")</f>
        <v>Self</v>
      </c>
      <c r="AS29" s="27"/>
      <c r="AT29" s="12" t="str">
        <f>IFERROR(__xludf.DUMMYFUNCTION("IFERROR(TEXTJOIN("", "", TRUE, FILTER(Validations!$I$2:$I$100, ISNUMBER(SEARCH(Validations!$I$2:$I$100, AS29)))), """")"),"")</f>
        <v/>
      </c>
      <c r="AU29" s="16" t="str">
        <f t="array" ref="AU29">IFERROR(INDEX(Validations!$J$2:$J$100, MATCH(TRUE, ISNUMBER(SEARCH(Validations!$I$2:$I$100, AT29)), 0)), "")</f>
        <v/>
      </c>
      <c r="AV29" s="12" t="str">
        <f>IFERROR(__xludf.DUMMYFUNCTION("IFERROR(VALUE(REGEXEXTRACT(AS29, ""\d+"")), """")"),"")</f>
        <v/>
      </c>
      <c r="AW29" s="12" t="str">
        <f>IFERROR(__xludf.DUMMYFUNCTION("IFERROR(TEXTJOIN("", "", TRUE, FILTER(Validations!$Q$2:$Q$100, ISNUMBER(SEARCH(Validations!$Q$2:$Q$100, AS29)))), """")"),"")</f>
        <v/>
      </c>
      <c r="AX29" s="28" t="s">
        <v>106</v>
      </c>
      <c r="AY29" s="28" t="str">
        <f>IFERROR(__xludf.DUMMYFUNCTION("TEXTJOIN("", "", TRUE, FILTER(Validations!$Y$2:$Y$100, ISNUMBER(SEARCH(Validations!$X$2:$X$100, AX29))))"),"S")</f>
        <v>S</v>
      </c>
      <c r="AZ29" s="27"/>
      <c r="BA29" s="22"/>
      <c r="BB29" s="22"/>
      <c r="BC29" s="22"/>
      <c r="BD29" s="22"/>
      <c r="BE29" s="27"/>
      <c r="BF29" s="22"/>
      <c r="BG29" s="27"/>
      <c r="BH29" s="27"/>
      <c r="BI29" s="12" t="str">
        <f>IFERROR(__xludf.DUMMYFUNCTION("IFERROR(TEXTJOIN("", "", TRUE, FILTER(SRD!$A$2:$A$1000, EXACT(SRD!$A$2:$A$1000, J29))), """")"),"")</f>
        <v/>
      </c>
      <c r="BJ29" s="29"/>
      <c r="BK29" s="29"/>
    </row>
    <row r="30" ht="15.75" customHeight="1">
      <c r="A30" s="30" t="s">
        <v>203</v>
      </c>
      <c r="B30" s="22"/>
      <c r="C30" s="31"/>
      <c r="D30" s="31" t="s">
        <v>74</v>
      </c>
      <c r="E30" s="31"/>
      <c r="F30" s="32" t="s">
        <v>123</v>
      </c>
      <c r="G30" s="15" t="s">
        <v>64</v>
      </c>
      <c r="H30" s="31" t="s">
        <v>140</v>
      </c>
      <c r="I30" s="16" t="str">
        <f t="array" ref="I30">INDEX(Validations!$C$2:$C$100, MATCH(TRUE, ISNUMBER(SEARCH(Validations!$B$2:$B$100, H30)), 0))</f>
        <v>N</v>
      </c>
      <c r="J30" s="17" t="s">
        <v>204</v>
      </c>
      <c r="K30" s="18"/>
      <c r="L30" s="17"/>
      <c r="M30" s="17"/>
      <c r="N30" s="27"/>
      <c r="O30" s="17"/>
      <c r="P30" s="21"/>
      <c r="Q30" s="21"/>
      <c r="R30" s="22"/>
      <c r="S30" s="17" t="str">
        <f>IFERROR(__xludf.DUMMYFUNCTION("IFERROR(REGEXEXTRACT(J30, ""(\d{1,3}[dD]\d{1,3})""), """")"),"")</f>
        <v/>
      </c>
      <c r="T30" s="17" t="str">
        <f>IFERROR(__xludf.DUMMYFUNCTION("IF(COUNTIF(ARRAYFORMULA(LOWER(Validations!$O$2:$O$100)), LOWER(REGEXEXTRACT(J30, ""\d{1,3}[dD]\d{1,3}\s+(\w+)"")))&gt;0, REGEXEXTRACT(J30, ""\d{1,3}[dD]\d{1,3}\s+(\w+)""), """")"),"")</f>
        <v/>
      </c>
      <c r="U30" s="17" t="str">
        <f>IFERROR(__xludf.DUMMYFUNCTION("IF(COUNTIF(ARRAYFORMULA(LOWER(Validations!$P$2:$P$100)), LOWER(REGEXEXTRACT(J30, ""\d{1,3}[dD]\d{1,3}\s+(\w+)"")))&gt;0, REGEXEXTRACT(J30, ""\d{1,3}[dD]\d{1,3}\s+(\w+)""), """")"),"")</f>
        <v/>
      </c>
      <c r="V30" s="12" t="str">
        <f>IFERROR(__xludf.DUMMYFUNCTION("TEXTJOIN("", "", TRUE, FILTER(Validations!$L$2:$L$100, ISNUMBER(SEARCH(Validations!$L$2:$L$100, J30))))"),"")</f>
        <v/>
      </c>
      <c r="W30" s="12" t="str">
        <f>IFERROR(__xludf.DUMMYFUNCTION("IFERROR(TEXTJOIN("", "", TRUE, FILTER(Validations!$M$2:$M$100, ISNUMBER(SEARCH(Validations!$M$2:$M$100 &amp; "" saving throw"", J30)))), """")"),"Wisdom")</f>
        <v>Wisdom</v>
      </c>
      <c r="X30" s="12"/>
      <c r="Y30" s="12"/>
      <c r="Z30" s="12" t="str">
        <f>IFERROR(__xludf.DUMMYFUNCTION("IFERROR(TEXTJOIN("", "", TRUE, FILTER(Validations!$N$2:$N$100, ISNUMBER(SEARCH(Validations!$N$2:$N$100 &amp; "" check"", J30)))), """")"),"")</f>
        <v/>
      </c>
      <c r="AA30" s="12" t="str">
        <f>IFERROR(__xludf.DUMMYFUNCTION("IFERROR(TEXTJOIN("", "", TRUE, FILTER(Validations!$N$2:$N$100, ISNUMBER(SEARCH(Validations!$N$2:$N$100 &amp; "" check"", W30)))), """")"),"")</f>
        <v/>
      </c>
      <c r="AB30" s="23" t="str">
        <f>IFERROR(__xludf.DUMMYFUNCTION("IFERROR(CONCATENATE(IF(ISNUMBER(SEARCH(Validations!$M$2:$M$100 &amp; "" spell save"", J30)),""Spell Save"",""""), REGEXEXTRACT(J30, ""DC (\d+)"")), """")"),"")</f>
        <v/>
      </c>
      <c r="AC30" s="24" t="b">
        <v>0</v>
      </c>
      <c r="AD30" s="24" t="b">
        <v>0</v>
      </c>
      <c r="AE30" s="36" t="s">
        <v>69</v>
      </c>
      <c r="AF30" s="25">
        <f>IFERROR(__xludf.DUMMYFUNCTION("IFERROR(VALUE(REGEXEXTRACT(AE30, ""\d+"")), 1)"),1.0)</f>
        <v>1</v>
      </c>
      <c r="AG30" s="12" t="str">
        <f>IFERROR(__xludf.DUMMYFUNCTION("IF(
  ISNUMBER(SEARCH(""Bonus Action"", AE30)),
  ""Bonus Action"",
  IF(
    ISNUMBER(SEARCH(""Reaction"", AE30)),
    ""Reaction"",
    IF(
      ISNUMBER(SEARCH(""Action"", AE30)),
      ""Action"",
      TEXTJOIN("", "", TRUE, FILTER(Validations!$S$2:"&amp;"$S$100, ISNUMBER(SEARCH(Validations!$S$2:$S$100, AE30))))
    )
  )
)"),"Action")</f>
        <v>Action</v>
      </c>
      <c r="AH30" s="36"/>
      <c r="AI30" s="27" t="s">
        <v>70</v>
      </c>
      <c r="AJ30" s="26" t="str">
        <f>IFERROR(__xludf.DUMMYFUNCTION("TEXTJOIN("", "", TRUE, FILTER(Validations!$T$2:$T$100, ISNUMBER(SEARCH(Validations!$T$2:$T$100, AI30))))"),"Instantaneous")</f>
        <v>Instantaneous</v>
      </c>
      <c r="AK30" s="26" t="str">
        <f>IFERROR(__xludf.DUMMYFUNCTION("IFERROR(VALUE(REGEXEXTRACT(AI30, ""\d+"")), """")"),"")</f>
        <v/>
      </c>
      <c r="AL30" s="26" t="str">
        <f>IFERROR(__xludf.DUMMYFUNCTION("TEXTJOIN("", "", TRUE, FILTER(Validations!$U$2:$U$100, ISNUMBER(SEARCH(Validations!$U$2:$U$100, AI30))))"),"")</f>
        <v/>
      </c>
      <c r="AM30" s="24" t="b">
        <f t="shared" si="1"/>
        <v>0</v>
      </c>
      <c r="AN30" s="24" t="b">
        <v>0</v>
      </c>
      <c r="AO30" s="22" t="s">
        <v>105</v>
      </c>
      <c r="AP30" s="12" t="str">
        <f>IFERROR(__xludf.DUMMYFUNCTION("IF(TEXTJOIN("", "", TRUE, FILTER(Validations!$Q$2:$Q$100, ISNUMBER(SEARCH(Validations!$Q$2:$Q$100, AO30)))) = """", Validations!$Q$2, TEXTJOIN("", "", TRUE, FILTER(Validations!$Q$2:$Q$100, ISNUMBER(SEARCH(Validations!$Q$2:$Q$100, AO30)))))"),"Point")</f>
        <v>Point</v>
      </c>
      <c r="AQ30" s="12">
        <f>IFERROR(__xludf.DUMMYFUNCTION("IFERROR(VALUE(REGEXEXTRACT(AO30, ""\d+"")), """")"),10.0)</f>
        <v>10</v>
      </c>
      <c r="AR30" s="12" t="str">
        <f>IFERROR(__xludf.DUMMYFUNCTION("TEXTJOIN("", "", TRUE, FILTER(Validations!$R$2:$R$100, ISNUMBER(SEARCH(Validations!$R$2:$R$100, AO30))))"),"Feet")</f>
        <v>Feet</v>
      </c>
      <c r="AS30" s="27"/>
      <c r="AT30" s="12" t="str">
        <f>IFERROR(__xludf.DUMMYFUNCTION("IFERROR(TEXTJOIN("", "", TRUE, FILTER(Validations!$I$2:$I$100, ISNUMBER(SEARCH(Validations!$I$2:$I$100, AS30)))), """")"),"")</f>
        <v/>
      </c>
      <c r="AU30" s="16" t="str">
        <f t="array" ref="AU30">IFERROR(INDEX(Validations!$J$2:$J$100, MATCH(TRUE, ISNUMBER(SEARCH(Validations!$I$2:$I$100, AT30)), 0)), "")</f>
        <v/>
      </c>
      <c r="AV30" s="12" t="str">
        <f>IFERROR(__xludf.DUMMYFUNCTION("IFERROR(VALUE(REGEXEXTRACT(AS30, ""\d+"")), """")"),"")</f>
        <v/>
      </c>
      <c r="AW30" s="12" t="str">
        <f>IFERROR(__xludf.DUMMYFUNCTION("IFERROR(TEXTJOIN("", "", TRUE, FILTER(Validations!$Q$2:$Q$100, ISNUMBER(SEARCH(Validations!$Q$2:$Q$100, AS30)))), """")"),"")</f>
        <v/>
      </c>
      <c r="AX30" s="28" t="s">
        <v>142</v>
      </c>
      <c r="AY30" s="28" t="str">
        <f>IFERROR(__xludf.DUMMYFUNCTION("TEXTJOIN("", "", TRUE, FILTER(Validations!$Y$2:$Y$100, ISNUMBER(SEARCH(Validations!$X$2:$X$100, AX30))))"),"V, S")</f>
        <v>V, S</v>
      </c>
      <c r="AZ30" s="27"/>
      <c r="BA30" s="22"/>
      <c r="BB30" s="22"/>
      <c r="BC30" s="22"/>
      <c r="BD30" s="22"/>
      <c r="BE30" s="27"/>
      <c r="BF30" s="22"/>
      <c r="BG30" s="27"/>
      <c r="BH30" s="27"/>
      <c r="BI30" s="12" t="str">
        <f>IFERROR(__xludf.DUMMYFUNCTION("IFERROR(TEXTJOIN("", "", TRUE, FILTER(SRD!$A$2:$A$1000, EXACT(SRD!$A$2:$A$1000, J30))), """")"),"")</f>
        <v/>
      </c>
      <c r="BJ30" s="29"/>
      <c r="BK30" s="29"/>
    </row>
    <row r="31" ht="15.75" customHeight="1">
      <c r="A31" s="30" t="s">
        <v>205</v>
      </c>
      <c r="B31" s="22"/>
      <c r="C31" s="31"/>
      <c r="D31" s="31" t="s">
        <v>74</v>
      </c>
      <c r="E31" s="31"/>
      <c r="F31" s="32" t="s">
        <v>108</v>
      </c>
      <c r="G31" s="15" t="s">
        <v>64</v>
      </c>
      <c r="H31" s="31" t="s">
        <v>178</v>
      </c>
      <c r="I31" s="16" t="str">
        <f t="array" ref="I31">INDEX(Validations!$C$2:$C$100, MATCH(TRUE, ISNUMBER(SEARCH(Validations!$B$2:$B$100, H31)), 0))</f>
        <v>A</v>
      </c>
      <c r="J31" s="17" t="s">
        <v>206</v>
      </c>
      <c r="K31" s="34"/>
      <c r="L31" s="17"/>
      <c r="M31" s="33"/>
      <c r="N31" s="20" t="s">
        <v>207</v>
      </c>
      <c r="O31" s="17"/>
      <c r="P31" s="21"/>
      <c r="Q31" s="21"/>
      <c r="R31" s="22"/>
      <c r="S31" s="17" t="str">
        <f>IFERROR(__xludf.DUMMYFUNCTION("IFERROR(REGEXEXTRACT(J31, ""(\d{1,3}[dD]\d{1,3})""), """")"),"1d4")</f>
        <v>1d4</v>
      </c>
      <c r="T31" s="17" t="str">
        <f>IFERROR(__xludf.DUMMYFUNCTION("IF(COUNTIF(ARRAYFORMULA(LOWER(Validations!$O$2:$O$100)), LOWER(REGEXEXTRACT(J31, ""\d{1,3}[dD]\d{1,3}\s+(\w+)"")))&gt;0, REGEXEXTRACT(J31, ""\d{1,3}[dD]\d{1,3}\s+(\w+)""), """")"),"cognitive")</f>
        <v>cognitive</v>
      </c>
      <c r="U31" s="17" t="str">
        <f>IFERROR(__xludf.DUMMYFUNCTION("IF(COUNTIF(ARRAYFORMULA(LOWER(Validations!$P$2:$P$100)), LOWER(REGEXEXTRACT(J31, ""\d{1,3}[dD]\d{1,3}\s+(\w+)"")))&gt;0, REGEXEXTRACT(J31, ""\d{1,3}[dD]\d{1,3}\s+(\w+)""), """")"),"")</f>
        <v/>
      </c>
      <c r="V31" s="12" t="str">
        <f>IFERROR(__xludf.DUMMYFUNCTION("TEXTJOIN("", "", TRUE, FILTER(Validations!$L$2:$L$100, ISNUMBER(SEARCH(Validations!$L$2:$L$100, J31))))"),"")</f>
        <v/>
      </c>
      <c r="W31" s="12" t="str">
        <f>IFERROR(__xludf.DUMMYFUNCTION("IFERROR(TEXTJOIN("", "", TRUE, FILTER(Validations!$M$2:$M$100, ISNUMBER(SEARCH(Validations!$M$2:$M$100 &amp; "" saving throw"", J31)))), """")"),"")</f>
        <v/>
      </c>
      <c r="X31" s="12"/>
      <c r="Y31" s="12"/>
      <c r="Z31" s="12" t="str">
        <f>IFERROR(__xludf.DUMMYFUNCTION("IFERROR(TEXTJOIN("", "", TRUE, FILTER(Validations!$N$2:$N$100, ISNUMBER(SEARCH(Validations!$N$2:$N$100 &amp; "" check"", J31)))), """")"),"")</f>
        <v/>
      </c>
      <c r="AA31" s="12" t="str">
        <f>IFERROR(__xludf.DUMMYFUNCTION("IFERROR(TEXTJOIN("", "", TRUE, FILTER(Validations!$N$2:$N$100, ISNUMBER(SEARCH(Validations!$N$2:$N$100 &amp; "" check"", W31)))), """")"),"")</f>
        <v/>
      </c>
      <c r="AB31" s="23" t="str">
        <f>IFERROR(__xludf.DUMMYFUNCTION("IFERROR(CONCATENATE(IF(ISNUMBER(SEARCH(Validations!$M$2:$M$100 &amp; "" spell save"", J31)),""Spell Save"",""""), REGEXEXTRACT(J31, ""DC (\d+)"")), """")"),"")</f>
        <v/>
      </c>
      <c r="AC31" s="24" t="b">
        <v>0</v>
      </c>
      <c r="AD31" s="24" t="b">
        <v>0</v>
      </c>
      <c r="AE31" s="36" t="s">
        <v>208</v>
      </c>
      <c r="AF31" s="25">
        <f>IFERROR(__xludf.DUMMYFUNCTION("IFERROR(VALUE(REGEXEXTRACT(AE31, ""\d+"")), 1)"),1.0)</f>
        <v>1</v>
      </c>
      <c r="AG31" s="12" t="str">
        <f>IFERROR(__xludf.DUMMYFUNCTION("IF(
  ISNUMBER(SEARCH(""Bonus Action"", AE31)),
  ""Bonus Action"",
  IF(
    ISNUMBER(SEARCH(""Reaction"", AE31)),
    ""Reaction"",
    IF(
      ISNUMBER(SEARCH(""Action"", AE31)),
      ""Action"",
      TEXTJOIN("", "", TRUE, FILTER(Validations!$S$2:"&amp;"$S$100, ISNUMBER(SEARCH(Validations!$S$2:$S$100, AE31))))
    )
  )
)"),"Reaction")</f>
        <v>Reaction</v>
      </c>
      <c r="AH31" s="36" t="s">
        <v>209</v>
      </c>
      <c r="AI31" s="27" t="s">
        <v>70</v>
      </c>
      <c r="AJ31" s="26" t="str">
        <f>IFERROR(__xludf.DUMMYFUNCTION("TEXTJOIN("", "", TRUE, FILTER(Validations!$T$2:$T$100, ISNUMBER(SEARCH(Validations!$T$2:$T$100, AI31))))"),"Instantaneous")</f>
        <v>Instantaneous</v>
      </c>
      <c r="AK31" s="26" t="str">
        <f>IFERROR(__xludf.DUMMYFUNCTION("IFERROR(VALUE(REGEXEXTRACT(AI31, ""\d+"")), """")"),"")</f>
        <v/>
      </c>
      <c r="AL31" s="26" t="str">
        <f>IFERROR(__xludf.DUMMYFUNCTION("TEXTJOIN("", "", TRUE, FILTER(Validations!$U$2:$U$100, ISNUMBER(SEARCH(Validations!$U$2:$U$100, AI31))))"),"")</f>
        <v/>
      </c>
      <c r="AM31" s="24" t="b">
        <f t="shared" si="1"/>
        <v>0</v>
      </c>
      <c r="AN31" s="24" t="b">
        <v>0</v>
      </c>
      <c r="AO31" s="22" t="s">
        <v>78</v>
      </c>
      <c r="AP31" s="12" t="str">
        <f>IFERROR(__xludf.DUMMYFUNCTION("IF(TEXTJOIN("", "", TRUE, FILTER(Validations!$Q$2:$Q$100, ISNUMBER(SEARCH(Validations!$Q$2:$Q$100, AO31)))) = """", Validations!$Q$2, TEXTJOIN("", "", TRUE, FILTER(Validations!$Q$2:$Q$100, ISNUMBER(SEARCH(Validations!$Q$2:$Q$100, AO31)))))"),"Point")</f>
        <v>Point</v>
      </c>
      <c r="AQ31" s="12" t="str">
        <f>IFERROR(__xludf.DUMMYFUNCTION("IFERROR(VALUE(REGEXEXTRACT(AO31, ""\d+"")), """")"),"")</f>
        <v/>
      </c>
      <c r="AR31" s="12" t="str">
        <f>IFERROR(__xludf.DUMMYFUNCTION("TEXTJOIN("", "", TRUE, FILTER(Validations!$R$2:$R$100, ISNUMBER(SEARCH(Validations!$R$2:$R$100, AO31))))"),"Self")</f>
        <v>Self</v>
      </c>
      <c r="AS31" s="27"/>
      <c r="AT31" s="12" t="str">
        <f>IFERROR(__xludf.DUMMYFUNCTION("IFERROR(TEXTJOIN("", "", TRUE, FILTER(Validations!$I$2:$I$100, ISNUMBER(SEARCH(Validations!$I$2:$I$100, AS31)))), """")"),"")</f>
        <v/>
      </c>
      <c r="AU31" s="16" t="str">
        <f t="array" ref="AU31">IFERROR(INDEX(Validations!$J$2:$J$100, MATCH(TRUE, ISNUMBER(SEARCH(Validations!$I$2:$I$100, AT31)), 0)), "")</f>
        <v/>
      </c>
      <c r="AV31" s="12" t="str">
        <f>IFERROR(__xludf.DUMMYFUNCTION("IFERROR(VALUE(REGEXEXTRACT(AS31, ""\d+"")), """")"),"")</f>
        <v/>
      </c>
      <c r="AW31" s="12" t="str">
        <f>IFERROR(__xludf.DUMMYFUNCTION("IFERROR(TEXTJOIN("", "", TRUE, FILTER(Validations!$Q$2:$Q$100, ISNUMBER(SEARCH(Validations!$Q$2:$Q$100, AS31)))), """")"),"")</f>
        <v/>
      </c>
      <c r="AX31" s="28" t="s">
        <v>142</v>
      </c>
      <c r="AY31" s="28" t="str">
        <f>IFERROR(__xludf.DUMMYFUNCTION("TEXTJOIN("", "", TRUE, FILTER(Validations!$Y$2:$Y$100, ISNUMBER(SEARCH(Validations!$X$2:$X$100, AX31))))"),"V, S")</f>
        <v>V, S</v>
      </c>
      <c r="AZ31" s="27"/>
      <c r="BA31" s="22"/>
      <c r="BB31" s="22"/>
      <c r="BC31" s="22"/>
      <c r="BD31" s="22"/>
      <c r="BE31" s="27"/>
      <c r="BF31" s="22"/>
      <c r="BG31" s="27"/>
      <c r="BH31" s="27"/>
      <c r="BI31" s="12" t="str">
        <f>IFERROR(__xludf.DUMMYFUNCTION("IFERROR(TEXTJOIN("", "", TRUE, FILTER(SRD!$A$2:$A$1000, EXACT(SRD!$A$2:$A$1000, J31))), """")"),"")</f>
        <v/>
      </c>
      <c r="BJ31" s="29"/>
      <c r="BK31" s="29"/>
    </row>
    <row r="32" ht="15.75" customHeight="1">
      <c r="A32" s="38" t="s">
        <v>210</v>
      </c>
      <c r="B32" s="12"/>
      <c r="C32" s="16"/>
      <c r="D32" s="16" t="s">
        <v>129</v>
      </c>
      <c r="E32" s="16"/>
      <c r="F32" s="40" t="s">
        <v>130</v>
      </c>
      <c r="G32" s="15" t="s">
        <v>64</v>
      </c>
      <c r="H32" s="31" t="s">
        <v>144</v>
      </c>
      <c r="I32" s="16" t="str">
        <f t="array" ref="I32">INDEX(Validations!$C$2:$C$100, MATCH(TRUE, ISNUMBER(SEARCH(Validations!$B$2:$B$100, H32)), 0))</f>
        <v>D</v>
      </c>
      <c r="J32" s="17" t="s">
        <v>211</v>
      </c>
      <c r="K32" s="34"/>
      <c r="L32" s="33"/>
      <c r="M32" s="33"/>
      <c r="N32" s="20" t="s">
        <v>212</v>
      </c>
      <c r="O32" s="17" t="s">
        <v>213</v>
      </c>
      <c r="P32" s="21"/>
      <c r="Q32" s="21"/>
      <c r="R32" s="22"/>
      <c r="S32" s="17" t="str">
        <f>IFERROR(__xludf.DUMMYFUNCTION("IFERROR(REGEXEXTRACT(J32, ""(\d{1,3}[dD]\d{1,3})""), """")"),"")</f>
        <v/>
      </c>
      <c r="T32" s="17" t="str">
        <f>IFERROR(__xludf.DUMMYFUNCTION("IF(COUNTIF(ARRAYFORMULA(LOWER(Validations!$O$2:$O$100)), LOWER(REGEXEXTRACT(J32, ""\d{1,3}[dD]\d{1,3}\s+(\w+)"")))&gt;0, REGEXEXTRACT(J32, ""\d{1,3}[dD]\d{1,3}\s+(\w+)""), """")"),"")</f>
        <v/>
      </c>
      <c r="U32" s="17" t="str">
        <f>IFERROR(__xludf.DUMMYFUNCTION("IF(COUNTIF(ARRAYFORMULA(LOWER(Validations!$P$2:$P$100)), LOWER(REGEXEXTRACT(J32, ""\d{1,3}[dD]\d{1,3}\s+(\w+)"")))&gt;0, REGEXEXTRACT(J32, ""\d{1,3}[dD]\d{1,3}\s+(\w+)""), """")"),"")</f>
        <v/>
      </c>
      <c r="V32" s="12" t="str">
        <f>IFERROR(__xludf.DUMMYFUNCTION("TEXTJOIN("", "", TRUE, FILTER(Validations!$L$2:$L$100, ISNUMBER(SEARCH(Validations!$L$2:$L$100, J32))))"),"")</f>
        <v/>
      </c>
      <c r="W32" s="12" t="str">
        <f>IFERROR(__xludf.DUMMYFUNCTION("IFERROR(TEXTJOIN("", "", TRUE, FILTER(Validations!$M$2:$M$100, ISNUMBER(SEARCH(Validations!$M$2:$M$100 &amp; "" saving throw"", J32)))), """")"),"")</f>
        <v/>
      </c>
      <c r="X32" s="12"/>
      <c r="Y32" s="12"/>
      <c r="Z32" s="12" t="str">
        <f>IFERROR(__xludf.DUMMYFUNCTION("IFERROR(TEXTJOIN("", "", TRUE, FILTER(Validations!$N$2:$N$100, ISNUMBER(SEARCH(Validations!$N$2:$N$100 &amp; "" check"", J32)))), """")"),"")</f>
        <v/>
      </c>
      <c r="AA32" s="12" t="str">
        <f>IFERROR(__xludf.DUMMYFUNCTION("IFERROR(TEXTJOIN("", "", TRUE, FILTER(Validations!$N$2:$N$100, ISNUMBER(SEARCH(Validations!$N$2:$N$100 &amp; "" check"", W32)))), """")"),"")</f>
        <v/>
      </c>
      <c r="AB32" s="23" t="str">
        <f>IFERROR(__xludf.DUMMYFUNCTION("IFERROR(CONCATENATE(IF(ISNUMBER(SEARCH(Validations!$M$2:$M$100 &amp; "" spell save"", J32)),""Spell Save"",""""), REGEXEXTRACT(J32, ""DC (\d+)"")), """")"),"")</f>
        <v/>
      </c>
      <c r="AC32" s="24" t="b">
        <v>0</v>
      </c>
      <c r="AD32" s="24" t="b">
        <v>0</v>
      </c>
      <c r="AE32" s="12" t="s">
        <v>69</v>
      </c>
      <c r="AF32" s="25">
        <f>IFERROR(__xludf.DUMMYFUNCTION("IFERROR(VALUE(REGEXEXTRACT(AE32, ""\d+"")), 1)"),1.0)</f>
        <v>1</v>
      </c>
      <c r="AG32" s="12" t="str">
        <f>IFERROR(__xludf.DUMMYFUNCTION("IF(
  ISNUMBER(SEARCH(""Bonus Action"", AE32)),
  ""Bonus Action"",
  IF(
    ISNUMBER(SEARCH(""Reaction"", AE32)),
    ""Reaction"",
    IF(
      ISNUMBER(SEARCH(""Action"", AE32)),
      ""Action"",
      TEXTJOIN("", "", TRUE, FILTER(Validations!$S$2:"&amp;"$S$100, ISNUMBER(SEARCH(Validations!$S$2:$S$100, AE32))))
    )
  )
)"),"Action")</f>
        <v>Action</v>
      </c>
      <c r="AH32" s="12"/>
      <c r="AI32" s="27" t="s">
        <v>70</v>
      </c>
      <c r="AJ32" s="26" t="str">
        <f>IFERROR(__xludf.DUMMYFUNCTION("TEXTJOIN("", "", TRUE, FILTER(Validations!$T$2:$T$100, ISNUMBER(SEARCH(Validations!$T$2:$T$100, AI32))))"),"Instantaneous")</f>
        <v>Instantaneous</v>
      </c>
      <c r="AK32" s="26" t="str">
        <f>IFERROR(__xludf.DUMMYFUNCTION("IFERROR(VALUE(REGEXEXTRACT(AI32, ""\d+"")), """")"),"")</f>
        <v/>
      </c>
      <c r="AL32" s="26" t="str">
        <f>IFERROR(__xludf.DUMMYFUNCTION("TEXTJOIN("", "", TRUE, FILTER(Validations!$U$2:$U$100, ISNUMBER(SEARCH(Validations!$U$2:$U$100, AI32))))"),"")</f>
        <v/>
      </c>
      <c r="AM32" s="24" t="b">
        <f t="shared" si="1"/>
        <v>0</v>
      </c>
      <c r="AN32" s="41" t="b">
        <v>0</v>
      </c>
      <c r="AO32" s="22" t="s">
        <v>78</v>
      </c>
      <c r="AP32" s="12" t="str">
        <f>IFERROR(__xludf.DUMMYFUNCTION("IF(TEXTJOIN("", "", TRUE, FILTER(Validations!$Q$2:$Q$100, ISNUMBER(SEARCH(Validations!$Q$2:$Q$100, AO32)))) = """", Validations!$Q$2, TEXTJOIN("", "", TRUE, FILTER(Validations!$Q$2:$Q$100, ISNUMBER(SEARCH(Validations!$Q$2:$Q$100, AO32)))))"),"Point")</f>
        <v>Point</v>
      </c>
      <c r="AQ32" s="12" t="str">
        <f>IFERROR(__xludf.DUMMYFUNCTION("IFERROR(VALUE(REGEXEXTRACT(AO32, ""\d+"")), """")"),"")</f>
        <v/>
      </c>
      <c r="AR32" s="12" t="str">
        <f>IFERROR(__xludf.DUMMYFUNCTION("TEXTJOIN("", "", TRUE, FILTER(Validations!$R$2:$R$100, ISNUMBER(SEARCH(Validations!$R$2:$R$100, AO32))))"),"Self")</f>
        <v>Self</v>
      </c>
      <c r="AS32" s="27"/>
      <c r="AT32" s="12" t="str">
        <f>IFERROR(__xludf.DUMMYFUNCTION("IFERROR(TEXTJOIN("", "", TRUE, FILTER(Validations!$I$2:$I$100, ISNUMBER(SEARCH(Validations!$I$2:$I$100, AS32)))), """")"),"")</f>
        <v/>
      </c>
      <c r="AU32" s="16" t="str">
        <f t="array" ref="AU32">IFERROR(INDEX(Validations!$J$2:$J$100, MATCH(TRUE, ISNUMBER(SEARCH(Validations!$I$2:$I$100, AT32)), 0)), "")</f>
        <v/>
      </c>
      <c r="AV32" s="12" t="str">
        <f>IFERROR(__xludf.DUMMYFUNCTION("IFERROR(VALUE(REGEXEXTRACT(AS32, ""\d+"")), """")"),"")</f>
        <v/>
      </c>
      <c r="AW32" s="12" t="str">
        <f>IFERROR(__xludf.DUMMYFUNCTION("IFERROR(TEXTJOIN("", "", TRUE, FILTER(Validations!$Q$2:$Q$100, ISNUMBER(SEARCH(Validations!$Q$2:$Q$100, AS32)))), """")"),"")</f>
        <v/>
      </c>
      <c r="AX32" s="36" t="s">
        <v>135</v>
      </c>
      <c r="AY32" s="28" t="str">
        <f>IFERROR(__xludf.DUMMYFUNCTION("TEXTJOIN("", "", TRUE, FILTER(Validations!$Y$2:$Y$100, ISNUMBER(SEARCH(Validations!$X$2:$X$100, AX32))))"),"V, S, T")</f>
        <v>V, S, T</v>
      </c>
      <c r="AZ32" s="26"/>
      <c r="BA32" s="22" t="s">
        <v>214</v>
      </c>
      <c r="BB32" s="22"/>
      <c r="BC32" s="22"/>
      <c r="BD32" s="22"/>
      <c r="BE32" s="27"/>
      <c r="BF32" s="22"/>
      <c r="BG32" s="27"/>
      <c r="BH32" s="27"/>
      <c r="BI32" s="12" t="str">
        <f>IFERROR(__xludf.DUMMYFUNCTION("IFERROR(TEXTJOIN("", "", TRUE, FILTER(SRD!$A$2:$A$1000, EXACT(SRD!$A$2:$A$1000, J32))), """")"),"")</f>
        <v/>
      </c>
      <c r="BJ32" s="29"/>
      <c r="BK32" s="29"/>
    </row>
    <row r="33" ht="15.75" customHeight="1">
      <c r="A33" s="30" t="s">
        <v>215</v>
      </c>
      <c r="B33" s="22"/>
      <c r="C33" s="31"/>
      <c r="D33" s="31" t="s">
        <v>74</v>
      </c>
      <c r="E33" s="31"/>
      <c r="F33" s="32" t="s">
        <v>216</v>
      </c>
      <c r="G33" s="15" t="s">
        <v>64</v>
      </c>
      <c r="H33" s="31" t="s">
        <v>103</v>
      </c>
      <c r="I33" s="16" t="str">
        <f t="array" ref="I33">INDEX(Validations!$C$2:$C$100, MATCH(TRUE, ISNUMBER(SEARCH(Validations!$B$2:$B$100, H33)), 0))</f>
        <v>C</v>
      </c>
      <c r="J33" s="17" t="s">
        <v>217</v>
      </c>
      <c r="K33" s="18"/>
      <c r="L33" s="17"/>
      <c r="M33" s="17"/>
      <c r="N33" s="27"/>
      <c r="O33" s="17"/>
      <c r="P33" s="21"/>
      <c r="Q33" s="21"/>
      <c r="R33" s="22"/>
      <c r="S33" s="17" t="str">
        <f>IFERROR(__xludf.DUMMYFUNCTION("IFERROR(REGEXEXTRACT(J33, ""(\d{1,3}[dD]\d{1,3})""), """")"),"")</f>
        <v/>
      </c>
      <c r="T33" s="17" t="str">
        <f>IFERROR(__xludf.DUMMYFUNCTION("IF(COUNTIF(ARRAYFORMULA(LOWER(Validations!$O$2:$O$100)), LOWER(REGEXEXTRACT(J33, ""\d{1,3}[dD]\d{1,3}\s+(\w+)"")))&gt;0, REGEXEXTRACT(J33, ""\d{1,3}[dD]\d{1,3}\s+(\w+)""), """")"),"")</f>
        <v/>
      </c>
      <c r="U33" s="17" t="str">
        <f>IFERROR(__xludf.DUMMYFUNCTION("IF(COUNTIF(ARRAYFORMULA(LOWER(Validations!$P$2:$P$100)), LOWER(REGEXEXTRACT(J33, ""\d{1,3}[dD]\d{1,3}\s+(\w+)"")))&gt;0, REGEXEXTRACT(J33, ""\d{1,3}[dD]\d{1,3}\s+(\w+)""), """")"),"")</f>
        <v/>
      </c>
      <c r="V33" s="12" t="str">
        <f>IFERROR(__xludf.DUMMYFUNCTION("TEXTJOIN("", "", TRUE, FILTER(Validations!$L$2:$L$100, ISNUMBER(SEARCH(Validations!$L$2:$L$100, J33))))"),"Invisible")</f>
        <v>Invisible</v>
      </c>
      <c r="W33" s="12" t="str">
        <f>IFERROR(__xludf.DUMMYFUNCTION("IFERROR(TEXTJOIN("", "", TRUE, FILTER(Validations!$M$2:$M$100, ISNUMBER(SEARCH(Validations!$M$2:$M$100 &amp; "" saving throw"", J33)))), """")"),"Strength")</f>
        <v>Strength</v>
      </c>
      <c r="X33" s="12"/>
      <c r="Y33" s="12"/>
      <c r="Z33" s="12" t="str">
        <f>IFERROR(__xludf.DUMMYFUNCTION("IFERROR(TEXTJOIN("", "", TRUE, FILTER(Validations!$N$2:$N$100, ISNUMBER(SEARCH(Validations!$N$2:$N$100 &amp; "" check"", J33)))), """")"),"")</f>
        <v/>
      </c>
      <c r="AA33" s="12" t="str">
        <f>IFERROR(__xludf.DUMMYFUNCTION("IFERROR(TEXTJOIN("", "", TRUE, FILTER(Validations!$N$2:$N$100, ISNUMBER(SEARCH(Validations!$N$2:$N$100 &amp; "" check"", W33)))), """")"),"")</f>
        <v/>
      </c>
      <c r="AB33" s="23" t="str">
        <f>IFERROR(__xludf.DUMMYFUNCTION("IFERROR(CONCATENATE(IF(ISNUMBER(SEARCH(Validations!$M$2:$M$100 &amp; "" spell save"", J33)),""Spell Save"",""""), REGEXEXTRACT(J33, ""DC (\d+)"")), """")"),"")</f>
        <v/>
      </c>
      <c r="AC33" s="24" t="b">
        <v>0</v>
      </c>
      <c r="AD33" s="24" t="b">
        <v>0</v>
      </c>
      <c r="AE33" s="36" t="s">
        <v>69</v>
      </c>
      <c r="AF33" s="25">
        <f>IFERROR(__xludf.DUMMYFUNCTION("IFERROR(VALUE(REGEXEXTRACT(AE33, ""\d+"")), 1)"),1.0)</f>
        <v>1</v>
      </c>
      <c r="AG33" s="12" t="str">
        <f>IFERROR(__xludf.DUMMYFUNCTION("IF(
  ISNUMBER(SEARCH(""Bonus Action"", AE33)),
  ""Bonus Action"",
  IF(
    ISNUMBER(SEARCH(""Reaction"", AE33)),
    ""Reaction"",
    IF(
      ISNUMBER(SEARCH(""Action"", AE33)),
      ""Action"",
      TEXTJOIN("", "", TRUE, FILTER(Validations!$S$2:"&amp;"$S$100, ISNUMBER(SEARCH(Validations!$S$2:$S$100, AE33))))
    )
  )
)"),"Action")</f>
        <v>Action</v>
      </c>
      <c r="AH33" s="36"/>
      <c r="AI33" s="20" t="s">
        <v>87</v>
      </c>
      <c r="AJ33" s="26" t="str">
        <f>IFERROR(__xludf.DUMMYFUNCTION("TEXTJOIN("", "", TRUE, FILTER(Validations!$T$2:$T$100, ISNUMBER(SEARCH(Validations!$T$2:$T$100, AI33))))"),"")</f>
        <v/>
      </c>
      <c r="AK33" s="26">
        <f>IFERROR(__xludf.DUMMYFUNCTION("IFERROR(VALUE(REGEXEXTRACT(AI33, ""\d+"")), """")"),1.0)</f>
        <v>1</v>
      </c>
      <c r="AL33" s="26" t="str">
        <f>IFERROR(__xludf.DUMMYFUNCTION("TEXTJOIN("", "", TRUE, FILTER(Validations!$U$2:$U$100, ISNUMBER(SEARCH(Validations!$U$2:$U$100, AI33))))"),"Rounds")</f>
        <v>Rounds</v>
      </c>
      <c r="AM33" s="24" t="b">
        <f t="shared" si="1"/>
        <v>0</v>
      </c>
      <c r="AN33" s="24" t="b">
        <v>0</v>
      </c>
      <c r="AO33" s="22" t="s">
        <v>105</v>
      </c>
      <c r="AP33" s="12" t="str">
        <f>IFERROR(__xludf.DUMMYFUNCTION("IF(TEXTJOIN("", "", TRUE, FILTER(Validations!$Q$2:$Q$100, ISNUMBER(SEARCH(Validations!$Q$2:$Q$100, AO33)))) = """", Validations!$Q$2, TEXTJOIN("", "", TRUE, FILTER(Validations!$Q$2:$Q$100, ISNUMBER(SEARCH(Validations!$Q$2:$Q$100, AO33)))))"),"Point")</f>
        <v>Point</v>
      </c>
      <c r="AQ33" s="12">
        <f>IFERROR(__xludf.DUMMYFUNCTION("IFERROR(VALUE(REGEXEXTRACT(AO33, ""\d+"")), """")"),10.0)</f>
        <v>10</v>
      </c>
      <c r="AR33" s="12" t="str">
        <f>IFERROR(__xludf.DUMMYFUNCTION("TEXTJOIN("", "", TRUE, FILTER(Validations!$R$2:$R$100, ISNUMBER(SEARCH(Validations!$R$2:$R$100, AO33))))"),"Feet")</f>
        <v>Feet</v>
      </c>
      <c r="AS33" s="27"/>
      <c r="AT33" s="12" t="str">
        <f>IFERROR(__xludf.DUMMYFUNCTION("IFERROR(TEXTJOIN("", "", TRUE, FILTER(Validations!$I$2:$I$100, ISNUMBER(SEARCH(Validations!$I$2:$I$100, AS33)))), """")"),"")</f>
        <v/>
      </c>
      <c r="AU33" s="16" t="str">
        <f t="array" ref="AU33">IFERROR(INDEX(Validations!$J$2:$J$100, MATCH(TRUE, ISNUMBER(SEARCH(Validations!$I$2:$I$100, AT33)), 0)), "")</f>
        <v/>
      </c>
      <c r="AV33" s="12" t="str">
        <f>IFERROR(__xludf.DUMMYFUNCTION("IFERROR(VALUE(REGEXEXTRACT(AS33, ""\d+"")), """")"),"")</f>
        <v/>
      </c>
      <c r="AW33" s="12" t="str">
        <f>IFERROR(__xludf.DUMMYFUNCTION("IFERROR(TEXTJOIN("", "", TRUE, FILTER(Validations!$Q$2:$Q$100, ISNUMBER(SEARCH(Validations!$Q$2:$Q$100, AS33)))), """")"),"")</f>
        <v/>
      </c>
      <c r="AX33" s="28" t="s">
        <v>106</v>
      </c>
      <c r="AY33" s="28" t="str">
        <f>IFERROR(__xludf.DUMMYFUNCTION("TEXTJOIN("", "", TRUE, FILTER(Validations!$Y$2:$Y$100, ISNUMBER(SEARCH(Validations!$X$2:$X$100, AX33))))"),"S")</f>
        <v>S</v>
      </c>
      <c r="AZ33" s="27"/>
      <c r="BA33" s="22"/>
      <c r="BB33" s="22"/>
      <c r="BC33" s="22"/>
      <c r="BD33" s="22"/>
      <c r="BE33" s="27"/>
      <c r="BF33" s="22"/>
      <c r="BG33" s="27"/>
      <c r="BH33" s="27"/>
      <c r="BI33" s="12" t="str">
        <f>IFERROR(__xludf.DUMMYFUNCTION("IFERROR(TEXTJOIN("", "", TRUE, FILTER(SRD!$A$2:$A$1000, EXACT(SRD!$A$2:$A$1000, J33))), """")"),"")</f>
        <v/>
      </c>
      <c r="BJ33" s="29"/>
      <c r="BK33" s="29"/>
    </row>
    <row r="34" ht="15.75" customHeight="1">
      <c r="A34" s="30" t="s">
        <v>218</v>
      </c>
      <c r="B34" s="22"/>
      <c r="C34" s="31"/>
      <c r="D34" s="31" t="s">
        <v>74</v>
      </c>
      <c r="E34" s="31"/>
      <c r="F34" s="32" t="s">
        <v>75</v>
      </c>
      <c r="G34" s="15" t="s">
        <v>64</v>
      </c>
      <c r="H34" s="31" t="s">
        <v>85</v>
      </c>
      <c r="I34" s="16" t="str">
        <f t="array" ref="I34">INDEX(Validations!$C$2:$C$100, MATCH(TRUE, ISNUMBER(SEARCH(Validations!$B$2:$B$100, H34)), 0))</f>
        <v>T</v>
      </c>
      <c r="J34" s="33" t="s">
        <v>219</v>
      </c>
      <c r="K34" s="34"/>
      <c r="L34" s="33"/>
      <c r="M34" s="33"/>
      <c r="N34" s="27"/>
      <c r="O34" s="33"/>
      <c r="P34" s="35"/>
      <c r="Q34" s="35"/>
      <c r="R34" s="22"/>
      <c r="S34" s="17" t="str">
        <f>IFERROR(__xludf.DUMMYFUNCTION("IFERROR(REGEXEXTRACT(J34, ""(\d{1,3}[dD]\d{1,3})""), """")"),"")</f>
        <v/>
      </c>
      <c r="T34" s="17" t="str">
        <f>IFERROR(__xludf.DUMMYFUNCTION("IF(COUNTIF(ARRAYFORMULA(LOWER(Validations!$O$2:$O$100)), LOWER(REGEXEXTRACT(J34, ""\d{1,3}[dD]\d{1,3}\s+(\w+)"")))&gt;0, REGEXEXTRACT(J34, ""\d{1,3}[dD]\d{1,3}\s+(\w+)""), """")"),"")</f>
        <v/>
      </c>
      <c r="U34" s="17" t="str">
        <f>IFERROR(__xludf.DUMMYFUNCTION("IF(COUNTIF(ARRAYFORMULA(LOWER(Validations!$P$2:$P$100)), LOWER(REGEXEXTRACT(J34, ""\d{1,3}[dD]\d{1,3}\s+(\w+)"")))&gt;0, REGEXEXTRACT(J34, ""\d{1,3}[dD]\d{1,3}\s+(\w+)""), """")"),"")</f>
        <v/>
      </c>
      <c r="V34" s="12" t="str">
        <f>IFERROR(__xludf.DUMMYFUNCTION("TEXTJOIN("", "", TRUE, FILTER(Validations!$L$2:$L$100, ISNUMBER(SEARCH(Validations!$L$2:$L$100, J34))))"),"")</f>
        <v/>
      </c>
      <c r="W34" s="12" t="str">
        <f>IFERROR(__xludf.DUMMYFUNCTION("IFERROR(TEXTJOIN("", "", TRUE, FILTER(Validations!$M$2:$M$100, ISNUMBER(SEARCH(Validations!$M$2:$M$100 &amp; "" saving throw"", J34)))), """")"),"Dexterity")</f>
        <v>Dexterity</v>
      </c>
      <c r="X34" s="12"/>
      <c r="Y34" s="12"/>
      <c r="Z34" s="12" t="str">
        <f>IFERROR(__xludf.DUMMYFUNCTION("IFERROR(TEXTJOIN("", "", TRUE, FILTER(Validations!$N$2:$N$100, ISNUMBER(SEARCH(Validations!$N$2:$N$100 &amp; "" check"", J34)))), """")"),"")</f>
        <v/>
      </c>
      <c r="AA34" s="12" t="str">
        <f>IFERROR(__xludf.DUMMYFUNCTION("IFERROR(TEXTJOIN("", "", TRUE, FILTER(Validations!$N$2:$N$100, ISNUMBER(SEARCH(Validations!$N$2:$N$100 &amp; "" check"", W34)))), """")"),"")</f>
        <v/>
      </c>
      <c r="AB34" s="23" t="str">
        <f>IFERROR(__xludf.DUMMYFUNCTION("IFERROR(CONCATENATE(IF(ISNUMBER(SEARCH(Validations!$M$2:$M$100 &amp; "" spell save"", J34)),""Spell Save"",""""), REGEXEXTRACT(J34, ""DC (\d+)"")), """")"),"")</f>
        <v/>
      </c>
      <c r="AC34" s="24" t="b">
        <v>0</v>
      </c>
      <c r="AD34" s="24" t="b">
        <v>0</v>
      </c>
      <c r="AE34" s="36" t="s">
        <v>69</v>
      </c>
      <c r="AF34" s="25">
        <f>IFERROR(__xludf.DUMMYFUNCTION("IFERROR(VALUE(REGEXEXTRACT(AE34, ""\d+"")), 1)"),1.0)</f>
        <v>1</v>
      </c>
      <c r="AG34" s="12" t="str">
        <f>IFERROR(__xludf.DUMMYFUNCTION("IF(
  ISNUMBER(SEARCH(""Bonus Action"", AE34)),
  ""Bonus Action"",
  IF(
    ISNUMBER(SEARCH(""Reaction"", AE34)),
    ""Reaction"",
    IF(
      ISNUMBER(SEARCH(""Action"", AE34)),
      ""Action"",
      TEXTJOIN("", "", TRUE, FILTER(Validations!$S$2:"&amp;"$S$100, ISNUMBER(SEARCH(Validations!$S$2:$S$100, AE34))))
    )
  )
)"),"Action")</f>
        <v>Action</v>
      </c>
      <c r="AH34" s="36"/>
      <c r="AI34" s="27" t="s">
        <v>70</v>
      </c>
      <c r="AJ34" s="26" t="str">
        <f>IFERROR(__xludf.DUMMYFUNCTION("TEXTJOIN("", "", TRUE, FILTER(Validations!$T$2:$T$100, ISNUMBER(SEARCH(Validations!$T$2:$T$100, AI34))))"),"Instantaneous")</f>
        <v>Instantaneous</v>
      </c>
      <c r="AK34" s="26" t="str">
        <f>IFERROR(__xludf.DUMMYFUNCTION("IFERROR(VALUE(REGEXEXTRACT(AI34, ""\d+"")), """")"),"")</f>
        <v/>
      </c>
      <c r="AL34" s="26" t="str">
        <f>IFERROR(__xludf.DUMMYFUNCTION("TEXTJOIN("", "", TRUE, FILTER(Validations!$U$2:$U$100, ISNUMBER(SEARCH(Validations!$U$2:$U$100, AI34))))"),"")</f>
        <v/>
      </c>
      <c r="AM34" s="24" t="b">
        <f t="shared" si="1"/>
        <v>0</v>
      </c>
      <c r="AN34" s="24" t="b">
        <v>0</v>
      </c>
      <c r="AO34" s="22" t="s">
        <v>164</v>
      </c>
      <c r="AP34" s="12" t="str">
        <f>IFERROR(__xludf.DUMMYFUNCTION("IF(TEXTJOIN("", "", TRUE, FILTER(Validations!$Q$2:$Q$100, ISNUMBER(SEARCH(Validations!$Q$2:$Q$100, AO34)))) = """", Validations!$Q$2, TEXTJOIN("", "", TRUE, FILTER(Validations!$Q$2:$Q$100, ISNUMBER(SEARCH(Validations!$Q$2:$Q$100, AO34)))))"),"Point")</f>
        <v>Point</v>
      </c>
      <c r="AQ34" s="12">
        <f>IFERROR(__xludf.DUMMYFUNCTION("IFERROR(VALUE(REGEXEXTRACT(AO34, ""\d+"")), """")"),15.0)</f>
        <v>15</v>
      </c>
      <c r="AR34" s="12" t="str">
        <f>IFERROR(__xludf.DUMMYFUNCTION("TEXTJOIN("", "", TRUE, FILTER(Validations!$R$2:$R$100, ISNUMBER(SEARCH(Validations!$R$2:$R$100, AO34))))"),"Feet")</f>
        <v>Feet</v>
      </c>
      <c r="AS34" s="27"/>
      <c r="AT34" s="12" t="str">
        <f>IFERROR(__xludf.DUMMYFUNCTION("IFERROR(TEXTJOIN("", "", TRUE, FILTER(Validations!$I$2:$I$100, ISNUMBER(SEARCH(Validations!$I$2:$I$100, AS34)))), """")"),"")</f>
        <v/>
      </c>
      <c r="AU34" s="16" t="str">
        <f t="array" ref="AU34">IFERROR(INDEX(Validations!$J$2:$J$100, MATCH(TRUE, ISNUMBER(SEARCH(Validations!$I$2:$I$100, AT34)), 0)), "")</f>
        <v/>
      </c>
      <c r="AV34" s="12" t="str">
        <f>IFERROR(__xludf.DUMMYFUNCTION("IFERROR(VALUE(REGEXEXTRACT(AS34, ""\d+"")), """")"),"")</f>
        <v/>
      </c>
      <c r="AW34" s="12" t="str">
        <f>IFERROR(__xludf.DUMMYFUNCTION("IFERROR(TEXTJOIN("", "", TRUE, FILTER(Validations!$Q$2:$Q$100, ISNUMBER(SEARCH(Validations!$Q$2:$Q$100, AS34)))), """")"),"")</f>
        <v/>
      </c>
      <c r="AX34" s="28" t="s">
        <v>72</v>
      </c>
      <c r="AY34" s="28" t="str">
        <f>IFERROR(__xludf.DUMMYFUNCTION("TEXTJOIN("", "", TRUE, FILTER(Validations!$Y$2:$Y$100, ISNUMBER(SEARCH(Validations!$X$2:$X$100, AX34))))"),"V, S")</f>
        <v>V, S</v>
      </c>
      <c r="AZ34" s="27"/>
      <c r="BA34" s="22"/>
      <c r="BB34" s="22"/>
      <c r="BC34" s="22"/>
      <c r="BD34" s="22"/>
      <c r="BE34" s="27"/>
      <c r="BF34" s="22"/>
      <c r="BG34" s="27"/>
      <c r="BH34" s="27"/>
      <c r="BI34" s="12" t="str">
        <f>IFERROR(__xludf.DUMMYFUNCTION("IFERROR(TEXTJOIN("", "", TRUE, FILTER(SRD!$A$2:$A$1000, EXACT(SRD!$A$2:$A$1000, J34))), """")"),"")</f>
        <v/>
      </c>
      <c r="BJ34" s="29"/>
      <c r="BK34" s="29"/>
    </row>
    <row r="35" ht="15.75" customHeight="1">
      <c r="A35" s="30" t="s">
        <v>220</v>
      </c>
      <c r="B35" s="22"/>
      <c r="C35" s="31"/>
      <c r="D35" s="31" t="s">
        <v>74</v>
      </c>
      <c r="E35" s="31"/>
      <c r="F35" s="32" t="s">
        <v>114</v>
      </c>
      <c r="G35" s="15" t="s">
        <v>64</v>
      </c>
      <c r="H35" s="31" t="s">
        <v>178</v>
      </c>
      <c r="I35" s="16" t="str">
        <f t="array" ref="I35">INDEX(Validations!$C$2:$C$100, MATCH(TRUE, ISNUMBER(SEARCH(Validations!$B$2:$B$100, H35)), 0))</f>
        <v>A</v>
      </c>
      <c r="J35" s="33" t="s">
        <v>221</v>
      </c>
      <c r="K35" s="34"/>
      <c r="L35" s="33"/>
      <c r="M35" s="33"/>
      <c r="N35" s="27"/>
      <c r="O35" s="33"/>
      <c r="P35" s="35"/>
      <c r="Q35" s="35"/>
      <c r="R35" s="22"/>
      <c r="S35" s="17" t="str">
        <f>IFERROR(__xludf.DUMMYFUNCTION("IFERROR(REGEXEXTRACT(J35, ""(\d{1,3}[dD]\d{1,3})""), """")"),"1d4")</f>
        <v>1d4</v>
      </c>
      <c r="T35" s="17" t="str">
        <f>IFERROR(__xludf.DUMMYFUNCTION("IF(COUNTIF(ARRAYFORMULA(LOWER(Validations!$O$2:$O$100)), LOWER(REGEXEXTRACT(J35, ""\d{1,3}[dD]\d{1,3}\s+(\w+)"")))&gt;0, REGEXEXTRACT(J35, ""\d{1,3}[dD]\d{1,3}\s+(\w+)""), """")"),"")</f>
        <v/>
      </c>
      <c r="U35" s="17" t="str">
        <f>IFERROR(__xludf.DUMMYFUNCTION("IF(COUNTIF(ARRAYFORMULA(LOWER(Validations!$P$2:$P$100)), LOWER(REGEXEXTRACT(J35, ""\d{1,3}[dD]\d{1,3}\s+(\w+)"")))&gt;0, REGEXEXTRACT(J35, ""\d{1,3}[dD]\d{1,3}\s+(\w+)""), """")"),"")</f>
        <v/>
      </c>
      <c r="V35" s="12" t="str">
        <f>IFERROR(__xludf.DUMMYFUNCTION("TEXTJOIN("", "", TRUE, FILTER(Validations!$L$2:$L$100, ISNUMBER(SEARCH(Validations!$L$2:$L$100, J35))))"),"")</f>
        <v/>
      </c>
      <c r="W35" s="12" t="str">
        <f>IFERROR(__xludf.DUMMYFUNCTION("IFERROR(TEXTJOIN("", "", TRUE, FILTER(Validations!$M$2:$M$100, ISNUMBER(SEARCH(Validations!$M$2:$M$100 &amp; "" saving throw"", J35)))), """")"),"Wisdom")</f>
        <v>Wisdom</v>
      </c>
      <c r="X35" s="12"/>
      <c r="Y35" s="12"/>
      <c r="Z35" s="12" t="str">
        <f>IFERROR(__xludf.DUMMYFUNCTION("IFERROR(TEXTJOIN("", "", TRUE, FILTER(Validations!$N$2:$N$100, ISNUMBER(SEARCH(Validations!$N$2:$N$100 &amp; "" check"", J35)))), """")"),"")</f>
        <v/>
      </c>
      <c r="AA35" s="12" t="str">
        <f>IFERROR(__xludf.DUMMYFUNCTION("IFERROR(TEXTJOIN("", "", TRUE, FILTER(Validations!$N$2:$N$100, ISNUMBER(SEARCH(Validations!$N$2:$N$100 &amp; "" check"", W35)))), """")"),"")</f>
        <v/>
      </c>
      <c r="AB35" s="23" t="str">
        <f>IFERROR(__xludf.DUMMYFUNCTION("IFERROR(CONCATENATE(IF(ISNUMBER(SEARCH(Validations!$M$2:$M$100 &amp; "" spell save"", J35)),""Spell Save"",""""), REGEXEXTRACT(J35, ""DC (\d+)"")), """")"),"")</f>
        <v/>
      </c>
      <c r="AC35" s="24" t="b">
        <v>0</v>
      </c>
      <c r="AD35" s="24" t="b">
        <v>0</v>
      </c>
      <c r="AE35" s="36" t="s">
        <v>208</v>
      </c>
      <c r="AF35" s="25">
        <f>IFERROR(__xludf.DUMMYFUNCTION("IFERROR(VALUE(REGEXEXTRACT(AE35, ""\d+"")), 1)"),1.0)</f>
        <v>1</v>
      </c>
      <c r="AG35" s="12" t="str">
        <f>IFERROR(__xludf.DUMMYFUNCTION("IF(
  ISNUMBER(SEARCH(""Bonus Action"", AE35)),
  ""Bonus Action"",
  IF(
    ISNUMBER(SEARCH(""Reaction"", AE35)),
    ""Reaction"",
    IF(
      ISNUMBER(SEARCH(""Action"", AE35)),
      ""Action"",
      TEXTJOIN("", "", TRUE, FILTER(Validations!$S$2:"&amp;"$S$100, ISNUMBER(SEARCH(Validations!$S$2:$S$100, AE35))))
    )
  )
)"),"Reaction")</f>
        <v>Reaction</v>
      </c>
      <c r="AH35" s="36" t="s">
        <v>222</v>
      </c>
      <c r="AI35" s="27" t="s">
        <v>70</v>
      </c>
      <c r="AJ35" s="26" t="str">
        <f>IFERROR(__xludf.DUMMYFUNCTION("TEXTJOIN("", "", TRUE, FILTER(Validations!$T$2:$T$100, ISNUMBER(SEARCH(Validations!$T$2:$T$100, AI35))))"),"Instantaneous")</f>
        <v>Instantaneous</v>
      </c>
      <c r="AK35" s="26" t="str">
        <f>IFERROR(__xludf.DUMMYFUNCTION("IFERROR(VALUE(REGEXEXTRACT(AI35, ""\d+"")), """")"),"")</f>
        <v/>
      </c>
      <c r="AL35" s="26" t="str">
        <f>IFERROR(__xludf.DUMMYFUNCTION("TEXTJOIN("", "", TRUE, FILTER(Validations!$U$2:$U$100, ISNUMBER(SEARCH(Validations!$U$2:$U$100, AI35))))"),"")</f>
        <v/>
      </c>
      <c r="AM35" s="24" t="b">
        <f t="shared" si="1"/>
        <v>0</v>
      </c>
      <c r="AN35" s="24" t="b">
        <v>0</v>
      </c>
      <c r="AO35" s="22" t="s">
        <v>112</v>
      </c>
      <c r="AP35" s="12" t="str">
        <f>IFERROR(__xludf.DUMMYFUNCTION("IF(TEXTJOIN("", "", TRUE, FILTER(Validations!$Q$2:$Q$100, ISNUMBER(SEARCH(Validations!$Q$2:$Q$100, AO35)))) = """", Validations!$Q$2, TEXTJOIN("", "", TRUE, FILTER(Validations!$Q$2:$Q$100, ISNUMBER(SEARCH(Validations!$Q$2:$Q$100, AO35)))))"),"Point")</f>
        <v>Point</v>
      </c>
      <c r="AQ35" s="12">
        <f>IFERROR(__xludf.DUMMYFUNCTION("IFERROR(VALUE(REGEXEXTRACT(AO35, ""\d+"")), """")"),30.0)</f>
        <v>30</v>
      </c>
      <c r="AR35" s="12" t="str">
        <f>IFERROR(__xludf.DUMMYFUNCTION("TEXTJOIN("", "", TRUE, FILTER(Validations!$R$2:$R$100, ISNUMBER(SEARCH(Validations!$R$2:$R$100, AO35))))"),"Feet")</f>
        <v>Feet</v>
      </c>
      <c r="AS35" s="27"/>
      <c r="AT35" s="12" t="str">
        <f>IFERROR(__xludf.DUMMYFUNCTION("IFERROR(TEXTJOIN("", "", TRUE, FILTER(Validations!$I$2:$I$100, ISNUMBER(SEARCH(Validations!$I$2:$I$100, AS35)))), """")"),"")</f>
        <v/>
      </c>
      <c r="AU35" s="16" t="str">
        <f t="array" ref="AU35">IFERROR(INDEX(Validations!$J$2:$J$100, MATCH(TRUE, ISNUMBER(SEARCH(Validations!$I$2:$I$100, AT35)), 0)), "")</f>
        <v/>
      </c>
      <c r="AV35" s="12" t="str">
        <f>IFERROR(__xludf.DUMMYFUNCTION("IFERROR(VALUE(REGEXEXTRACT(AS35, ""\d+"")), """")"),"")</f>
        <v/>
      </c>
      <c r="AW35" s="12" t="str">
        <f>IFERROR(__xludf.DUMMYFUNCTION("IFERROR(TEXTJOIN("", "", TRUE, FILTER(Validations!$Q$2:$Q$100, ISNUMBER(SEARCH(Validations!$Q$2:$Q$100, AS35)))), """")"),"")</f>
        <v/>
      </c>
      <c r="AX35" s="28" t="s">
        <v>142</v>
      </c>
      <c r="AY35" s="28" t="str">
        <f>IFERROR(__xludf.DUMMYFUNCTION("TEXTJOIN("", "", TRUE, FILTER(Validations!$Y$2:$Y$100, ISNUMBER(SEARCH(Validations!$X$2:$X$100, AX35))))"),"V, S")</f>
        <v>V, S</v>
      </c>
      <c r="AZ35" s="27"/>
      <c r="BA35" s="22"/>
      <c r="BB35" s="22"/>
      <c r="BC35" s="22"/>
      <c r="BD35" s="22"/>
      <c r="BE35" s="27"/>
      <c r="BF35" s="22"/>
      <c r="BG35" s="27"/>
      <c r="BH35" s="27"/>
      <c r="BI35" s="12" t="str">
        <f>IFERROR(__xludf.DUMMYFUNCTION("IFERROR(TEXTJOIN("", "", TRUE, FILTER(SRD!$A$2:$A$1000, EXACT(SRD!$A$2:$A$1000, J35))), """")"),"")</f>
        <v/>
      </c>
      <c r="BJ35" s="29"/>
      <c r="BK35" s="29"/>
    </row>
    <row r="36" ht="15.75" customHeight="1">
      <c r="A36" s="30" t="s">
        <v>223</v>
      </c>
      <c r="B36" s="22"/>
      <c r="C36" s="31"/>
      <c r="D36" s="31" t="s">
        <v>74</v>
      </c>
      <c r="E36" s="31"/>
      <c r="F36" s="32" t="s">
        <v>199</v>
      </c>
      <c r="G36" s="15" t="s">
        <v>64</v>
      </c>
      <c r="H36" s="31" t="s">
        <v>140</v>
      </c>
      <c r="I36" s="16" t="str">
        <f t="array" ref="I36">INDEX(Validations!$C$2:$C$100, MATCH(TRUE, ISNUMBER(SEARCH(Validations!$B$2:$B$100, H36)), 0))</f>
        <v>N</v>
      </c>
      <c r="J36" s="33" t="s">
        <v>224</v>
      </c>
      <c r="K36" s="34"/>
      <c r="L36" s="33"/>
      <c r="M36" s="33"/>
      <c r="N36" s="27"/>
      <c r="O36" s="33"/>
      <c r="P36" s="35"/>
      <c r="Q36" s="35"/>
      <c r="R36" s="22"/>
      <c r="S36" s="17" t="str">
        <f>IFERROR(__xludf.DUMMYFUNCTION("IFERROR(REGEXEXTRACT(J36, ""(\d{1,3}[dD]\d{1,3})""), """")"),"")</f>
        <v/>
      </c>
      <c r="T36" s="17" t="str">
        <f>IFERROR(__xludf.DUMMYFUNCTION("IF(COUNTIF(ARRAYFORMULA(LOWER(Validations!$O$2:$O$100)), LOWER(REGEXEXTRACT(J36, ""\d{1,3}[dD]\d{1,3}\s+(\w+)"")))&gt;0, REGEXEXTRACT(J36, ""\d{1,3}[dD]\d{1,3}\s+(\w+)""), """")"),"")</f>
        <v/>
      </c>
      <c r="U36" s="17" t="str">
        <f>IFERROR(__xludf.DUMMYFUNCTION("IF(COUNTIF(ARRAYFORMULA(LOWER(Validations!$P$2:$P$100)), LOWER(REGEXEXTRACT(J36, ""\d{1,3}[dD]\d{1,3}\s+(\w+)"")))&gt;0, REGEXEXTRACT(J36, ""\d{1,3}[dD]\d{1,3}\s+(\w+)""), """")"),"")</f>
        <v/>
      </c>
      <c r="V36" s="12" t="str">
        <f>IFERROR(__xludf.DUMMYFUNCTION("TEXTJOIN("", "", TRUE, FILTER(Validations!$L$2:$L$100, ISNUMBER(SEARCH(Validations!$L$2:$L$100, J36))))"),"")</f>
        <v/>
      </c>
      <c r="W36" s="12" t="str">
        <f>IFERROR(__xludf.DUMMYFUNCTION("IFERROR(TEXTJOIN("", "", TRUE, FILTER(Validations!$M$2:$M$100, ISNUMBER(SEARCH(Validations!$M$2:$M$100 &amp; "" saving throw"", J36)))), """")"),"Wisdom")</f>
        <v>Wisdom</v>
      </c>
      <c r="X36" s="12"/>
      <c r="Y36" s="12"/>
      <c r="Z36" s="12" t="str">
        <f>IFERROR(__xludf.DUMMYFUNCTION("IFERROR(TEXTJOIN("", "", TRUE, FILTER(Validations!$N$2:$N$100, ISNUMBER(SEARCH(Validations!$N$2:$N$100 &amp; "" check"", J36)))), """")"),"")</f>
        <v/>
      </c>
      <c r="AA36" s="12" t="str">
        <f>IFERROR(__xludf.DUMMYFUNCTION("IFERROR(TEXTJOIN("", "", TRUE, FILTER(Validations!$N$2:$N$100, ISNUMBER(SEARCH(Validations!$N$2:$N$100 &amp; "" check"", W36)))), """")"),"")</f>
        <v/>
      </c>
      <c r="AB36" s="23" t="str">
        <f>IFERROR(__xludf.DUMMYFUNCTION("IFERROR(CONCATENATE(IF(ISNUMBER(SEARCH(Validations!$M$2:$M$100 &amp; "" spell save"", J36)),""Spell Save"",""""), REGEXEXTRACT(J36, ""DC (\d+)"")), """")"),"")</f>
        <v/>
      </c>
      <c r="AC36" s="24" t="b">
        <v>0</v>
      </c>
      <c r="AD36" s="24" t="b">
        <v>0</v>
      </c>
      <c r="AE36" s="36" t="s">
        <v>69</v>
      </c>
      <c r="AF36" s="25">
        <f>IFERROR(__xludf.DUMMYFUNCTION("IFERROR(VALUE(REGEXEXTRACT(AE36, ""\d+"")), 1)"),1.0)</f>
        <v>1</v>
      </c>
      <c r="AG36" s="12" t="str">
        <f>IFERROR(__xludf.DUMMYFUNCTION("IF(
  ISNUMBER(SEARCH(""Bonus Action"", AE36)),
  ""Bonus Action"",
  IF(
    ISNUMBER(SEARCH(""Reaction"", AE36)),
    ""Reaction"",
    IF(
      ISNUMBER(SEARCH(""Action"", AE36)),
      ""Action"",
      TEXTJOIN("", "", TRUE, FILTER(Validations!$S$2:"&amp;"$S$100, ISNUMBER(SEARCH(Validations!$S$2:$S$100, AE36))))
    )
  )
)"),"Action")</f>
        <v>Action</v>
      </c>
      <c r="AH36" s="36"/>
      <c r="AI36" s="20" t="s">
        <v>87</v>
      </c>
      <c r="AJ36" s="26" t="str">
        <f>IFERROR(__xludf.DUMMYFUNCTION("TEXTJOIN("", "", TRUE, FILTER(Validations!$T$2:$T$100, ISNUMBER(SEARCH(Validations!$T$2:$T$100, AI36))))"),"")</f>
        <v/>
      </c>
      <c r="AK36" s="26">
        <f>IFERROR(__xludf.DUMMYFUNCTION("IFERROR(VALUE(REGEXEXTRACT(AI36, ""\d+"")), """")"),1.0)</f>
        <v>1</v>
      </c>
      <c r="AL36" s="26" t="str">
        <f>IFERROR(__xludf.DUMMYFUNCTION("TEXTJOIN("", "", TRUE, FILTER(Validations!$U$2:$U$100, ISNUMBER(SEARCH(Validations!$U$2:$U$100, AI36))))"),"Rounds")</f>
        <v>Rounds</v>
      </c>
      <c r="AM36" s="24" t="b">
        <f t="shared" si="1"/>
        <v>0</v>
      </c>
      <c r="AN36" s="24" t="b">
        <v>0</v>
      </c>
      <c r="AO36" s="22" t="s">
        <v>164</v>
      </c>
      <c r="AP36" s="12" t="str">
        <f>IFERROR(__xludf.DUMMYFUNCTION("IF(TEXTJOIN("", "", TRUE, FILTER(Validations!$Q$2:$Q$100, ISNUMBER(SEARCH(Validations!$Q$2:$Q$100, AO36)))) = """", Validations!$Q$2, TEXTJOIN("", "", TRUE, FILTER(Validations!$Q$2:$Q$100, ISNUMBER(SEARCH(Validations!$Q$2:$Q$100, AO36)))))"),"Point")</f>
        <v>Point</v>
      </c>
      <c r="AQ36" s="12">
        <f>IFERROR(__xludf.DUMMYFUNCTION("IFERROR(VALUE(REGEXEXTRACT(AO36, ""\d+"")), """")"),15.0)</f>
        <v>15</v>
      </c>
      <c r="AR36" s="12" t="str">
        <f>IFERROR(__xludf.DUMMYFUNCTION("TEXTJOIN("", "", TRUE, FILTER(Validations!$R$2:$R$100, ISNUMBER(SEARCH(Validations!$R$2:$R$100, AO36))))"),"Feet")</f>
        <v>Feet</v>
      </c>
      <c r="AS36" s="27"/>
      <c r="AT36" s="12" t="str">
        <f>IFERROR(__xludf.DUMMYFUNCTION("IFERROR(TEXTJOIN("", "", TRUE, FILTER(Validations!$I$2:$I$100, ISNUMBER(SEARCH(Validations!$I$2:$I$100, AS36)))), """")"),"")</f>
        <v/>
      </c>
      <c r="AU36" s="16" t="str">
        <f t="array" ref="AU36">IFERROR(INDEX(Validations!$J$2:$J$100, MATCH(TRUE, ISNUMBER(SEARCH(Validations!$I$2:$I$100, AT36)), 0)), "")</f>
        <v/>
      </c>
      <c r="AV36" s="12" t="str">
        <f>IFERROR(__xludf.DUMMYFUNCTION("IFERROR(VALUE(REGEXEXTRACT(AS36, ""\d+"")), """")"),"")</f>
        <v/>
      </c>
      <c r="AW36" s="12" t="str">
        <f>IFERROR(__xludf.DUMMYFUNCTION("IFERROR(TEXTJOIN("", "", TRUE, FILTER(Validations!$Q$2:$Q$100, ISNUMBER(SEARCH(Validations!$Q$2:$Q$100, AS36)))), """")"),"")</f>
        <v/>
      </c>
      <c r="AX36" s="28" t="s">
        <v>72</v>
      </c>
      <c r="AY36" s="28" t="str">
        <f>IFERROR(__xludf.DUMMYFUNCTION("TEXTJOIN("", "", TRUE, FILTER(Validations!$Y$2:$Y$100, ISNUMBER(SEARCH(Validations!$X$2:$X$100, AX36))))"),"V, S")</f>
        <v>V, S</v>
      </c>
      <c r="AZ36" s="27"/>
      <c r="BA36" s="22"/>
      <c r="BB36" s="22"/>
      <c r="BC36" s="22"/>
      <c r="BD36" s="22"/>
      <c r="BE36" s="27"/>
      <c r="BF36" s="22"/>
      <c r="BG36" s="27"/>
      <c r="BH36" s="27"/>
      <c r="BI36" s="12" t="str">
        <f>IFERROR(__xludf.DUMMYFUNCTION("IFERROR(TEXTJOIN("", "", TRUE, FILTER(SRD!$A$2:$A$1000, EXACT(SRD!$A$2:$A$1000, J36))), """")"),"")</f>
        <v/>
      </c>
      <c r="BJ36" s="29"/>
      <c r="BK36" s="29"/>
    </row>
    <row r="37" ht="15.75" customHeight="1">
      <c r="A37" s="30" t="s">
        <v>225</v>
      </c>
      <c r="B37" s="22"/>
      <c r="C37" s="31"/>
      <c r="D37" s="31" t="s">
        <v>74</v>
      </c>
      <c r="E37" s="31"/>
      <c r="F37" s="32" t="s">
        <v>123</v>
      </c>
      <c r="G37" s="15" t="s">
        <v>64</v>
      </c>
      <c r="H37" s="31" t="s">
        <v>183</v>
      </c>
      <c r="I37" s="16" t="str">
        <f t="array" ref="I37">INDEX(Validations!$C$2:$C$100, MATCH(TRUE, ISNUMBER(SEARCH(Validations!$B$2:$B$100, H37)), 0))</f>
        <v>E</v>
      </c>
      <c r="J37" s="17" t="s">
        <v>226</v>
      </c>
      <c r="K37" s="18"/>
      <c r="L37" s="17"/>
      <c r="M37" s="17"/>
      <c r="N37" s="27"/>
      <c r="O37" s="17"/>
      <c r="P37" s="21"/>
      <c r="Q37" s="21"/>
      <c r="R37" s="36" t="s">
        <v>227</v>
      </c>
      <c r="S37" s="17" t="str">
        <f>IFERROR(__xludf.DUMMYFUNCTION("IFERROR(REGEXEXTRACT(J37, ""(\d{1,3}[dD]\d{1,3})""), """")"),"1d4")</f>
        <v>1d4</v>
      </c>
      <c r="T37" s="17" t="str">
        <f>IFERROR(__xludf.DUMMYFUNCTION("IF(COUNTIF(ARRAYFORMULA(LOWER(Validations!$O$2:$O$100)), LOWER(REGEXEXTRACT(J37, ""\d{1,3}[dD]\d{1,3}\s+(\w+)"")))&gt;0, REGEXEXTRACT(J37, ""\d{1,3}[dD]\d{1,3}\s+(\w+)""), """")"),"")</f>
        <v/>
      </c>
      <c r="U37" s="17" t="str">
        <f>IFERROR(__xludf.DUMMYFUNCTION("IF(COUNTIF(ARRAYFORMULA(LOWER(Validations!$P$2:$P$100)), LOWER(REGEXEXTRACT(J37, ""\d{1,3}[dD]\d{1,3}\s+(\w+)"")))&gt;0, REGEXEXTRACT(J37, ""\d{1,3}[dD]\d{1,3}\s+(\w+)""), """")"),"")</f>
        <v/>
      </c>
      <c r="V37" s="12" t="str">
        <f>IFERROR(__xludf.DUMMYFUNCTION("TEXTJOIN("", "", TRUE, FILTER(Validations!$L$2:$L$100, ISNUMBER(SEARCH(Validations!$L$2:$L$100, J37))))"),"")</f>
        <v/>
      </c>
      <c r="W37" s="12" t="str">
        <f>IFERROR(__xludf.DUMMYFUNCTION("IFERROR(TEXTJOIN("", "", TRUE, FILTER(Validations!$M$2:$M$100, ISNUMBER(SEARCH(Validations!$M$2:$M$100 &amp; "" saving throw"", J37)))), """")"),"Charisma")</f>
        <v>Charisma</v>
      </c>
      <c r="X37" s="12"/>
      <c r="Y37" s="12"/>
      <c r="Z37" s="12" t="str">
        <f>IFERROR(__xludf.DUMMYFUNCTION("IFERROR(TEXTJOIN("", "", TRUE, FILTER(Validations!$N$2:$N$100, ISNUMBER(SEARCH(Validations!$N$2:$N$100 &amp; "" check"", J37)))), """")"),"")</f>
        <v/>
      </c>
      <c r="AA37" s="12" t="str">
        <f>IFERROR(__xludf.DUMMYFUNCTION("IFERROR(TEXTJOIN("", "", TRUE, FILTER(Validations!$N$2:$N$100, ISNUMBER(SEARCH(Validations!$N$2:$N$100 &amp; "" check"", W37)))), """")"),"")</f>
        <v/>
      </c>
      <c r="AB37" s="23" t="str">
        <f>IFERROR(__xludf.DUMMYFUNCTION("IFERROR(CONCATENATE(IF(ISNUMBER(SEARCH(Validations!$M$2:$M$100 &amp; "" spell save"", J37)),""Spell Save"",""""), REGEXEXTRACT(J37, ""DC (\d+)"")), """")"),"")</f>
        <v/>
      </c>
      <c r="AC37" s="24" t="b">
        <v>0</v>
      </c>
      <c r="AD37" s="24" t="b">
        <v>0</v>
      </c>
      <c r="AE37" s="36" t="s">
        <v>69</v>
      </c>
      <c r="AF37" s="25">
        <f>IFERROR(__xludf.DUMMYFUNCTION("IFERROR(VALUE(REGEXEXTRACT(AE37, ""\d+"")), 1)"),1.0)</f>
        <v>1</v>
      </c>
      <c r="AG37" s="12" t="str">
        <f>IFERROR(__xludf.DUMMYFUNCTION("IF(
  ISNUMBER(SEARCH(""Bonus Action"", AE37)),
  ""Bonus Action"",
  IF(
    ISNUMBER(SEARCH(""Reaction"", AE37)),
    ""Reaction"",
    IF(
      ISNUMBER(SEARCH(""Action"", AE37)),
      ""Action"",
      TEXTJOIN("", "", TRUE, FILTER(Validations!$S$2:"&amp;"$S$100, ISNUMBER(SEARCH(Validations!$S$2:$S$100, AE37))))
    )
  )
)"),"Action")</f>
        <v>Action</v>
      </c>
      <c r="AH37" s="36"/>
      <c r="AI37" s="27" t="s">
        <v>70</v>
      </c>
      <c r="AJ37" s="26" t="str">
        <f>IFERROR(__xludf.DUMMYFUNCTION("TEXTJOIN("", "", TRUE, FILTER(Validations!$T$2:$T$100, ISNUMBER(SEARCH(Validations!$T$2:$T$100, AI37))))"),"Instantaneous")</f>
        <v>Instantaneous</v>
      </c>
      <c r="AK37" s="26" t="str">
        <f>IFERROR(__xludf.DUMMYFUNCTION("IFERROR(VALUE(REGEXEXTRACT(AI37, ""\d+"")), """")"),"")</f>
        <v/>
      </c>
      <c r="AL37" s="26" t="str">
        <f>IFERROR(__xludf.DUMMYFUNCTION("TEXTJOIN("", "", TRUE, FILTER(Validations!$U$2:$U$100, ISNUMBER(SEARCH(Validations!$U$2:$U$100, AI37))))"),"")</f>
        <v/>
      </c>
      <c r="AM37" s="24" t="b">
        <f t="shared" si="1"/>
        <v>0</v>
      </c>
      <c r="AN37" s="24" t="b">
        <v>0</v>
      </c>
      <c r="AO37" s="22" t="s">
        <v>112</v>
      </c>
      <c r="AP37" s="12" t="str">
        <f>IFERROR(__xludf.DUMMYFUNCTION("IF(TEXTJOIN("", "", TRUE, FILTER(Validations!$Q$2:$Q$100, ISNUMBER(SEARCH(Validations!$Q$2:$Q$100, AO37)))) = """", Validations!$Q$2, TEXTJOIN("", "", TRUE, FILTER(Validations!$Q$2:$Q$100, ISNUMBER(SEARCH(Validations!$Q$2:$Q$100, AO37)))))"),"Point")</f>
        <v>Point</v>
      </c>
      <c r="AQ37" s="12">
        <f>IFERROR(__xludf.DUMMYFUNCTION("IFERROR(VALUE(REGEXEXTRACT(AO37, ""\d+"")), """")"),30.0)</f>
        <v>30</v>
      </c>
      <c r="AR37" s="12" t="str">
        <f>IFERROR(__xludf.DUMMYFUNCTION("TEXTJOIN("", "", TRUE, FILTER(Validations!$R$2:$R$100, ISNUMBER(SEARCH(Validations!$R$2:$R$100, AO37))))"),"Feet")</f>
        <v>Feet</v>
      </c>
      <c r="AS37" s="27"/>
      <c r="AT37" s="12" t="str">
        <f>IFERROR(__xludf.DUMMYFUNCTION("IFERROR(TEXTJOIN("", "", TRUE, FILTER(Validations!$I$2:$I$100, ISNUMBER(SEARCH(Validations!$I$2:$I$100, AS37)))), """")"),"")</f>
        <v/>
      </c>
      <c r="AU37" s="16" t="str">
        <f t="array" ref="AU37">IFERROR(INDEX(Validations!$J$2:$J$100, MATCH(TRUE, ISNUMBER(SEARCH(Validations!$I$2:$I$100, AT37)), 0)), "")</f>
        <v/>
      </c>
      <c r="AV37" s="12" t="str">
        <f>IFERROR(__xludf.DUMMYFUNCTION("IFERROR(VALUE(REGEXEXTRACT(AS37, ""\d+"")), """")"),"")</f>
        <v/>
      </c>
      <c r="AW37" s="12" t="str">
        <f>IFERROR(__xludf.DUMMYFUNCTION("IFERROR(TEXTJOIN("", "", TRUE, FILTER(Validations!$Q$2:$Q$100, ISNUMBER(SEARCH(Validations!$Q$2:$Q$100, AS37)))), """")"),"")</f>
        <v/>
      </c>
      <c r="AX37" s="28" t="s">
        <v>142</v>
      </c>
      <c r="AY37" s="28" t="str">
        <f>IFERROR(__xludf.DUMMYFUNCTION("TEXTJOIN("", "", TRUE, FILTER(Validations!$Y$2:$Y$100, ISNUMBER(SEARCH(Validations!$X$2:$X$100, AX37))))"),"V, S")</f>
        <v>V, S</v>
      </c>
      <c r="AZ37" s="27"/>
      <c r="BA37" s="22"/>
      <c r="BB37" s="22"/>
      <c r="BC37" s="22"/>
      <c r="BD37" s="22"/>
      <c r="BE37" s="27"/>
      <c r="BF37" s="22"/>
      <c r="BG37" s="27"/>
      <c r="BH37" s="27"/>
      <c r="BI37" s="12" t="str">
        <f>IFERROR(__xludf.DUMMYFUNCTION("IFERROR(TEXTJOIN("", "", TRUE, FILTER(SRD!$A$2:$A$1000, EXACT(SRD!$A$2:$A$1000, J37))), """")"),"")</f>
        <v/>
      </c>
      <c r="BJ37" s="29"/>
      <c r="BK37" s="29"/>
    </row>
    <row r="38" ht="15.75" customHeight="1">
      <c r="A38" s="38" t="s">
        <v>228</v>
      </c>
      <c r="B38" s="12"/>
      <c r="C38" s="16"/>
      <c r="D38" s="16" t="s">
        <v>229</v>
      </c>
      <c r="E38" s="16"/>
      <c r="F38" s="40" t="s">
        <v>130</v>
      </c>
      <c r="G38" s="15" t="s">
        <v>64</v>
      </c>
      <c r="H38" s="31" t="s">
        <v>178</v>
      </c>
      <c r="I38" s="16" t="str">
        <f t="array" ref="I38">INDEX(Validations!$C$2:$C$100, MATCH(TRUE, ISNUMBER(SEARCH(Validations!$B$2:$B$100, H38)), 0))</f>
        <v>A</v>
      </c>
      <c r="J38" s="17" t="s">
        <v>230</v>
      </c>
      <c r="K38" s="34"/>
      <c r="L38" s="17"/>
      <c r="M38" s="33"/>
      <c r="N38" s="20" t="s">
        <v>231</v>
      </c>
      <c r="O38" s="17" t="s">
        <v>232</v>
      </c>
      <c r="P38" s="21"/>
      <c r="Q38" s="21"/>
      <c r="R38" s="22"/>
      <c r="S38" s="17" t="str">
        <f>IFERROR(__xludf.DUMMYFUNCTION("IFERROR(REGEXEXTRACT(J38, ""(\d{1,3}[dD]\d{1,3})""), """")"),"")</f>
        <v/>
      </c>
      <c r="T38" s="17" t="str">
        <f>IFERROR(__xludf.DUMMYFUNCTION("IF(COUNTIF(ARRAYFORMULA(LOWER(Validations!$O$2:$O$100)), LOWER(REGEXEXTRACT(J38, ""\d{1,3}[dD]\d{1,3}\s+(\w+)"")))&gt;0, REGEXEXTRACT(J38, ""\d{1,3}[dD]\d{1,3}\s+(\w+)""), """")"),"")</f>
        <v/>
      </c>
      <c r="U38" s="17" t="str">
        <f>IFERROR(__xludf.DUMMYFUNCTION("IF(COUNTIF(ARRAYFORMULA(LOWER(Validations!$P$2:$P$100)), LOWER(REGEXEXTRACT(J38, ""\d{1,3}[dD]\d{1,3}\s+(\w+)"")))&gt;0, REGEXEXTRACT(J38, ""\d{1,3}[dD]\d{1,3}\s+(\w+)""), """")"),"")</f>
        <v/>
      </c>
      <c r="V38" s="12" t="str">
        <f>IFERROR(__xludf.DUMMYFUNCTION("TEXTJOIN("", "", TRUE, FILTER(Validations!$L$2:$L$100, ISNUMBER(SEARCH(Validations!$L$2:$L$100, J38))))"),"")</f>
        <v/>
      </c>
      <c r="W38" s="12" t="str">
        <f>IFERROR(__xludf.DUMMYFUNCTION("IFERROR(TEXTJOIN("", "", TRUE, FILTER(Validations!$M$2:$M$100, ISNUMBER(SEARCH(Validations!$M$2:$M$100 &amp; "" saving throw"", J38)))), """")"),"")</f>
        <v/>
      </c>
      <c r="X38" s="12"/>
      <c r="Y38" s="12"/>
      <c r="Z38" s="12" t="str">
        <f>IFERROR(__xludf.DUMMYFUNCTION("IFERROR(TEXTJOIN("", "", TRUE, FILTER(Validations!$N$2:$N$100, ISNUMBER(SEARCH(Validations!$N$2:$N$100 &amp; "" check"", J38)))), """")"),"")</f>
        <v/>
      </c>
      <c r="AA38" s="12" t="str">
        <f>IFERROR(__xludf.DUMMYFUNCTION("IFERROR(TEXTJOIN("", "", TRUE, FILTER(Validations!$N$2:$N$100, ISNUMBER(SEARCH(Validations!$N$2:$N$100 &amp; "" check"", W38)))), """")"),"")</f>
        <v/>
      </c>
      <c r="AB38" s="23" t="str">
        <f>IFERROR(__xludf.DUMMYFUNCTION("IFERROR(CONCATENATE(IF(ISNUMBER(SEARCH(Validations!$M$2:$M$100 &amp; "" spell save"", J38)),""Spell Save"",""""), REGEXEXTRACT(J38, ""DC (\d+)"")), """")"),"")</f>
        <v/>
      </c>
      <c r="AC38" s="24" t="b">
        <v>0</v>
      </c>
      <c r="AD38" s="24" t="b">
        <v>0</v>
      </c>
      <c r="AE38" s="12" t="s">
        <v>69</v>
      </c>
      <c r="AF38" s="25">
        <f>IFERROR(__xludf.DUMMYFUNCTION("IFERROR(VALUE(REGEXEXTRACT(AE38, ""\d+"")), 1)"),1.0)</f>
        <v>1</v>
      </c>
      <c r="AG38" s="12" t="str">
        <f>IFERROR(__xludf.DUMMYFUNCTION("IF(
  ISNUMBER(SEARCH(""Bonus Action"", AE38)),
  ""Bonus Action"",
  IF(
    ISNUMBER(SEARCH(""Reaction"", AE38)),
    ""Reaction"",
    IF(
      ISNUMBER(SEARCH(""Action"", AE38)),
      ""Action"",
      TEXTJOIN("", "", TRUE, FILTER(Validations!$S$2:"&amp;"$S$100, ISNUMBER(SEARCH(Validations!$S$2:$S$100, AE38))))
    )
  )
)"),"Action")</f>
        <v>Action</v>
      </c>
      <c r="AH38" s="12"/>
      <c r="AI38" s="20" t="s">
        <v>87</v>
      </c>
      <c r="AJ38" s="26" t="str">
        <f>IFERROR(__xludf.DUMMYFUNCTION("TEXTJOIN("", "", TRUE, FILTER(Validations!$T$2:$T$100, ISNUMBER(SEARCH(Validations!$T$2:$T$100, AI38))))"),"")</f>
        <v/>
      </c>
      <c r="AK38" s="26">
        <f>IFERROR(__xludf.DUMMYFUNCTION("IFERROR(VALUE(REGEXEXTRACT(AI38, ""\d+"")), """")"),1.0)</f>
        <v>1</v>
      </c>
      <c r="AL38" s="26" t="str">
        <f>IFERROR(__xludf.DUMMYFUNCTION("TEXTJOIN("", "", TRUE, FILTER(Validations!$U$2:$U$100, ISNUMBER(SEARCH(Validations!$U$2:$U$100, AI38))))"),"Rounds")</f>
        <v>Rounds</v>
      </c>
      <c r="AM38" s="24" t="b">
        <f t="shared" si="1"/>
        <v>0</v>
      </c>
      <c r="AN38" s="41" t="b">
        <v>0</v>
      </c>
      <c r="AO38" s="22" t="s">
        <v>78</v>
      </c>
      <c r="AP38" s="12" t="str">
        <f>IFERROR(__xludf.DUMMYFUNCTION("IF(TEXTJOIN("", "", TRUE, FILTER(Validations!$Q$2:$Q$100, ISNUMBER(SEARCH(Validations!$Q$2:$Q$100, AO38)))) = """", Validations!$Q$2, TEXTJOIN("", "", TRUE, FILTER(Validations!$Q$2:$Q$100, ISNUMBER(SEARCH(Validations!$Q$2:$Q$100, AO38)))))"),"Point")</f>
        <v>Point</v>
      </c>
      <c r="AQ38" s="12" t="str">
        <f>IFERROR(__xludf.DUMMYFUNCTION("IFERROR(VALUE(REGEXEXTRACT(AO38, ""\d+"")), """")"),"")</f>
        <v/>
      </c>
      <c r="AR38" s="12" t="str">
        <f>IFERROR(__xludf.DUMMYFUNCTION("TEXTJOIN("", "", TRUE, FILTER(Validations!$R$2:$R$100, ISNUMBER(SEARCH(Validations!$R$2:$R$100, AO38))))"),"Self")</f>
        <v>Self</v>
      </c>
      <c r="AS38" s="27"/>
      <c r="AT38" s="12" t="str">
        <f>IFERROR(__xludf.DUMMYFUNCTION("IFERROR(TEXTJOIN("", "", TRUE, FILTER(Validations!$I$2:$I$100, ISNUMBER(SEARCH(Validations!$I$2:$I$100, AS38)))), """")"),"")</f>
        <v/>
      </c>
      <c r="AU38" s="16" t="str">
        <f t="array" ref="AU38">IFERROR(INDEX(Validations!$J$2:$J$100, MATCH(TRUE, ISNUMBER(SEARCH(Validations!$I$2:$I$100, AT38)), 0)), "")</f>
        <v/>
      </c>
      <c r="AV38" s="12" t="str">
        <f>IFERROR(__xludf.DUMMYFUNCTION("IFERROR(VALUE(REGEXEXTRACT(AS38, ""\d+"")), """")"),"")</f>
        <v/>
      </c>
      <c r="AW38" s="12" t="str">
        <f>IFERROR(__xludf.DUMMYFUNCTION("IFERROR(TEXTJOIN("", "", TRUE, FILTER(Validations!$Q$2:$Q$100, ISNUMBER(SEARCH(Validations!$Q$2:$Q$100, AS38)))), """")"),"")</f>
        <v/>
      </c>
      <c r="AX38" s="36" t="s">
        <v>135</v>
      </c>
      <c r="AY38" s="28" t="str">
        <f>IFERROR(__xludf.DUMMYFUNCTION("TEXTJOIN("", "", TRUE, FILTER(Validations!$Y$2:$Y$100, ISNUMBER(SEARCH(Validations!$X$2:$X$100, AX38))))"),"V, S, T")</f>
        <v>V, S, T</v>
      </c>
      <c r="AZ38" s="26"/>
      <c r="BA38" s="22" t="s">
        <v>233</v>
      </c>
      <c r="BB38" s="22"/>
      <c r="BC38" s="22"/>
      <c r="BD38" s="22"/>
      <c r="BE38" s="27"/>
      <c r="BF38" s="22"/>
      <c r="BG38" s="27"/>
      <c r="BH38" s="27"/>
      <c r="BI38" s="12" t="str">
        <f>IFERROR(__xludf.DUMMYFUNCTION("IFERROR(TEXTJOIN("", "", TRUE, FILTER(SRD!$A$2:$A$1000, EXACT(SRD!$A$2:$A$1000, J38))), """")"),"")</f>
        <v/>
      </c>
      <c r="BJ38" s="29"/>
      <c r="BK38" s="29"/>
    </row>
    <row r="39" ht="15.75" customHeight="1">
      <c r="A39" s="38" t="s">
        <v>234</v>
      </c>
      <c r="B39" s="12"/>
      <c r="C39" s="16"/>
      <c r="D39" s="16" t="s">
        <v>170</v>
      </c>
      <c r="E39" s="16"/>
      <c r="F39" s="40" t="s">
        <v>130</v>
      </c>
      <c r="G39" s="15" t="s">
        <v>64</v>
      </c>
      <c r="H39" s="31" t="s">
        <v>103</v>
      </c>
      <c r="I39" s="16" t="str">
        <f t="array" ref="I39">INDEX(Validations!$C$2:$C$100, MATCH(TRUE, ISNUMBER(SEARCH(Validations!$B$2:$B$100, H39)), 0))</f>
        <v>C</v>
      </c>
      <c r="J39" s="17" t="s">
        <v>235</v>
      </c>
      <c r="K39" s="34"/>
      <c r="L39" s="33"/>
      <c r="M39" s="33"/>
      <c r="N39" s="20" t="s">
        <v>236</v>
      </c>
      <c r="O39" s="17" t="s">
        <v>237</v>
      </c>
      <c r="P39" s="21"/>
      <c r="Q39" s="21"/>
      <c r="R39" s="22"/>
      <c r="S39" s="17" t="str">
        <f>IFERROR(__xludf.DUMMYFUNCTION("IFERROR(REGEXEXTRACT(J39, ""(\d{1,3}[dD]\d{1,3})""), """")"),"1d6")</f>
        <v>1d6</v>
      </c>
      <c r="T39" s="17" t="str">
        <f>IFERROR(__xludf.DUMMYFUNCTION("IF(COUNTIF(ARRAYFORMULA(LOWER(Validations!$O$2:$O$100)), LOWER(REGEXEXTRACT(J39, ""\d{1,3}[dD]\d{1,3}\s+(\w+)"")))&gt;0, REGEXEXTRACT(J39, ""\d{1,3}[dD]\d{1,3}\s+(\w+)""), """")"),"tearing")</f>
        <v>tearing</v>
      </c>
      <c r="U39" s="17" t="str">
        <f>IFERROR(__xludf.DUMMYFUNCTION("IF(COUNTIF(ARRAYFORMULA(LOWER(Validations!$P$2:$P$100)), LOWER(REGEXEXTRACT(J39, ""\d{1,3}[dD]\d{1,3}\s+(\w+)"")))&gt;0, REGEXEXTRACT(J39, ""\d{1,3}[dD]\d{1,3}\s+(\w+)""), """")"),"")</f>
        <v/>
      </c>
      <c r="V39" s="12" t="str">
        <f>IFERROR(__xludf.DUMMYFUNCTION("TEXTJOIN("", "", TRUE, FILTER(Validations!$L$2:$L$100, ISNUMBER(SEARCH(Validations!$L$2:$L$100, J39))))"),"")</f>
        <v/>
      </c>
      <c r="W39" s="12" t="str">
        <f>IFERROR(__xludf.DUMMYFUNCTION("IFERROR(TEXTJOIN("", "", TRUE, FILTER(Validations!$M$2:$M$100, ISNUMBER(SEARCH(Validations!$M$2:$M$100 &amp; "" saving throw"", J39)))), """")"),"Dexterity")</f>
        <v>Dexterity</v>
      </c>
      <c r="X39" s="12"/>
      <c r="Y39" s="12"/>
      <c r="Z39" s="12" t="str">
        <f>IFERROR(__xludf.DUMMYFUNCTION("IFERROR(TEXTJOIN("", "", TRUE, FILTER(Validations!$N$2:$N$100, ISNUMBER(SEARCH(Validations!$N$2:$N$100 &amp; "" check"", J39)))), """")"),"")</f>
        <v/>
      </c>
      <c r="AA39" s="12" t="str">
        <f>IFERROR(__xludf.DUMMYFUNCTION("IFERROR(TEXTJOIN("", "", TRUE, FILTER(Validations!$N$2:$N$100, ISNUMBER(SEARCH(Validations!$N$2:$N$100 &amp; "" check"", W39)))), """")"),"")</f>
        <v/>
      </c>
      <c r="AB39" s="23" t="str">
        <f>IFERROR(__xludf.DUMMYFUNCTION("IFERROR(CONCATENATE(IF(ISNUMBER(SEARCH(Validations!$M$2:$M$100 &amp; "" spell save"", J39)),""Spell Save"",""""), REGEXEXTRACT(J39, ""DC (\d+)"")), """")"),"")</f>
        <v/>
      </c>
      <c r="AC39" s="24" t="b">
        <v>0</v>
      </c>
      <c r="AD39" s="24" t="b">
        <v>0</v>
      </c>
      <c r="AE39" s="12" t="s">
        <v>69</v>
      </c>
      <c r="AF39" s="25">
        <f>IFERROR(__xludf.DUMMYFUNCTION("IFERROR(VALUE(REGEXEXTRACT(AE39, ""\d+"")), 1)"),1.0)</f>
        <v>1</v>
      </c>
      <c r="AG39" s="12" t="str">
        <f>IFERROR(__xludf.DUMMYFUNCTION("IF(
  ISNUMBER(SEARCH(""Bonus Action"", AE39)),
  ""Bonus Action"",
  IF(
    ISNUMBER(SEARCH(""Reaction"", AE39)),
    ""Reaction"",
    IF(
      ISNUMBER(SEARCH(""Action"", AE39)),
      ""Action"",
      TEXTJOIN("", "", TRUE, FILTER(Validations!$S$2:"&amp;"$S$100, ISNUMBER(SEARCH(Validations!$S$2:$S$100, AE39))))
    )
  )
)"),"Action")</f>
        <v>Action</v>
      </c>
      <c r="AH39" s="12"/>
      <c r="AI39" s="27" t="s">
        <v>70</v>
      </c>
      <c r="AJ39" s="26" t="str">
        <f>IFERROR(__xludf.DUMMYFUNCTION("TEXTJOIN("", "", TRUE, FILTER(Validations!$T$2:$T$100, ISNUMBER(SEARCH(Validations!$T$2:$T$100, AI39))))"),"Instantaneous")</f>
        <v>Instantaneous</v>
      </c>
      <c r="AK39" s="26" t="str">
        <f>IFERROR(__xludf.DUMMYFUNCTION("IFERROR(VALUE(REGEXEXTRACT(AI39, ""\d+"")), """")"),"")</f>
        <v/>
      </c>
      <c r="AL39" s="26" t="str">
        <f>IFERROR(__xludf.DUMMYFUNCTION("TEXTJOIN("", "", TRUE, FILTER(Validations!$U$2:$U$100, ISNUMBER(SEARCH(Validations!$U$2:$U$100, AI39))))"),"")</f>
        <v/>
      </c>
      <c r="AM39" s="24" t="b">
        <f t="shared" si="1"/>
        <v>0</v>
      </c>
      <c r="AN39" s="41" t="b">
        <v>0</v>
      </c>
      <c r="AO39" s="36" t="s">
        <v>238</v>
      </c>
      <c r="AP39" s="12" t="str">
        <f>IFERROR(__xludf.DUMMYFUNCTION("IF(TEXTJOIN("", "", TRUE, FILTER(Validations!$Q$2:$Q$100, ISNUMBER(SEARCH(Validations!$Q$2:$Q$100, AO39)))) = """", Validations!$Q$2, TEXTJOIN("", "", TRUE, FILTER(Validations!$Q$2:$Q$100, ISNUMBER(SEARCH(Validations!$Q$2:$Q$100, AO39)))))"),"Point")</f>
        <v>Point</v>
      </c>
      <c r="AQ39" s="12">
        <f>IFERROR(__xludf.DUMMYFUNCTION("IFERROR(VALUE(REGEXEXTRACT(AO39, ""\d+"")), """")"),5.0)</f>
        <v>5</v>
      </c>
      <c r="AR39" s="12" t="str">
        <f>IFERROR(__xludf.DUMMYFUNCTION("TEXTJOIN("", "", TRUE, FILTER(Validations!$R$2:$R$100, ISNUMBER(SEARCH(Validations!$R$2:$R$100, AO39))))"),"Feet")</f>
        <v>Feet</v>
      </c>
      <c r="AS39" s="27"/>
      <c r="AT39" s="12" t="str">
        <f>IFERROR(__xludf.DUMMYFUNCTION("IFERROR(TEXTJOIN("", "", TRUE, FILTER(Validations!$I$2:$I$100, ISNUMBER(SEARCH(Validations!$I$2:$I$100, AS39)))), """")"),"")</f>
        <v/>
      </c>
      <c r="AU39" s="16" t="str">
        <f t="array" ref="AU39">IFERROR(INDEX(Validations!$J$2:$J$100, MATCH(TRUE, ISNUMBER(SEARCH(Validations!$I$2:$I$100, AT39)), 0)), "")</f>
        <v/>
      </c>
      <c r="AV39" s="12" t="str">
        <f>IFERROR(__xludf.DUMMYFUNCTION("IFERROR(VALUE(REGEXEXTRACT(AS39, ""\d+"")), """")"),"")</f>
        <v/>
      </c>
      <c r="AW39" s="12" t="str">
        <f>IFERROR(__xludf.DUMMYFUNCTION("IFERROR(TEXTJOIN("", "", TRUE, FILTER(Validations!$Q$2:$Q$100, ISNUMBER(SEARCH(Validations!$Q$2:$Q$100, AS39)))), """")"),"")</f>
        <v/>
      </c>
      <c r="AX39" s="36" t="s">
        <v>135</v>
      </c>
      <c r="AY39" s="28" t="str">
        <f>IFERROR(__xludf.DUMMYFUNCTION("TEXTJOIN("", "", TRUE, FILTER(Validations!$Y$2:$Y$100, ISNUMBER(SEARCH(Validations!$X$2:$X$100, AX39))))"),"V, S, T")</f>
        <v>V, S, T</v>
      </c>
      <c r="AZ39" s="26"/>
      <c r="BA39" s="22" t="s">
        <v>239</v>
      </c>
      <c r="BB39" s="22"/>
      <c r="BC39" s="22"/>
      <c r="BD39" s="22"/>
      <c r="BE39" s="27"/>
      <c r="BF39" s="22"/>
      <c r="BG39" s="27"/>
      <c r="BH39" s="27"/>
      <c r="BI39" s="12" t="str">
        <f>IFERROR(__xludf.DUMMYFUNCTION("IFERROR(TEXTJOIN("", "", TRUE, FILTER(SRD!$A$2:$A$1000, EXACT(SRD!$A$2:$A$1000, J39))), """")"),"")</f>
        <v/>
      </c>
      <c r="BJ39" s="29"/>
      <c r="BK39" s="29"/>
    </row>
    <row r="40" ht="15.75" customHeight="1">
      <c r="A40" s="30" t="s">
        <v>240</v>
      </c>
      <c r="B40" s="22"/>
      <c r="C40" s="31"/>
      <c r="D40" s="31" t="s">
        <v>74</v>
      </c>
      <c r="E40" s="31"/>
      <c r="F40" s="32" t="s">
        <v>241</v>
      </c>
      <c r="G40" s="15" t="s">
        <v>64</v>
      </c>
      <c r="H40" s="31" t="s">
        <v>144</v>
      </c>
      <c r="I40" s="16" t="str">
        <f t="array" ref="I40">INDEX(Validations!$C$2:$C$100, MATCH(TRUE, ISNUMBER(SEARCH(Validations!$B$2:$B$100, H40)), 0))</f>
        <v>D</v>
      </c>
      <c r="J40" s="17" t="s">
        <v>242</v>
      </c>
      <c r="K40" s="18"/>
      <c r="L40" s="33"/>
      <c r="M40" s="33"/>
      <c r="N40" s="27"/>
      <c r="O40" s="33"/>
      <c r="P40" s="35"/>
      <c r="Q40" s="35"/>
      <c r="R40" s="22"/>
      <c r="S40" s="17" t="str">
        <f>IFERROR(__xludf.DUMMYFUNCTION("IFERROR(REGEXEXTRACT(J40, ""(\d{1,3}[dD]\d{1,3})""), """")"),"")</f>
        <v/>
      </c>
      <c r="T40" s="17" t="str">
        <f>IFERROR(__xludf.DUMMYFUNCTION("IF(COUNTIF(ARRAYFORMULA(LOWER(Validations!$O$2:$O$100)), LOWER(REGEXEXTRACT(J40, ""\d{1,3}[dD]\d{1,3}\s+(\w+)"")))&gt;0, REGEXEXTRACT(J40, ""\d{1,3}[dD]\d{1,3}\s+(\w+)""), """")"),"")</f>
        <v/>
      </c>
      <c r="U40" s="17" t="str">
        <f>IFERROR(__xludf.DUMMYFUNCTION("IF(COUNTIF(ARRAYFORMULA(LOWER(Validations!$P$2:$P$100)), LOWER(REGEXEXTRACT(J40, ""\d{1,3}[dD]\d{1,3}\s+(\w+)"")))&gt;0, REGEXEXTRACT(J40, ""\d{1,3}[dD]\d{1,3}\s+(\w+)""), """")"),"")</f>
        <v/>
      </c>
      <c r="V40" s="12" t="str">
        <f>IFERROR(__xludf.DUMMYFUNCTION("TEXTJOIN("", "", TRUE, FILTER(Validations!$L$2:$L$100, ISNUMBER(SEARCH(Validations!$L$2:$L$100, J40))))"),"")</f>
        <v/>
      </c>
      <c r="W40" s="12" t="str">
        <f>IFERROR(__xludf.DUMMYFUNCTION("IFERROR(TEXTJOIN("", "", TRUE, FILTER(Validations!$M$2:$M$100, ISNUMBER(SEARCH(Validations!$M$2:$M$100 &amp; "" saving throw"", J40)))), """")"),"Wisdom")</f>
        <v>Wisdom</v>
      </c>
      <c r="X40" s="12"/>
      <c r="Y40" s="12"/>
      <c r="Z40" s="12" t="str">
        <f>IFERROR(__xludf.DUMMYFUNCTION("IFERROR(TEXTJOIN("", "", TRUE, FILTER(Validations!$N$2:$N$100, ISNUMBER(SEARCH(Validations!$N$2:$N$100 &amp; "" check"", J40)))), """")"),"")</f>
        <v/>
      </c>
      <c r="AA40" s="12" t="str">
        <f>IFERROR(__xludf.DUMMYFUNCTION("IFERROR(TEXTJOIN("", "", TRUE, FILTER(Validations!$N$2:$N$100, ISNUMBER(SEARCH(Validations!$N$2:$N$100 &amp; "" check"", W40)))), """")"),"")</f>
        <v/>
      </c>
      <c r="AB40" s="23" t="str">
        <f>IFERROR(__xludf.DUMMYFUNCTION("IFERROR(CONCATENATE(IF(ISNUMBER(SEARCH(Validations!$M$2:$M$100 &amp; "" spell save"", J40)),""Spell Save"",""""), REGEXEXTRACT(J40, ""DC (\d+)"")), """")"),"")</f>
        <v/>
      </c>
      <c r="AC40" s="24" t="b">
        <v>0</v>
      </c>
      <c r="AD40" s="24" t="b">
        <v>0</v>
      </c>
      <c r="AE40" s="36" t="s">
        <v>69</v>
      </c>
      <c r="AF40" s="25">
        <f>IFERROR(__xludf.DUMMYFUNCTION("IFERROR(VALUE(REGEXEXTRACT(AE40, ""\d+"")), 1)"),1.0)</f>
        <v>1</v>
      </c>
      <c r="AG40" s="12" t="str">
        <f>IFERROR(__xludf.DUMMYFUNCTION("IF(
  ISNUMBER(SEARCH(""Bonus Action"", AE40)),
  ""Bonus Action"",
  IF(
    ISNUMBER(SEARCH(""Reaction"", AE40)),
    ""Reaction"",
    IF(
      ISNUMBER(SEARCH(""Action"", AE40)),
      ""Action"",
      TEXTJOIN("", "", TRUE, FILTER(Validations!$S$2:"&amp;"$S$100, ISNUMBER(SEARCH(Validations!$S$2:$S$100, AE40))))
    )
  )
)"),"Action")</f>
        <v>Action</v>
      </c>
      <c r="AH40" s="36"/>
      <c r="AI40" s="20" t="s">
        <v>134</v>
      </c>
      <c r="AJ40" s="26" t="str">
        <f>IFERROR(__xludf.DUMMYFUNCTION("TEXTJOIN("", "", TRUE, FILTER(Validations!$T$2:$T$100, ISNUMBER(SEARCH(Validations!$T$2:$T$100, AI40))))"),"")</f>
        <v/>
      </c>
      <c r="AK40" s="26">
        <f>IFERROR(__xludf.DUMMYFUNCTION("IFERROR(VALUE(REGEXEXTRACT(AI40, ""\d+"")), """")"),10.0)</f>
        <v>10</v>
      </c>
      <c r="AL40" s="26" t="str">
        <f>IFERROR(__xludf.DUMMYFUNCTION("TEXTJOIN("", "", TRUE, FILTER(Validations!$U$2:$U$100, ISNUMBER(SEARCH(Validations!$U$2:$U$100, AI40))))"),"Minutes")</f>
        <v>Minutes</v>
      </c>
      <c r="AM40" s="24" t="b">
        <f t="shared" si="1"/>
        <v>0</v>
      </c>
      <c r="AN40" s="24" t="b">
        <v>0</v>
      </c>
      <c r="AO40" s="36" t="s">
        <v>243</v>
      </c>
      <c r="AP40" s="12" t="str">
        <f>IFERROR(__xludf.DUMMYFUNCTION("IF(TEXTJOIN("", "", TRUE, FILTER(Validations!$Q$2:$Q$100, ISNUMBER(SEARCH(Validations!$Q$2:$Q$100, AO40)))) = """", Validations!$Q$2, TEXTJOIN("", "", TRUE, FILTER(Validations!$Q$2:$Q$100, ISNUMBER(SEARCH(Validations!$Q$2:$Q$100, AO40)))))"),"Radius")</f>
        <v>Radius</v>
      </c>
      <c r="AQ40" s="12">
        <f>IFERROR(__xludf.DUMMYFUNCTION("IFERROR(VALUE(REGEXEXTRACT(AO40, ""\d+"")), """")"),30.0)</f>
        <v>30</v>
      </c>
      <c r="AR40" s="12" t="str">
        <f>IFERROR(__xludf.DUMMYFUNCTION("TEXTJOIN("", "", TRUE, FILTER(Validations!$R$2:$R$100, ISNUMBER(SEARCH(Validations!$R$2:$R$100, AO40))))"),"Self, Feet")</f>
        <v>Self, Feet</v>
      </c>
      <c r="AS40" s="27"/>
      <c r="AT40" s="12" t="str">
        <f>IFERROR(__xludf.DUMMYFUNCTION("IFERROR(TEXTJOIN("", "", TRUE, FILTER(Validations!$I$2:$I$100, ISNUMBER(SEARCH(Validations!$I$2:$I$100, AS40)))), """")"),"")</f>
        <v/>
      </c>
      <c r="AU40" s="16" t="str">
        <f t="array" ref="AU40">IFERROR(INDEX(Validations!$J$2:$J$100, MATCH(TRUE, ISNUMBER(SEARCH(Validations!$I$2:$I$100, AT40)), 0)), "")</f>
        <v/>
      </c>
      <c r="AV40" s="12" t="str">
        <f>IFERROR(__xludf.DUMMYFUNCTION("IFERROR(VALUE(REGEXEXTRACT(AS40, ""\d+"")), """")"),"")</f>
        <v/>
      </c>
      <c r="AW40" s="12" t="str">
        <f>IFERROR(__xludf.DUMMYFUNCTION("IFERROR(TEXTJOIN("", "", TRUE, FILTER(Validations!$Q$2:$Q$100, ISNUMBER(SEARCH(Validations!$Q$2:$Q$100, AS40)))), """")"),"")</f>
        <v/>
      </c>
      <c r="AX40" s="28" t="s">
        <v>72</v>
      </c>
      <c r="AY40" s="28" t="str">
        <f>IFERROR(__xludf.DUMMYFUNCTION("TEXTJOIN("", "", TRUE, FILTER(Validations!$Y$2:$Y$100, ISNUMBER(SEARCH(Validations!$X$2:$X$100, AX40))))"),"V, S")</f>
        <v>V, S</v>
      </c>
      <c r="AZ40" s="27"/>
      <c r="BA40" s="22"/>
      <c r="BB40" s="22"/>
      <c r="BC40" s="22"/>
      <c r="BD40" s="22"/>
      <c r="BE40" s="27"/>
      <c r="BF40" s="22"/>
      <c r="BG40" s="27"/>
      <c r="BH40" s="27"/>
      <c r="BI40" s="12" t="str">
        <f>IFERROR(__xludf.DUMMYFUNCTION("IFERROR(TEXTJOIN("", "", TRUE, FILTER(SRD!$A$2:$A$1000, EXACT(SRD!$A$2:$A$1000, J40))), """")"),"")</f>
        <v/>
      </c>
      <c r="BJ40" s="29"/>
      <c r="BK40" s="29"/>
    </row>
    <row r="41" ht="15.75" customHeight="1">
      <c r="A41" s="38" t="s">
        <v>244</v>
      </c>
      <c r="B41" s="12"/>
      <c r="C41" s="13"/>
      <c r="D41" s="13" t="s">
        <v>62</v>
      </c>
      <c r="E41" s="13"/>
      <c r="F41" s="14" t="s">
        <v>123</v>
      </c>
      <c r="G41" s="15" t="s">
        <v>64</v>
      </c>
      <c r="H41" s="31" t="s">
        <v>103</v>
      </c>
      <c r="I41" s="16" t="str">
        <f t="array" ref="I41">INDEX(Validations!$C$2:$C$100, MATCH(TRUE, ISNUMBER(SEARCH(Validations!$B$2:$B$100, H41)), 0))</f>
        <v>C</v>
      </c>
      <c r="J41" s="17" t="s">
        <v>245</v>
      </c>
      <c r="K41" s="18"/>
      <c r="L41" s="17"/>
      <c r="M41" s="37" t="s">
        <v>246</v>
      </c>
      <c r="N41" s="27"/>
      <c r="O41" s="17"/>
      <c r="P41" s="21"/>
      <c r="Q41" s="21"/>
      <c r="R41" s="22"/>
      <c r="S41" s="17" t="str">
        <f>IFERROR(__xludf.DUMMYFUNCTION("IFERROR(REGEXEXTRACT(J41, ""(\d{1,3}[dD]\d{1,3})""), """")"),"1d4")</f>
        <v>1d4</v>
      </c>
      <c r="T41" s="17" t="str">
        <f>IFERROR(__xludf.DUMMYFUNCTION("IF(COUNTIF(ARRAYFORMULA(LOWER(Validations!$O$2:$O$100)), LOWER(REGEXEXTRACT(J41, ""\d{1,3}[dD]\d{1,3}\s+(\w+)"")))&gt;0, REGEXEXTRACT(J41, ""\d{1,3}[dD]\d{1,3}\s+(\w+)""), """")"),"impact")</f>
        <v>impact</v>
      </c>
      <c r="U41" s="17" t="str">
        <f>IFERROR(__xludf.DUMMYFUNCTION("IF(COUNTIF(ARRAYFORMULA(LOWER(Validations!$P$2:$P$100)), LOWER(REGEXEXTRACT(J41, ""\d{1,3}[dD]\d{1,3}\s+(\w+)"")))&gt;0, REGEXEXTRACT(J41, ""\d{1,3}[dD]\d{1,3}\s+(\w+)""), """")"),"")</f>
        <v/>
      </c>
      <c r="V41" s="12" t="str">
        <f>IFERROR(__xludf.DUMMYFUNCTION("TEXTJOIN("", "", TRUE, FILTER(Validations!$L$2:$L$100, ISNUMBER(SEARCH(Validations!$L$2:$L$100, J41))))"),"")</f>
        <v/>
      </c>
      <c r="W41" s="12" t="str">
        <f>IFERROR(__xludf.DUMMYFUNCTION("IFERROR(TEXTJOIN("", "", TRUE, FILTER(Validations!$M$2:$M$100, ISNUMBER(SEARCH(Validations!$M$2:$M$100 &amp; "" saving throw"", J41)))), """")"),"")</f>
        <v/>
      </c>
      <c r="X41" s="12"/>
      <c r="Y41" s="12"/>
      <c r="Z41" s="12" t="str">
        <f>IFERROR(__xludf.DUMMYFUNCTION("IFERROR(TEXTJOIN("", "", TRUE, FILTER(Validations!$N$2:$N$100, ISNUMBER(SEARCH(Validations!$N$2:$N$100 &amp; "" check"", J41)))), """")"),"")</f>
        <v/>
      </c>
      <c r="AA41" s="12" t="str">
        <f>IFERROR(__xludf.DUMMYFUNCTION("IFERROR(TEXTJOIN("", "", TRUE, FILTER(Validations!$N$2:$N$100, ISNUMBER(SEARCH(Validations!$N$2:$N$100 &amp; "" check"", W41)))), """")"),"")</f>
        <v/>
      </c>
      <c r="AB41" s="23" t="str">
        <f>IFERROR(__xludf.DUMMYFUNCTION("IFERROR(CONCATENATE(IF(ISNUMBER(SEARCH(Validations!$M$2:$M$100 &amp; "" spell save"", J41)),""Spell Save"",""""), REGEXEXTRACT(J41, ""DC (\d+)"")), """")"),"")</f>
        <v/>
      </c>
      <c r="AC41" s="42" t="b">
        <v>0</v>
      </c>
      <c r="AD41" s="42" t="b">
        <v>0</v>
      </c>
      <c r="AE41" s="12" t="s">
        <v>69</v>
      </c>
      <c r="AF41" s="25">
        <f>IFERROR(__xludf.DUMMYFUNCTION("IFERROR(VALUE(REGEXEXTRACT(AE41, ""\d+"")), 1)"),1.0)</f>
        <v>1</v>
      </c>
      <c r="AG41" s="12" t="str">
        <f>IFERROR(__xludf.DUMMYFUNCTION("IF(
  ISNUMBER(SEARCH(""Bonus Action"", AE41)),
  ""Bonus Action"",
  IF(
    ISNUMBER(SEARCH(""Reaction"", AE41)),
    ""Reaction"",
    IF(
      ISNUMBER(SEARCH(""Action"", AE41)),
      ""Action"",
      TEXTJOIN("", "", TRUE, FILTER(Validations!$S$2:"&amp;"$S$100, ISNUMBER(SEARCH(Validations!$S$2:$S$100, AE41))))
    )
  )
)"),"Action")</f>
        <v>Action</v>
      </c>
      <c r="AH41" s="12"/>
      <c r="AI41" s="26" t="s">
        <v>70</v>
      </c>
      <c r="AJ41" s="26" t="str">
        <f>IFERROR(__xludf.DUMMYFUNCTION("TEXTJOIN("", "", TRUE, FILTER(Validations!$T$2:$T$100, ISNUMBER(SEARCH(Validations!$T$2:$T$100, AI41))))"),"Instantaneous")</f>
        <v>Instantaneous</v>
      </c>
      <c r="AK41" s="26" t="str">
        <f>IFERROR(__xludf.DUMMYFUNCTION("IFERROR(VALUE(REGEXEXTRACT(AI41, ""\d+"")), """")"),"")</f>
        <v/>
      </c>
      <c r="AL41" s="26" t="str">
        <f>IFERROR(__xludf.DUMMYFUNCTION("TEXTJOIN("", "", TRUE, FILTER(Validations!$U$2:$U$100, ISNUMBER(SEARCH(Validations!$U$2:$U$100, AI41))))"),"")</f>
        <v/>
      </c>
      <c r="AM41" s="24" t="b">
        <f t="shared" si="1"/>
        <v>0</v>
      </c>
      <c r="AN41" s="24" t="b">
        <v>0</v>
      </c>
      <c r="AO41" s="36" t="s">
        <v>247</v>
      </c>
      <c r="AP41" s="12" t="str">
        <f>IFERROR(__xludf.DUMMYFUNCTION("IF(TEXTJOIN("", "", TRUE, FILTER(Validations!$Q$2:$Q$100, ISNUMBER(SEARCH(Validations!$Q$2:$Q$100, AO41)))) = """", Validations!$Q$2, TEXTJOIN("", "", TRUE, FILTER(Validations!$Q$2:$Q$100, ISNUMBER(SEARCH(Validations!$Q$2:$Q$100, AO41)))))"),"Point")</f>
        <v>Point</v>
      </c>
      <c r="AQ41" s="12">
        <f>IFERROR(__xludf.DUMMYFUNCTION("IFERROR(VALUE(REGEXEXTRACT(AO41, ""\d+"")), """")"),50.0)</f>
        <v>50</v>
      </c>
      <c r="AR41" s="12" t="str">
        <f>IFERROR(__xludf.DUMMYFUNCTION("TEXTJOIN("", "", TRUE, FILTER(Validations!$R$2:$R$100, ISNUMBER(SEARCH(Validations!$R$2:$R$100, AO41))))"),"Feet")</f>
        <v>Feet</v>
      </c>
      <c r="AS41" s="27"/>
      <c r="AT41" s="12" t="str">
        <f>IFERROR(__xludf.DUMMYFUNCTION("IFERROR(TEXTJOIN("", "", TRUE, FILTER(Validations!$I$2:$I$100, ISNUMBER(SEARCH(Validations!$I$2:$I$100, AS41)))), """")"),"")</f>
        <v/>
      </c>
      <c r="AU41" s="16" t="str">
        <f t="array" ref="AU41">IFERROR(INDEX(Validations!$J$2:$J$100, MATCH(TRUE, ISNUMBER(SEARCH(Validations!$I$2:$I$100, AT41)), 0)), "")</f>
        <v/>
      </c>
      <c r="AV41" s="12" t="str">
        <f>IFERROR(__xludf.DUMMYFUNCTION("IFERROR(VALUE(REGEXEXTRACT(AS41, ""\d+"")), """")"),"")</f>
        <v/>
      </c>
      <c r="AW41" s="12" t="str">
        <f>IFERROR(__xludf.DUMMYFUNCTION("IFERROR(TEXTJOIN("", "", TRUE, FILTER(Validations!$Q$2:$Q$100, ISNUMBER(SEARCH(Validations!$Q$2:$Q$100, AS41)))), """")"),"")</f>
        <v/>
      </c>
      <c r="AX41" s="28" t="s">
        <v>248</v>
      </c>
      <c r="AY41" s="28" t="str">
        <f>IFERROR(__xludf.DUMMYFUNCTION("TEXTJOIN("", "", TRUE, FILTER(Validations!$Y$2:$Y$100, ISNUMBER(SEARCH(Validations!$X$2:$X$100, AX41))))"),"V")</f>
        <v>V</v>
      </c>
      <c r="AZ41" s="26"/>
      <c r="BA41" s="12"/>
      <c r="BB41" s="22"/>
      <c r="BC41" s="22"/>
      <c r="BD41" s="22"/>
      <c r="BE41" s="27"/>
      <c r="BF41" s="22"/>
      <c r="BG41" s="27"/>
      <c r="BH41" s="27"/>
      <c r="BI41" s="12" t="str">
        <f>IFERROR(__xludf.DUMMYFUNCTION("IFERROR(TEXTJOIN("", "", TRUE, FILTER(SRD!$A$2:$A$1000, EXACT(SRD!$A$2:$A$1000, J41))), """")"),"")</f>
        <v/>
      </c>
      <c r="BJ41" s="29"/>
      <c r="BK41" s="29"/>
    </row>
    <row r="42" ht="15.75" customHeight="1">
      <c r="A42" s="30" t="s">
        <v>249</v>
      </c>
      <c r="B42" s="22"/>
      <c r="C42" s="31"/>
      <c r="D42" s="31" t="s">
        <v>74</v>
      </c>
      <c r="E42" s="31"/>
      <c r="F42" s="32" t="s">
        <v>250</v>
      </c>
      <c r="G42" s="15" t="s">
        <v>64</v>
      </c>
      <c r="H42" s="31" t="s">
        <v>65</v>
      </c>
      <c r="I42" s="16" t="str">
        <f t="array" ref="I42">INDEX(Validations!$C$2:$C$100, MATCH(TRUE, ISNUMBER(SEARCH(Validations!$B$2:$B$100, H42)), 0))</f>
        <v>I</v>
      </c>
      <c r="J42" s="33" t="s">
        <v>251</v>
      </c>
      <c r="K42" s="34"/>
      <c r="L42" s="33"/>
      <c r="M42" s="33"/>
      <c r="N42" s="27"/>
      <c r="O42" s="33"/>
      <c r="P42" s="35"/>
      <c r="Q42" s="35"/>
      <c r="R42" s="22"/>
      <c r="S42" s="17" t="str">
        <f>IFERROR(__xludf.DUMMYFUNCTION("IFERROR(REGEXEXTRACT(J42, ""(\d{1,3}[dD]\d{1,3})""), """")"),"")</f>
        <v/>
      </c>
      <c r="T42" s="17" t="str">
        <f>IFERROR(__xludf.DUMMYFUNCTION("IF(COUNTIF(ARRAYFORMULA(LOWER(Validations!$O$2:$O$100)), LOWER(REGEXEXTRACT(J42, ""\d{1,3}[dD]\d{1,3}\s+(\w+)"")))&gt;0, REGEXEXTRACT(J42, ""\d{1,3}[dD]\d{1,3}\s+(\w+)""), """")"),"")</f>
        <v/>
      </c>
      <c r="U42" s="17" t="str">
        <f>IFERROR(__xludf.DUMMYFUNCTION("IF(COUNTIF(ARRAYFORMULA(LOWER(Validations!$P$2:$P$100)), LOWER(REGEXEXTRACT(J42, ""\d{1,3}[dD]\d{1,3}\s+(\w+)"")))&gt;0, REGEXEXTRACT(J42, ""\d{1,3}[dD]\d{1,3}\s+(\w+)""), """")"),"")</f>
        <v/>
      </c>
      <c r="V42" s="12" t="str">
        <f>IFERROR(__xludf.DUMMYFUNCTION("TEXTJOIN("", "", TRUE, FILTER(Validations!$L$2:$L$100, ISNUMBER(SEARCH(Validations!$L$2:$L$100, J42))))"),"")</f>
        <v/>
      </c>
      <c r="W42" s="12" t="str">
        <f>IFERROR(__xludf.DUMMYFUNCTION("IFERROR(TEXTJOIN("", "", TRUE, FILTER(Validations!$M$2:$M$100, ISNUMBER(SEARCH(Validations!$M$2:$M$100 &amp; "" saving throw"", J42)))), """")"),"Constitution")</f>
        <v>Constitution</v>
      </c>
      <c r="X42" s="12"/>
      <c r="Y42" s="12"/>
      <c r="Z42" s="12" t="str">
        <f>IFERROR(__xludf.DUMMYFUNCTION("IFERROR(TEXTJOIN("", "", TRUE, FILTER(Validations!$N$2:$N$100, ISNUMBER(SEARCH(Validations!$N$2:$N$100 &amp; "" check"", J42)))), """")"),"")</f>
        <v/>
      </c>
      <c r="AA42" s="12" t="str">
        <f>IFERROR(__xludf.DUMMYFUNCTION("IFERROR(TEXTJOIN("", "", TRUE, FILTER(Validations!$N$2:$N$100, ISNUMBER(SEARCH(Validations!$N$2:$N$100 &amp; "" check"", W42)))), """")"),"")</f>
        <v/>
      </c>
      <c r="AB42" s="23" t="str">
        <f>IFERROR(__xludf.DUMMYFUNCTION("IFERROR(CONCATENATE(IF(ISNUMBER(SEARCH(Validations!$M$2:$M$100 &amp; "" spell save"", J42)),""Spell Save"",""""), REGEXEXTRACT(J42, ""DC (\d+)"")), """")"),"")</f>
        <v/>
      </c>
      <c r="AC42" s="24" t="b">
        <v>0</v>
      </c>
      <c r="AD42" s="24" t="b">
        <v>0</v>
      </c>
      <c r="AE42" s="36" t="s">
        <v>69</v>
      </c>
      <c r="AF42" s="25">
        <f>IFERROR(__xludf.DUMMYFUNCTION("IFERROR(VALUE(REGEXEXTRACT(AE42, ""\d+"")), 1)"),1.0)</f>
        <v>1</v>
      </c>
      <c r="AG42" s="12" t="str">
        <f>IFERROR(__xludf.DUMMYFUNCTION("IF(
  ISNUMBER(SEARCH(""Bonus Action"", AE42)),
  ""Bonus Action"",
  IF(
    ISNUMBER(SEARCH(""Reaction"", AE42)),
    ""Reaction"",
    IF(
      ISNUMBER(SEARCH(""Action"", AE42)),
      ""Action"",
      TEXTJOIN("", "", TRUE, FILTER(Validations!$S$2:"&amp;"$S$100, ISNUMBER(SEARCH(Validations!$S$2:$S$100, AE42))))
    )
  )
)"),"Action")</f>
        <v>Action</v>
      </c>
      <c r="AH42" s="36"/>
      <c r="AI42" s="20" t="s">
        <v>87</v>
      </c>
      <c r="AJ42" s="26" t="str">
        <f>IFERROR(__xludf.DUMMYFUNCTION("TEXTJOIN("", "", TRUE, FILTER(Validations!$T$2:$T$100, ISNUMBER(SEARCH(Validations!$T$2:$T$100, AI42))))"),"")</f>
        <v/>
      </c>
      <c r="AK42" s="26">
        <f>IFERROR(__xludf.DUMMYFUNCTION("IFERROR(VALUE(REGEXEXTRACT(AI42, ""\d+"")), """")"),1.0)</f>
        <v>1</v>
      </c>
      <c r="AL42" s="26" t="str">
        <f>IFERROR(__xludf.DUMMYFUNCTION("TEXTJOIN("", "", TRUE, FILTER(Validations!$U$2:$U$100, ISNUMBER(SEARCH(Validations!$U$2:$U$100, AI42))))"),"Rounds")</f>
        <v>Rounds</v>
      </c>
      <c r="AM42" s="24" t="b">
        <f t="shared" si="1"/>
        <v>0</v>
      </c>
      <c r="AN42" s="24" t="b">
        <v>0</v>
      </c>
      <c r="AO42" s="22" t="s">
        <v>105</v>
      </c>
      <c r="AP42" s="12" t="str">
        <f>IFERROR(__xludf.DUMMYFUNCTION("IF(TEXTJOIN("", "", TRUE, FILTER(Validations!$Q$2:$Q$100, ISNUMBER(SEARCH(Validations!$Q$2:$Q$100, AO42)))) = """", Validations!$Q$2, TEXTJOIN("", "", TRUE, FILTER(Validations!$Q$2:$Q$100, ISNUMBER(SEARCH(Validations!$Q$2:$Q$100, AO42)))))"),"Point")</f>
        <v>Point</v>
      </c>
      <c r="AQ42" s="12">
        <f>IFERROR(__xludf.DUMMYFUNCTION("IFERROR(VALUE(REGEXEXTRACT(AO42, ""\d+"")), """")"),10.0)</f>
        <v>10</v>
      </c>
      <c r="AR42" s="12" t="str">
        <f>IFERROR(__xludf.DUMMYFUNCTION("TEXTJOIN("", "", TRUE, FILTER(Validations!$R$2:$R$100, ISNUMBER(SEARCH(Validations!$R$2:$R$100, AO42))))"),"Feet")</f>
        <v>Feet</v>
      </c>
      <c r="AS42" s="27"/>
      <c r="AT42" s="12" t="str">
        <f>IFERROR(__xludf.DUMMYFUNCTION("IFERROR(TEXTJOIN("", "", TRUE, FILTER(Validations!$I$2:$I$100, ISNUMBER(SEARCH(Validations!$I$2:$I$100, AS42)))), """")"),"")</f>
        <v/>
      </c>
      <c r="AU42" s="16" t="str">
        <f t="array" ref="AU42">IFERROR(INDEX(Validations!$J$2:$J$100, MATCH(TRUE, ISNUMBER(SEARCH(Validations!$I$2:$I$100, AT42)), 0)), "")</f>
        <v/>
      </c>
      <c r="AV42" s="12" t="str">
        <f>IFERROR(__xludf.DUMMYFUNCTION("IFERROR(VALUE(REGEXEXTRACT(AS42, ""\d+"")), """")"),"")</f>
        <v/>
      </c>
      <c r="AW42" s="12" t="str">
        <f>IFERROR(__xludf.DUMMYFUNCTION("IFERROR(TEXTJOIN("", "", TRUE, FILTER(Validations!$Q$2:$Q$100, ISNUMBER(SEARCH(Validations!$Q$2:$Q$100, AS42)))), """")"),"")</f>
        <v/>
      </c>
      <c r="AX42" s="28" t="s">
        <v>72</v>
      </c>
      <c r="AY42" s="28" t="str">
        <f>IFERROR(__xludf.DUMMYFUNCTION("TEXTJOIN("", "", TRUE, FILTER(Validations!$Y$2:$Y$100, ISNUMBER(SEARCH(Validations!$X$2:$X$100, AX42))))"),"V, S")</f>
        <v>V, S</v>
      </c>
      <c r="AZ42" s="27"/>
      <c r="BA42" s="22"/>
      <c r="BB42" s="22"/>
      <c r="BC42" s="22"/>
      <c r="BD42" s="22"/>
      <c r="BE42" s="27"/>
      <c r="BF42" s="22"/>
      <c r="BG42" s="27"/>
      <c r="BH42" s="27"/>
      <c r="BI42" s="12" t="str">
        <f>IFERROR(__xludf.DUMMYFUNCTION("IFERROR(TEXTJOIN("", "", TRUE, FILTER(SRD!$A$2:$A$1000, EXACT(SRD!$A$2:$A$1000, J42))), """")"),"")</f>
        <v/>
      </c>
      <c r="BJ42" s="29"/>
      <c r="BK42" s="29"/>
    </row>
    <row r="43" ht="15.75" customHeight="1">
      <c r="A43" s="38" t="s">
        <v>252</v>
      </c>
      <c r="B43" s="12"/>
      <c r="C43" s="43"/>
      <c r="D43" s="43" t="s">
        <v>253</v>
      </c>
      <c r="E43" s="43"/>
      <c r="F43" s="39" t="s">
        <v>108</v>
      </c>
      <c r="G43" s="15" t="s">
        <v>64</v>
      </c>
      <c r="H43" s="31" t="s">
        <v>103</v>
      </c>
      <c r="I43" s="16" t="str">
        <f t="array" ref="I43">INDEX(Validations!$C$2:$C$100, MATCH(TRUE, ISNUMBER(SEARCH(Validations!$B$2:$B$100, H43)), 0))</f>
        <v>C</v>
      </c>
      <c r="J43" s="17" t="s">
        <v>254</v>
      </c>
      <c r="K43" s="18"/>
      <c r="L43" s="17"/>
      <c r="M43" s="37"/>
      <c r="N43" s="27"/>
      <c r="O43" s="17"/>
      <c r="P43" s="21"/>
      <c r="Q43" s="21"/>
      <c r="R43" s="22"/>
      <c r="S43" s="17" t="str">
        <f>IFERROR(__xludf.DUMMYFUNCTION("IFERROR(REGEXEXTRACT(J43, ""(\d{1,3}[dD]\d{1,3})""), """")"),"")</f>
        <v/>
      </c>
      <c r="T43" s="17" t="str">
        <f>IFERROR(__xludf.DUMMYFUNCTION("IF(COUNTIF(ARRAYFORMULA(LOWER(Validations!$O$2:$O$100)), LOWER(REGEXEXTRACT(J43, ""\d{1,3}[dD]\d{1,3}\s+(\w+)"")))&gt;0, REGEXEXTRACT(J43, ""\d{1,3}[dD]\d{1,3}\s+(\w+)""), """")"),"")</f>
        <v/>
      </c>
      <c r="U43" s="17" t="str">
        <f>IFERROR(__xludf.DUMMYFUNCTION("IF(COUNTIF(ARRAYFORMULA(LOWER(Validations!$P$2:$P$100)), LOWER(REGEXEXTRACT(J43, ""\d{1,3}[dD]\d{1,3}\s+(\w+)"")))&gt;0, REGEXEXTRACT(J43, ""\d{1,3}[dD]\d{1,3}\s+(\w+)""), """")"),"")</f>
        <v/>
      </c>
      <c r="V43" s="12" t="str">
        <f>IFERROR(__xludf.DUMMYFUNCTION("TEXTJOIN("", "", TRUE, FILTER(Validations!$L$2:$L$100, ISNUMBER(SEARCH(Validations!$L$2:$L$100, J43))))"),"")</f>
        <v/>
      </c>
      <c r="W43" s="12" t="str">
        <f>IFERROR(__xludf.DUMMYFUNCTION("IFERROR(TEXTJOIN("", "", TRUE, FILTER(Validations!$M$2:$M$100, ISNUMBER(SEARCH(Validations!$M$2:$M$100 &amp; "" saving throw"", J43)))), """")"),"")</f>
        <v/>
      </c>
      <c r="X43" s="12"/>
      <c r="Y43" s="12"/>
      <c r="Z43" s="12" t="str">
        <f>IFERROR(__xludf.DUMMYFUNCTION("IFERROR(TEXTJOIN("", "", TRUE, FILTER(Validations!$N$2:$N$100, ISNUMBER(SEARCH(Validations!$N$2:$N$100 &amp; "" check"", J43)))), """")"),"")</f>
        <v/>
      </c>
      <c r="AA43" s="12" t="str">
        <f>IFERROR(__xludf.DUMMYFUNCTION("IFERROR(TEXTJOIN("", "", TRUE, FILTER(Validations!$N$2:$N$100, ISNUMBER(SEARCH(Validations!$N$2:$N$100 &amp; "" check"", W43)))), """")"),"")</f>
        <v/>
      </c>
      <c r="AB43" s="23" t="str">
        <f>IFERROR(__xludf.DUMMYFUNCTION("IFERROR(CONCATENATE(IF(ISNUMBER(SEARCH(Validations!$M$2:$M$100 &amp; "" spell save"", J43)),""Spell Save"",""""), REGEXEXTRACT(J43, ""DC (\d+)"")), """")"),"")</f>
        <v/>
      </c>
      <c r="AC43" s="24" t="b">
        <v>0</v>
      </c>
      <c r="AD43" s="24" t="b">
        <v>0</v>
      </c>
      <c r="AE43" s="12" t="s">
        <v>69</v>
      </c>
      <c r="AF43" s="25">
        <f>IFERROR(__xludf.DUMMYFUNCTION("IFERROR(VALUE(REGEXEXTRACT(AE43, ""\d+"")), 1)"),1.0)</f>
        <v>1</v>
      </c>
      <c r="AG43" s="12" t="str">
        <f>IFERROR(__xludf.DUMMYFUNCTION("IF(
  ISNUMBER(SEARCH(""Bonus Action"", AE43)),
  ""Bonus Action"",
  IF(
    ISNUMBER(SEARCH(""Reaction"", AE43)),
    ""Reaction"",
    IF(
      ISNUMBER(SEARCH(""Action"", AE43)),
      ""Action"",
      TEXTJOIN("", "", TRUE, FILTER(Validations!$S$2:"&amp;"$S$100, ISNUMBER(SEARCH(Validations!$S$2:$S$100, AE43))))
    )
  )
)"),"Action")</f>
        <v>Action</v>
      </c>
      <c r="AH43" s="12"/>
      <c r="AI43" s="26" t="s">
        <v>255</v>
      </c>
      <c r="AJ43" s="26" t="str">
        <f>IFERROR(__xludf.DUMMYFUNCTION("TEXTJOIN("", "", TRUE, FILTER(Validations!$T$2:$T$100, ISNUMBER(SEARCH(Validations!$T$2:$T$100, AI43))))"),"Permanent")</f>
        <v>Permanent</v>
      </c>
      <c r="AK43" s="26" t="str">
        <f>IFERROR(__xludf.DUMMYFUNCTION("IFERROR(VALUE(REGEXEXTRACT(AI43, ""\d+"")), """")"),"")</f>
        <v/>
      </c>
      <c r="AL43" s="26" t="str">
        <f>IFERROR(__xludf.DUMMYFUNCTION("TEXTJOIN("", "", TRUE, FILTER(Validations!$U$2:$U$100, ISNUMBER(SEARCH(Validations!$U$2:$U$100, AI43))))"),"")</f>
        <v/>
      </c>
      <c r="AM43" s="24" t="b">
        <f t="shared" si="1"/>
        <v>0</v>
      </c>
      <c r="AN43" s="24" t="b">
        <v>0</v>
      </c>
      <c r="AO43" s="12" t="s">
        <v>78</v>
      </c>
      <c r="AP43" s="12" t="str">
        <f>IFERROR(__xludf.DUMMYFUNCTION("IF(TEXTJOIN("", "", TRUE, FILTER(Validations!$Q$2:$Q$100, ISNUMBER(SEARCH(Validations!$Q$2:$Q$100, AO43)))) = """", Validations!$Q$2, TEXTJOIN("", "", TRUE, FILTER(Validations!$Q$2:$Q$100, ISNUMBER(SEARCH(Validations!$Q$2:$Q$100, AO43)))))"),"Point")</f>
        <v>Point</v>
      </c>
      <c r="AQ43" s="12" t="str">
        <f>IFERROR(__xludf.DUMMYFUNCTION("IFERROR(VALUE(REGEXEXTRACT(AO43, ""\d+"")), """")"),"")</f>
        <v/>
      </c>
      <c r="AR43" s="12" t="str">
        <f>IFERROR(__xludf.DUMMYFUNCTION("TEXTJOIN("", "", TRUE, FILTER(Validations!$R$2:$R$100, ISNUMBER(SEARCH(Validations!$R$2:$R$100, AO43))))"),"Self")</f>
        <v>Self</v>
      </c>
      <c r="AS43" s="27"/>
      <c r="AT43" s="12" t="str">
        <f>IFERROR(__xludf.DUMMYFUNCTION("IFERROR(TEXTJOIN("", "", TRUE, FILTER(Validations!$I$2:$I$100, ISNUMBER(SEARCH(Validations!$I$2:$I$100, AS43)))), """")"),"")</f>
        <v/>
      </c>
      <c r="AU43" s="16" t="str">
        <f t="array" ref="AU43">IFERROR(INDEX(Validations!$J$2:$J$100, MATCH(TRUE, ISNUMBER(SEARCH(Validations!$I$2:$I$100, AT43)), 0)), "")</f>
        <v/>
      </c>
      <c r="AV43" s="12" t="str">
        <f>IFERROR(__xludf.DUMMYFUNCTION("IFERROR(VALUE(REGEXEXTRACT(AS43, ""\d+"")), """")"),"")</f>
        <v/>
      </c>
      <c r="AW43" s="12" t="str">
        <f>IFERROR(__xludf.DUMMYFUNCTION("IFERROR(TEXTJOIN("", "", TRUE, FILTER(Validations!$Q$2:$Q$100, ISNUMBER(SEARCH(Validations!$Q$2:$Q$100, AS43)))), """")"),"")</f>
        <v/>
      </c>
      <c r="AX43" s="28" t="s">
        <v>256</v>
      </c>
      <c r="AY43" s="28" t="str">
        <f>IFERROR(__xludf.DUMMYFUNCTION("TEXTJOIN("", "", TRUE, FILTER(Validations!$Y$2:$Y$100, ISNUMBER(SEARCH(Validations!$X$2:$X$100, AX43))))"),"V, R")</f>
        <v>V, R</v>
      </c>
      <c r="AZ43" s="20" t="s">
        <v>257</v>
      </c>
      <c r="BA43" s="12"/>
      <c r="BB43" s="22"/>
      <c r="BC43" s="22"/>
      <c r="BD43" s="22"/>
      <c r="BE43" s="27"/>
      <c r="BF43" s="22"/>
      <c r="BG43" s="27"/>
      <c r="BH43" s="27"/>
      <c r="BI43" s="12" t="str">
        <f>IFERROR(__xludf.DUMMYFUNCTION("IFERROR(TEXTJOIN("", "", TRUE, FILTER(SRD!$A$2:$A$1000, EXACT(SRD!$A$2:$A$1000, J43))), """")"),"")</f>
        <v/>
      </c>
      <c r="BJ43" s="29"/>
      <c r="BK43" s="29"/>
    </row>
    <row r="44" ht="15.75" customHeight="1">
      <c r="A44" s="11" t="s">
        <v>258</v>
      </c>
      <c r="B44" s="12"/>
      <c r="C44" s="13"/>
      <c r="D44" s="13" t="s">
        <v>259</v>
      </c>
      <c r="E44" s="13"/>
      <c r="F44" s="14" t="s">
        <v>123</v>
      </c>
      <c r="G44" s="15" t="s">
        <v>64</v>
      </c>
      <c r="H44" s="31" t="s">
        <v>103</v>
      </c>
      <c r="I44" s="16" t="str">
        <f t="array" ref="I44">INDEX(Validations!$C$2:$C$100, MATCH(TRUE, ISNUMBER(SEARCH(Validations!$B$2:$B$100, H44)), 0))</f>
        <v>C</v>
      </c>
      <c r="J44" s="17" t="s">
        <v>260</v>
      </c>
      <c r="K44" s="18"/>
      <c r="L44" s="17"/>
      <c r="M44" s="37" t="s">
        <v>261</v>
      </c>
      <c r="N44" s="44"/>
      <c r="O44" s="44"/>
      <c r="P44" s="45"/>
      <c r="Q44" s="45"/>
      <c r="R44" s="22"/>
      <c r="S44" s="17" t="str">
        <f>IFERROR(__xludf.DUMMYFUNCTION("IFERROR(REGEXEXTRACT(J44, ""(\d{1,3}[dD]\d{1,3})""), """")"),"")</f>
        <v/>
      </c>
      <c r="T44" s="17" t="str">
        <f>IFERROR(__xludf.DUMMYFUNCTION("IF(COUNTIF(ARRAYFORMULA(LOWER(Validations!$O$2:$O$100)), LOWER(REGEXEXTRACT(J44, ""\d{1,3}[dD]\d{1,3}\s+(\w+)"")))&gt;0, REGEXEXTRACT(J44, ""\d{1,3}[dD]\d{1,3}\s+(\w+)""), """")"),"")</f>
        <v/>
      </c>
      <c r="U44" s="17" t="str">
        <f>IFERROR(__xludf.DUMMYFUNCTION("IF(COUNTIF(ARRAYFORMULA(LOWER(Validations!$P$2:$P$100)), LOWER(REGEXEXTRACT(J44, ""\d{1,3}[dD]\d{1,3}\s+(\w+)"")))&gt;0, REGEXEXTRACT(J44, ""\d{1,3}[dD]\d{1,3}\s+(\w+)""), """")"),"")</f>
        <v/>
      </c>
      <c r="V44" s="12" t="str">
        <f>IFERROR(__xludf.DUMMYFUNCTION("TEXTJOIN("", "", TRUE, FILTER(Validations!$L$2:$L$100, ISNUMBER(SEARCH(Validations!$L$2:$L$100, J44))))"),"")</f>
        <v/>
      </c>
      <c r="W44" s="12" t="str">
        <f>IFERROR(__xludf.DUMMYFUNCTION("IFERROR(TEXTJOIN("", "", TRUE, FILTER(Validations!$M$2:$M$100, ISNUMBER(SEARCH(Validations!$M$2:$M$100 &amp; "" saving throw"", J44)))), """")"),"")</f>
        <v/>
      </c>
      <c r="X44" s="12"/>
      <c r="Y44" s="12"/>
      <c r="Z44" s="12" t="str">
        <f>IFERROR(__xludf.DUMMYFUNCTION("IFERROR(TEXTJOIN("", "", TRUE, FILTER(Validations!$N$2:$N$100, ISNUMBER(SEARCH(Validations!$N$2:$N$100 &amp; "" check"", J44)))), """")"),"")</f>
        <v/>
      </c>
      <c r="AA44" s="12" t="str">
        <f>IFERROR(__xludf.DUMMYFUNCTION("IFERROR(TEXTJOIN("", "", TRUE, FILTER(Validations!$N$2:$N$100, ISNUMBER(SEARCH(Validations!$N$2:$N$100 &amp; "" check"", W44)))), """")"),"")</f>
        <v/>
      </c>
      <c r="AB44" s="23" t="str">
        <f>IFERROR(__xludf.DUMMYFUNCTION("IFERROR(CONCATENATE(IF(ISNUMBER(SEARCH(Validations!$M$2:$M$100 &amp; "" spell save"", J44)),""Spell Save"",""""), REGEXEXTRACT(J44, ""DC (\d+)"")), """")"),"")</f>
        <v/>
      </c>
      <c r="AC44" s="24" t="b">
        <v>0</v>
      </c>
      <c r="AD44" s="24" t="b">
        <v>0</v>
      </c>
      <c r="AE44" s="12" t="s">
        <v>69</v>
      </c>
      <c r="AF44" s="25">
        <f>IFERROR(__xludf.DUMMYFUNCTION("IFERROR(VALUE(REGEXEXTRACT(AE44, ""\d+"")), 1)"),1.0)</f>
        <v>1</v>
      </c>
      <c r="AG44" s="12" t="str">
        <f>IFERROR(__xludf.DUMMYFUNCTION("IF(
  ISNUMBER(SEARCH(""Bonus Action"", AE44)),
  ""Bonus Action"",
  IF(
    ISNUMBER(SEARCH(""Reaction"", AE44)),
    ""Reaction"",
    IF(
      ISNUMBER(SEARCH(""Action"", AE44)),
      ""Action"",
      TEXTJOIN("", "", TRUE, FILTER(Validations!$S$2:"&amp;"$S$100, ISNUMBER(SEARCH(Validations!$S$2:$S$100, AE44))))
    )
  )
)"),"Action")</f>
        <v>Action</v>
      </c>
      <c r="AH44" s="12"/>
      <c r="AI44" s="26" t="s">
        <v>70</v>
      </c>
      <c r="AJ44" s="26" t="str">
        <f>IFERROR(__xludf.DUMMYFUNCTION("TEXTJOIN("", "", TRUE, FILTER(Validations!$T$2:$T$100, ISNUMBER(SEARCH(Validations!$T$2:$T$100, AI44))))"),"Instantaneous")</f>
        <v>Instantaneous</v>
      </c>
      <c r="AK44" s="26" t="str">
        <f>IFERROR(__xludf.DUMMYFUNCTION("IFERROR(VALUE(REGEXEXTRACT(AI44, ""\d+"")), """")"),"")</f>
        <v/>
      </c>
      <c r="AL44" s="26" t="str">
        <f>IFERROR(__xludf.DUMMYFUNCTION("TEXTJOIN("", "", TRUE, FILTER(Validations!$U$2:$U$100, ISNUMBER(SEARCH(Validations!$U$2:$U$100, AI44))))"),"")</f>
        <v/>
      </c>
      <c r="AM44" s="24" t="b">
        <f t="shared" si="1"/>
        <v>0</v>
      </c>
      <c r="AN44" s="24" t="b">
        <v>0</v>
      </c>
      <c r="AO44" s="12" t="s">
        <v>71</v>
      </c>
      <c r="AP44" s="12" t="str">
        <f>IFERROR(__xludf.DUMMYFUNCTION("IF(TEXTJOIN("", "", TRUE, FILTER(Validations!$Q$2:$Q$100, ISNUMBER(SEARCH(Validations!$Q$2:$Q$100, AO44)))) = """", Validations!$Q$2, TEXTJOIN("", "", TRUE, FILTER(Validations!$Q$2:$Q$100, ISNUMBER(SEARCH(Validations!$Q$2:$Q$100, AO44)))))"),"Point")</f>
        <v>Point</v>
      </c>
      <c r="AQ44" s="12" t="str">
        <f>IFERROR(__xludf.DUMMYFUNCTION("IFERROR(VALUE(REGEXEXTRACT(AO44, ""\d+"")), """")"),"")</f>
        <v/>
      </c>
      <c r="AR44" s="12" t="str">
        <f>IFERROR(__xludf.DUMMYFUNCTION("TEXTJOIN("", "", TRUE, FILTER(Validations!$R$2:$R$100, ISNUMBER(SEARCH(Validations!$R$2:$R$100, AO44))))"),"Touch")</f>
        <v>Touch</v>
      </c>
      <c r="AS44" s="27"/>
      <c r="AT44" s="12" t="str">
        <f>IFERROR(__xludf.DUMMYFUNCTION("IFERROR(TEXTJOIN("", "", TRUE, FILTER(Validations!$I$2:$I$100, ISNUMBER(SEARCH(Validations!$I$2:$I$100, AS44)))), """")"),"")</f>
        <v/>
      </c>
      <c r="AU44" s="16" t="str">
        <f t="array" ref="AU44">IFERROR(INDEX(Validations!$J$2:$J$100, MATCH(TRUE, ISNUMBER(SEARCH(Validations!$I$2:$I$100, AT44)), 0)), "")</f>
        <v/>
      </c>
      <c r="AV44" s="12" t="str">
        <f>IFERROR(__xludf.DUMMYFUNCTION("IFERROR(VALUE(REGEXEXTRACT(AS44, ""\d+"")), """")"),"")</f>
        <v/>
      </c>
      <c r="AW44" s="12" t="str">
        <f>IFERROR(__xludf.DUMMYFUNCTION("IFERROR(TEXTJOIN("", "", TRUE, FILTER(Validations!$Q$2:$Q$100, ISNUMBER(SEARCH(Validations!$Q$2:$Q$100, AS44)))), """")"),"")</f>
        <v/>
      </c>
      <c r="AX44" s="28" t="s">
        <v>262</v>
      </c>
      <c r="AY44" s="28" t="str">
        <f>IFERROR(__xludf.DUMMYFUNCTION("TEXTJOIN("", "", TRUE, FILTER(Validations!$Y$2:$Y$100, ISNUMBER(SEARCH(Validations!$X$2:$X$100, AX44))))"),"V, S, R")</f>
        <v>V, S, R</v>
      </c>
      <c r="AZ44" s="20" t="s">
        <v>257</v>
      </c>
      <c r="BA44" s="12"/>
      <c r="BB44" s="22"/>
      <c r="BC44" s="22"/>
      <c r="BD44" s="22"/>
      <c r="BE44" s="27"/>
      <c r="BF44" s="22"/>
      <c r="BG44" s="27"/>
      <c r="BH44" s="27"/>
      <c r="BI44" s="12" t="str">
        <f>IFERROR(__xludf.DUMMYFUNCTION("IFERROR(TEXTJOIN("", "", TRUE, FILTER(SRD!$A$2:$A$1000, EXACT(SRD!$A$2:$A$1000, J44))), """")"),"")</f>
        <v/>
      </c>
      <c r="BJ44" s="29"/>
      <c r="BK44" s="29"/>
    </row>
    <row r="45" ht="15.75" customHeight="1">
      <c r="A45" s="38" t="s">
        <v>263</v>
      </c>
      <c r="B45" s="12"/>
      <c r="C45" s="16"/>
      <c r="D45" s="16" t="s">
        <v>264</v>
      </c>
      <c r="E45" s="16"/>
      <c r="F45" s="40" t="s">
        <v>130</v>
      </c>
      <c r="G45" s="15" t="s">
        <v>64</v>
      </c>
      <c r="H45" s="31" t="s">
        <v>85</v>
      </c>
      <c r="I45" s="16" t="str">
        <f t="array" ref="I45">INDEX(Validations!$C$2:$C$100, MATCH(TRUE, ISNUMBER(SEARCH(Validations!$B$2:$B$100, H45)), 0))</f>
        <v>T</v>
      </c>
      <c r="J45" s="17" t="s">
        <v>265</v>
      </c>
      <c r="K45" s="34"/>
      <c r="L45" s="33"/>
      <c r="M45" s="33"/>
      <c r="N45" s="20" t="s">
        <v>266</v>
      </c>
      <c r="O45" s="17" t="s">
        <v>267</v>
      </c>
      <c r="P45" s="21"/>
      <c r="Q45" s="21"/>
      <c r="R45" s="22"/>
      <c r="S45" s="17" t="str">
        <f>IFERROR(__xludf.DUMMYFUNCTION("IFERROR(REGEXEXTRACT(J45, ""(\d{1,3}[dD]\d{1,3})""), """")"),"")</f>
        <v/>
      </c>
      <c r="T45" s="17" t="str">
        <f>IFERROR(__xludf.DUMMYFUNCTION("IF(COUNTIF(ARRAYFORMULA(LOWER(Validations!$O$2:$O$100)), LOWER(REGEXEXTRACT(J45, ""\d{1,3}[dD]\d{1,3}\s+(\w+)"")))&gt;0, REGEXEXTRACT(J45, ""\d{1,3}[dD]\d{1,3}\s+(\w+)""), """")"),"")</f>
        <v/>
      </c>
      <c r="U45" s="17" t="str">
        <f>IFERROR(__xludf.DUMMYFUNCTION("IF(COUNTIF(ARRAYFORMULA(LOWER(Validations!$P$2:$P$100)), LOWER(REGEXEXTRACT(J45, ""\d{1,3}[dD]\d{1,3}\s+(\w+)"")))&gt;0, REGEXEXTRACT(J45, ""\d{1,3}[dD]\d{1,3}\s+(\w+)""), """")"),"")</f>
        <v/>
      </c>
      <c r="V45" s="12" t="str">
        <f>IFERROR(__xludf.DUMMYFUNCTION("TEXTJOIN("", "", TRUE, FILTER(Validations!$L$2:$L$100, ISNUMBER(SEARCH(Validations!$L$2:$L$100, J45))))"),"Prone")</f>
        <v>Prone</v>
      </c>
      <c r="W45" s="12" t="str">
        <f>IFERROR(__xludf.DUMMYFUNCTION("IFERROR(TEXTJOIN("", "", TRUE, FILTER(Validations!$M$2:$M$100, ISNUMBER(SEARCH(Validations!$M$2:$M$100 &amp; "" saving throw"", J45)))), """")"),"Strength")</f>
        <v>Strength</v>
      </c>
      <c r="X45" s="12"/>
      <c r="Y45" s="12"/>
      <c r="Z45" s="12" t="str">
        <f>IFERROR(__xludf.DUMMYFUNCTION("IFERROR(TEXTJOIN("", "", TRUE, FILTER(Validations!$N$2:$N$100, ISNUMBER(SEARCH(Validations!$N$2:$N$100 &amp; "" check"", J45)))), """")"),"")</f>
        <v/>
      </c>
      <c r="AA45" s="12" t="str">
        <f>IFERROR(__xludf.DUMMYFUNCTION("IFERROR(TEXTJOIN("", "", TRUE, FILTER(Validations!$N$2:$N$100, ISNUMBER(SEARCH(Validations!$N$2:$N$100 &amp; "" check"", W45)))), """")"),"")</f>
        <v/>
      </c>
      <c r="AB45" s="23" t="str">
        <f>IFERROR(__xludf.DUMMYFUNCTION("IFERROR(CONCATENATE(IF(ISNUMBER(SEARCH(Validations!$M$2:$M$100 &amp; "" spell save"", J45)),""Spell Save"",""""), REGEXEXTRACT(J45, ""DC (\d+)"")), """")"),"")</f>
        <v/>
      </c>
      <c r="AC45" s="24" t="b">
        <v>0</v>
      </c>
      <c r="AD45" s="24" t="b">
        <v>0</v>
      </c>
      <c r="AE45" s="12" t="s">
        <v>69</v>
      </c>
      <c r="AF45" s="25">
        <f>IFERROR(__xludf.DUMMYFUNCTION("IFERROR(VALUE(REGEXEXTRACT(AE45, ""\d+"")), 1)"),1.0)</f>
        <v>1</v>
      </c>
      <c r="AG45" s="12" t="str">
        <f>IFERROR(__xludf.DUMMYFUNCTION("IF(
  ISNUMBER(SEARCH(""Bonus Action"", AE45)),
  ""Bonus Action"",
  IF(
    ISNUMBER(SEARCH(""Reaction"", AE45)),
    ""Reaction"",
    IF(
      ISNUMBER(SEARCH(""Action"", AE45)),
      ""Action"",
      TEXTJOIN("", "", TRUE, FILTER(Validations!$S$2:"&amp;"$S$100, ISNUMBER(SEARCH(Validations!$S$2:$S$100, AE45))))
    )
  )
)"),"Action")</f>
        <v>Action</v>
      </c>
      <c r="AH45" s="12"/>
      <c r="AI45" s="20" t="s">
        <v>87</v>
      </c>
      <c r="AJ45" s="26" t="str">
        <f>IFERROR(__xludf.DUMMYFUNCTION("TEXTJOIN("", "", TRUE, FILTER(Validations!$T$2:$T$100, ISNUMBER(SEARCH(Validations!$T$2:$T$100, AI45))))"),"")</f>
        <v/>
      </c>
      <c r="AK45" s="26">
        <f>IFERROR(__xludf.DUMMYFUNCTION("IFERROR(VALUE(REGEXEXTRACT(AI45, ""\d+"")), """")"),1.0)</f>
        <v>1</v>
      </c>
      <c r="AL45" s="26" t="str">
        <f>IFERROR(__xludf.DUMMYFUNCTION("TEXTJOIN("", "", TRUE, FILTER(Validations!$U$2:$U$100, ISNUMBER(SEARCH(Validations!$U$2:$U$100, AI45))))"),"Rounds")</f>
        <v>Rounds</v>
      </c>
      <c r="AM45" s="24" t="b">
        <f t="shared" si="1"/>
        <v>0</v>
      </c>
      <c r="AN45" s="41" t="b">
        <v>0</v>
      </c>
      <c r="AO45" s="22" t="s">
        <v>78</v>
      </c>
      <c r="AP45" s="12" t="str">
        <f>IFERROR(__xludf.DUMMYFUNCTION("IF(TEXTJOIN("", "", TRUE, FILTER(Validations!$Q$2:$Q$100, ISNUMBER(SEARCH(Validations!$Q$2:$Q$100, AO45)))) = """", Validations!$Q$2, TEXTJOIN("", "", TRUE, FILTER(Validations!$Q$2:$Q$100, ISNUMBER(SEARCH(Validations!$Q$2:$Q$100, AO45)))))"),"Point")</f>
        <v>Point</v>
      </c>
      <c r="AQ45" s="12" t="str">
        <f>IFERROR(__xludf.DUMMYFUNCTION("IFERROR(VALUE(REGEXEXTRACT(AO45, ""\d+"")), """")"),"")</f>
        <v/>
      </c>
      <c r="AR45" s="12" t="str">
        <f>IFERROR(__xludf.DUMMYFUNCTION("TEXTJOIN("", "", TRUE, FILTER(Validations!$R$2:$R$100, ISNUMBER(SEARCH(Validations!$R$2:$R$100, AO45))))"),"Self")</f>
        <v>Self</v>
      </c>
      <c r="AS45" s="27"/>
      <c r="AT45" s="12" t="str">
        <f>IFERROR(__xludf.DUMMYFUNCTION("IFERROR(TEXTJOIN("", "", TRUE, FILTER(Validations!$I$2:$I$100, ISNUMBER(SEARCH(Validations!$I$2:$I$100, AS45)))), """")"),"")</f>
        <v/>
      </c>
      <c r="AU45" s="16" t="str">
        <f t="array" ref="AU45">IFERROR(INDEX(Validations!$J$2:$J$100, MATCH(TRUE, ISNUMBER(SEARCH(Validations!$I$2:$I$100, AT45)), 0)), "")</f>
        <v/>
      </c>
      <c r="AV45" s="12" t="str">
        <f>IFERROR(__xludf.DUMMYFUNCTION("IFERROR(VALUE(REGEXEXTRACT(AS45, ""\d+"")), """")"),"")</f>
        <v/>
      </c>
      <c r="AW45" s="12" t="str">
        <f>IFERROR(__xludf.DUMMYFUNCTION("IFERROR(TEXTJOIN("", "", TRUE, FILTER(Validations!$Q$2:$Q$100, ISNUMBER(SEARCH(Validations!$Q$2:$Q$100, AS45)))), """")"),"")</f>
        <v/>
      </c>
      <c r="AX45" s="36" t="s">
        <v>135</v>
      </c>
      <c r="AY45" s="28" t="str">
        <f>IFERROR(__xludf.DUMMYFUNCTION("TEXTJOIN("", "", TRUE, FILTER(Validations!$Y$2:$Y$100, ISNUMBER(SEARCH(Validations!$X$2:$X$100, AX45))))"),"V, S, T")</f>
        <v>V, S, T</v>
      </c>
      <c r="AZ45" s="26"/>
      <c r="BA45" s="22" t="s">
        <v>268</v>
      </c>
      <c r="BB45" s="22"/>
      <c r="BC45" s="22"/>
      <c r="BD45" s="22"/>
      <c r="BE45" s="27"/>
      <c r="BF45" s="22"/>
      <c r="BG45" s="27"/>
      <c r="BH45" s="27"/>
      <c r="BI45" s="12" t="str">
        <f>IFERROR(__xludf.DUMMYFUNCTION("IFERROR(TEXTJOIN("", "", TRUE, FILTER(SRD!$A$2:$A$1000, EXACT(SRD!$A$2:$A$1000, J45))), """")"),"")</f>
        <v/>
      </c>
      <c r="BJ45" s="29"/>
      <c r="BK45" s="29"/>
    </row>
    <row r="46" ht="15.75" customHeight="1">
      <c r="A46" s="30" t="s">
        <v>269</v>
      </c>
      <c r="B46" s="22"/>
      <c r="C46" s="31"/>
      <c r="D46" s="31" t="s">
        <v>74</v>
      </c>
      <c r="E46" s="31"/>
      <c r="F46" s="32" t="s">
        <v>199</v>
      </c>
      <c r="G46" s="15" t="s">
        <v>64</v>
      </c>
      <c r="H46" s="31" t="s">
        <v>65</v>
      </c>
      <c r="I46" s="16" t="str">
        <f t="array" ref="I46">INDEX(Validations!$C$2:$C$100, MATCH(TRUE, ISNUMBER(SEARCH(Validations!$B$2:$B$100, H46)), 0))</f>
        <v>I</v>
      </c>
      <c r="J46" s="33" t="s">
        <v>270</v>
      </c>
      <c r="K46" s="34"/>
      <c r="L46" s="33"/>
      <c r="M46" s="33"/>
      <c r="N46" s="27"/>
      <c r="O46" s="33"/>
      <c r="P46" s="35"/>
      <c r="Q46" s="35"/>
      <c r="R46" s="22"/>
      <c r="S46" s="17" t="str">
        <f>IFERROR(__xludf.DUMMYFUNCTION("IFERROR(REGEXEXTRACT(J46, ""(\d{1,3}[dD]\d{1,3})""), """")"),"")</f>
        <v/>
      </c>
      <c r="T46" s="17" t="str">
        <f>IFERROR(__xludf.DUMMYFUNCTION("IF(COUNTIF(ARRAYFORMULA(LOWER(Validations!$O$2:$O$100)), LOWER(REGEXEXTRACT(J46, ""\d{1,3}[dD]\d{1,3}\s+(\w+)"")))&gt;0, REGEXEXTRACT(J46, ""\d{1,3}[dD]\d{1,3}\s+(\w+)""), """")"),"")</f>
        <v/>
      </c>
      <c r="U46" s="17" t="str">
        <f>IFERROR(__xludf.DUMMYFUNCTION("IF(COUNTIF(ARRAYFORMULA(LOWER(Validations!$P$2:$P$100)), LOWER(REGEXEXTRACT(J46, ""\d{1,3}[dD]\d{1,3}\s+(\w+)"")))&gt;0, REGEXEXTRACT(J46, ""\d{1,3}[dD]\d{1,3}\s+(\w+)""), """")"),"")</f>
        <v/>
      </c>
      <c r="V46" s="12" t="str">
        <f>IFERROR(__xludf.DUMMYFUNCTION("TEXTJOIN("", "", TRUE, FILTER(Validations!$L$2:$L$100, ISNUMBER(SEARCH(Validations!$L$2:$L$100, J46))))"),"Invisible")</f>
        <v>Invisible</v>
      </c>
      <c r="W46" s="12" t="str">
        <f>IFERROR(__xludf.DUMMYFUNCTION("IFERROR(TEXTJOIN("", "", TRUE, FILTER(Validations!$M$2:$M$100, ISNUMBER(SEARCH(Validations!$M$2:$M$100 &amp; "" saving throw"", J46)))), """")"),"")</f>
        <v/>
      </c>
      <c r="X46" s="12"/>
      <c r="Y46" s="12"/>
      <c r="Z46" s="12" t="str">
        <f>IFERROR(__xludf.DUMMYFUNCTION("IFERROR(TEXTJOIN("", "", TRUE, FILTER(Validations!$N$2:$N$100, ISNUMBER(SEARCH(Validations!$N$2:$N$100 &amp; "" check"", J46)))), """")"),"")</f>
        <v/>
      </c>
      <c r="AA46" s="12" t="str">
        <f>IFERROR(__xludf.DUMMYFUNCTION("IFERROR(TEXTJOIN("", "", TRUE, FILTER(Validations!$N$2:$N$100, ISNUMBER(SEARCH(Validations!$N$2:$N$100 &amp; "" check"", W46)))), """")"),"")</f>
        <v/>
      </c>
      <c r="AB46" s="23" t="str">
        <f>IFERROR(__xludf.DUMMYFUNCTION("IFERROR(CONCATENATE(IF(ISNUMBER(SEARCH(Validations!$M$2:$M$100 &amp; "" spell save"", J46)),""Spell Save"",""""), REGEXEXTRACT(J46, ""DC (\d+)"")), """")"),"")</f>
        <v/>
      </c>
      <c r="AC46" s="24" t="b">
        <v>0</v>
      </c>
      <c r="AD46" s="24" t="b">
        <v>0</v>
      </c>
      <c r="AE46" s="36" t="s">
        <v>69</v>
      </c>
      <c r="AF46" s="25">
        <f>IFERROR(__xludf.DUMMYFUNCTION("IFERROR(VALUE(REGEXEXTRACT(AE46, ""\d+"")), 1)"),1.0)</f>
        <v>1</v>
      </c>
      <c r="AG46" s="12" t="str">
        <f>IFERROR(__xludf.DUMMYFUNCTION("IF(
  ISNUMBER(SEARCH(""Bonus Action"", AE46)),
  ""Bonus Action"",
  IF(
    ISNUMBER(SEARCH(""Reaction"", AE46)),
    ""Reaction"",
    IF(
      ISNUMBER(SEARCH(""Action"", AE46)),
      ""Action"",
      TEXTJOIN("", "", TRUE, FILTER(Validations!$S$2:"&amp;"$S$100, ISNUMBER(SEARCH(Validations!$S$2:$S$100, AE46))))
    )
  )
)"),"Action")</f>
        <v>Action</v>
      </c>
      <c r="AH46" s="36"/>
      <c r="AI46" s="20" t="s">
        <v>92</v>
      </c>
      <c r="AJ46" s="26" t="str">
        <f>IFERROR(__xludf.DUMMYFUNCTION("TEXTJOIN("", "", TRUE, FILTER(Validations!$T$2:$T$100, ISNUMBER(SEARCH(Validations!$T$2:$T$100, AI46))))"),"")</f>
        <v/>
      </c>
      <c r="AK46" s="26">
        <f>IFERROR(__xludf.DUMMYFUNCTION("IFERROR(VALUE(REGEXEXTRACT(AI46, ""\d+"")), """")"),1.0)</f>
        <v>1</v>
      </c>
      <c r="AL46" s="26" t="str">
        <f>IFERROR(__xludf.DUMMYFUNCTION("TEXTJOIN("", "", TRUE, FILTER(Validations!$U$2:$U$100, ISNUMBER(SEARCH(Validations!$U$2:$U$100, AI46))))"),"Minutes")</f>
        <v>Minutes</v>
      </c>
      <c r="AM46" s="24" t="b">
        <f t="shared" si="1"/>
        <v>0</v>
      </c>
      <c r="AN46" s="24" t="b">
        <v>1</v>
      </c>
      <c r="AO46" s="22" t="s">
        <v>78</v>
      </c>
      <c r="AP46" s="12" t="str">
        <f>IFERROR(__xludf.DUMMYFUNCTION("IF(TEXTJOIN("", "", TRUE, FILTER(Validations!$Q$2:$Q$100, ISNUMBER(SEARCH(Validations!$Q$2:$Q$100, AO46)))) = """", Validations!$Q$2, TEXTJOIN("", "", TRUE, FILTER(Validations!$Q$2:$Q$100, ISNUMBER(SEARCH(Validations!$Q$2:$Q$100, AO46)))))"),"Point")</f>
        <v>Point</v>
      </c>
      <c r="AQ46" s="12" t="str">
        <f>IFERROR(__xludf.DUMMYFUNCTION("IFERROR(VALUE(REGEXEXTRACT(AO46, ""\d+"")), """")"),"")</f>
        <v/>
      </c>
      <c r="AR46" s="12" t="str">
        <f>IFERROR(__xludf.DUMMYFUNCTION("TEXTJOIN("", "", TRUE, FILTER(Validations!$R$2:$R$100, ISNUMBER(SEARCH(Validations!$R$2:$R$100, AO46))))"),"Self")</f>
        <v>Self</v>
      </c>
      <c r="AS46" s="27"/>
      <c r="AT46" s="12" t="str">
        <f>IFERROR(__xludf.DUMMYFUNCTION("IFERROR(TEXTJOIN("", "", TRUE, FILTER(Validations!$I$2:$I$100, ISNUMBER(SEARCH(Validations!$I$2:$I$100, AS46)))), """")"),"")</f>
        <v/>
      </c>
      <c r="AU46" s="16" t="str">
        <f t="array" ref="AU46">IFERROR(INDEX(Validations!$J$2:$J$100, MATCH(TRUE, ISNUMBER(SEARCH(Validations!$I$2:$I$100, AT46)), 0)), "")</f>
        <v/>
      </c>
      <c r="AV46" s="12" t="str">
        <f>IFERROR(__xludf.DUMMYFUNCTION("IFERROR(VALUE(REGEXEXTRACT(AS46, ""\d+"")), """")"),"")</f>
        <v/>
      </c>
      <c r="AW46" s="12" t="str">
        <f>IFERROR(__xludf.DUMMYFUNCTION("IFERROR(TEXTJOIN("", "", TRUE, FILTER(Validations!$Q$2:$Q$100, ISNUMBER(SEARCH(Validations!$Q$2:$Q$100, AS46)))), """")"),"")</f>
        <v/>
      </c>
      <c r="AX46" s="28" t="s">
        <v>72</v>
      </c>
      <c r="AY46" s="28" t="str">
        <f>IFERROR(__xludf.DUMMYFUNCTION("TEXTJOIN("", "", TRUE, FILTER(Validations!$Y$2:$Y$100, ISNUMBER(SEARCH(Validations!$X$2:$X$100, AX46))))"),"V, S")</f>
        <v>V, S</v>
      </c>
      <c r="AZ46" s="27"/>
      <c r="BA46" s="22"/>
      <c r="BB46" s="22"/>
      <c r="BC46" s="22"/>
      <c r="BD46" s="22"/>
      <c r="BE46" s="27"/>
      <c r="BF46" s="22"/>
      <c r="BG46" s="27"/>
      <c r="BH46" s="27"/>
      <c r="BI46" s="12" t="str">
        <f>IFERROR(__xludf.DUMMYFUNCTION("IFERROR(TEXTJOIN("", "", TRUE, FILTER(SRD!$A$2:$A$1000, EXACT(SRD!$A$2:$A$1000, J46))), """")"),"")</f>
        <v/>
      </c>
      <c r="BJ46" s="29"/>
      <c r="BK46" s="29"/>
    </row>
    <row r="47" ht="15.75" customHeight="1">
      <c r="A47" s="30" t="s">
        <v>271</v>
      </c>
      <c r="B47" s="22"/>
      <c r="C47" s="31"/>
      <c r="D47" s="31" t="s">
        <v>74</v>
      </c>
      <c r="E47" s="31"/>
      <c r="F47" s="32" t="s">
        <v>250</v>
      </c>
      <c r="G47" s="15" t="s">
        <v>64</v>
      </c>
      <c r="H47" s="31" t="s">
        <v>144</v>
      </c>
      <c r="I47" s="16" t="str">
        <f t="array" ref="I47">INDEX(Validations!$C$2:$C$100, MATCH(TRUE, ISNUMBER(SEARCH(Validations!$B$2:$B$100, H47)), 0))</f>
        <v>D</v>
      </c>
      <c r="J47" s="33" t="s">
        <v>272</v>
      </c>
      <c r="K47" s="34"/>
      <c r="L47" s="33"/>
      <c r="M47" s="33"/>
      <c r="N47" s="27"/>
      <c r="O47" s="33"/>
      <c r="P47" s="35"/>
      <c r="Q47" s="35"/>
      <c r="R47" s="22"/>
      <c r="S47" s="17" t="str">
        <f>IFERROR(__xludf.DUMMYFUNCTION("IFERROR(REGEXEXTRACT(J47, ""(\d{1,3}[dD]\d{1,3})""), """")"),"")</f>
        <v/>
      </c>
      <c r="T47" s="17" t="str">
        <f>IFERROR(__xludf.DUMMYFUNCTION("IF(COUNTIF(ARRAYFORMULA(LOWER(Validations!$O$2:$O$100)), LOWER(REGEXEXTRACT(J47, ""\d{1,3}[dD]\d{1,3}\s+(\w+)"")))&gt;0, REGEXEXTRACT(J47, ""\d{1,3}[dD]\d{1,3}\s+(\w+)""), """")"),"")</f>
        <v/>
      </c>
      <c r="U47" s="17" t="str">
        <f>IFERROR(__xludf.DUMMYFUNCTION("IF(COUNTIF(ARRAYFORMULA(LOWER(Validations!$P$2:$P$100)), LOWER(REGEXEXTRACT(J47, ""\d{1,3}[dD]\d{1,3}\s+(\w+)"")))&gt;0, REGEXEXTRACT(J47, ""\d{1,3}[dD]\d{1,3}\s+(\w+)""), """")"),"")</f>
        <v/>
      </c>
      <c r="V47" s="12" t="str">
        <f>IFERROR(__xludf.DUMMYFUNCTION("TEXTJOIN("", "", TRUE, FILTER(Validations!$L$2:$L$100, ISNUMBER(SEARCH(Validations!$L$2:$L$100, J47))))"),"")</f>
        <v/>
      </c>
      <c r="W47" s="12" t="str">
        <f>IFERROR(__xludf.DUMMYFUNCTION("IFERROR(TEXTJOIN("", "", TRUE, FILTER(Validations!$M$2:$M$100, ISNUMBER(SEARCH(Validations!$M$2:$M$100 &amp; "" saving throw"", J47)))), """")"),"")</f>
        <v/>
      </c>
      <c r="X47" s="12"/>
      <c r="Y47" s="12"/>
      <c r="Z47" s="12" t="str">
        <f>IFERROR(__xludf.DUMMYFUNCTION("IFERROR(TEXTJOIN("", "", TRUE, FILTER(Validations!$N$2:$N$100, ISNUMBER(SEARCH(Validations!$N$2:$N$100 &amp; "" check"", J47)))), """")"),"")</f>
        <v/>
      </c>
      <c r="AA47" s="12" t="str">
        <f>IFERROR(__xludf.DUMMYFUNCTION("IFERROR(TEXTJOIN("", "", TRUE, FILTER(Validations!$N$2:$N$100, ISNUMBER(SEARCH(Validations!$N$2:$N$100 &amp; "" check"", W47)))), """")"),"")</f>
        <v/>
      </c>
      <c r="AB47" s="23" t="str">
        <f>IFERROR(__xludf.DUMMYFUNCTION("IFERROR(CONCATENATE(IF(ISNUMBER(SEARCH(Validations!$M$2:$M$100 &amp; "" spell save"", J47)),""Spell Save"",""""), REGEXEXTRACT(J47, ""DC (\d+)"")), """")"),"")</f>
        <v/>
      </c>
      <c r="AC47" s="24" t="b">
        <v>0</v>
      </c>
      <c r="AD47" s="24" t="b">
        <v>0</v>
      </c>
      <c r="AE47" s="36" t="s">
        <v>69</v>
      </c>
      <c r="AF47" s="25">
        <f>IFERROR(__xludf.DUMMYFUNCTION("IFERROR(VALUE(REGEXEXTRACT(AE47, ""\d+"")), 1)"),1.0)</f>
        <v>1</v>
      </c>
      <c r="AG47" s="12" t="str">
        <f>IFERROR(__xludf.DUMMYFUNCTION("IF(
  ISNUMBER(SEARCH(""Bonus Action"", AE47)),
  ""Bonus Action"",
  IF(
    ISNUMBER(SEARCH(""Reaction"", AE47)),
    ""Reaction"",
    IF(
      ISNUMBER(SEARCH(""Action"", AE47)),
      ""Action"",
      TEXTJOIN("", "", TRUE, FILTER(Validations!$S$2:"&amp;"$S$100, ISNUMBER(SEARCH(Validations!$S$2:$S$100, AE47))))
    )
  )
)"),"Action")</f>
        <v>Action</v>
      </c>
      <c r="AH47" s="36"/>
      <c r="AI47" s="20" t="s">
        <v>92</v>
      </c>
      <c r="AJ47" s="26" t="str">
        <f>IFERROR(__xludf.DUMMYFUNCTION("TEXTJOIN("", "", TRUE, FILTER(Validations!$T$2:$T$100, ISNUMBER(SEARCH(Validations!$T$2:$T$100, AI47))))"),"")</f>
        <v/>
      </c>
      <c r="AK47" s="26">
        <f>IFERROR(__xludf.DUMMYFUNCTION("IFERROR(VALUE(REGEXEXTRACT(AI47, ""\d+"")), """")"),1.0)</f>
        <v>1</v>
      </c>
      <c r="AL47" s="26" t="str">
        <f>IFERROR(__xludf.DUMMYFUNCTION("TEXTJOIN("", "", TRUE, FILTER(Validations!$U$2:$U$100, ISNUMBER(SEARCH(Validations!$U$2:$U$100, AI47))))"),"Minutes")</f>
        <v>Minutes</v>
      </c>
      <c r="AM47" s="24" t="b">
        <f t="shared" si="1"/>
        <v>0</v>
      </c>
      <c r="AN47" s="24" t="b">
        <v>1</v>
      </c>
      <c r="AO47" s="22" t="s">
        <v>112</v>
      </c>
      <c r="AP47" s="12" t="str">
        <f>IFERROR(__xludf.DUMMYFUNCTION("IF(TEXTJOIN("", "", TRUE, FILTER(Validations!$Q$2:$Q$100, ISNUMBER(SEARCH(Validations!$Q$2:$Q$100, AO47)))) = """", Validations!$Q$2, TEXTJOIN("", "", TRUE, FILTER(Validations!$Q$2:$Q$100, ISNUMBER(SEARCH(Validations!$Q$2:$Q$100, AO47)))))"),"Point")</f>
        <v>Point</v>
      </c>
      <c r="AQ47" s="12">
        <f>IFERROR(__xludf.DUMMYFUNCTION("IFERROR(VALUE(REGEXEXTRACT(AO47, ""\d+"")), """")"),30.0)</f>
        <v>30</v>
      </c>
      <c r="AR47" s="12" t="str">
        <f>IFERROR(__xludf.DUMMYFUNCTION("TEXTJOIN("", "", TRUE, FILTER(Validations!$R$2:$R$100, ISNUMBER(SEARCH(Validations!$R$2:$R$100, AO47))))"),"Feet")</f>
        <v>Feet</v>
      </c>
      <c r="AS47" s="27"/>
      <c r="AT47" s="12" t="str">
        <f>IFERROR(__xludf.DUMMYFUNCTION("IFERROR(TEXTJOIN("", "", TRUE, FILTER(Validations!$I$2:$I$100, ISNUMBER(SEARCH(Validations!$I$2:$I$100, AS47)))), """")"),"")</f>
        <v/>
      </c>
      <c r="AU47" s="16" t="str">
        <f t="array" ref="AU47">IFERROR(INDEX(Validations!$J$2:$J$100, MATCH(TRUE, ISNUMBER(SEARCH(Validations!$I$2:$I$100, AT47)), 0)), "")</f>
        <v/>
      </c>
      <c r="AV47" s="12" t="str">
        <f>IFERROR(__xludf.DUMMYFUNCTION("IFERROR(VALUE(REGEXEXTRACT(AS47, ""\d+"")), """")"),"")</f>
        <v/>
      </c>
      <c r="AW47" s="12" t="str">
        <f>IFERROR(__xludf.DUMMYFUNCTION("IFERROR(TEXTJOIN("", "", TRUE, FILTER(Validations!$Q$2:$Q$100, ISNUMBER(SEARCH(Validations!$Q$2:$Q$100, AS47)))), """")"),"")</f>
        <v/>
      </c>
      <c r="AX47" s="28" t="s">
        <v>72</v>
      </c>
      <c r="AY47" s="28" t="str">
        <f>IFERROR(__xludf.DUMMYFUNCTION("TEXTJOIN("", "", TRUE, FILTER(Validations!$Y$2:$Y$100, ISNUMBER(SEARCH(Validations!$X$2:$X$100, AX47))))"),"V, S")</f>
        <v>V, S</v>
      </c>
      <c r="AZ47" s="27"/>
      <c r="BA47" s="22"/>
      <c r="BB47" s="22"/>
      <c r="BC47" s="22"/>
      <c r="BD47" s="22"/>
      <c r="BE47" s="27"/>
      <c r="BF47" s="22"/>
      <c r="BG47" s="27"/>
      <c r="BH47" s="27"/>
      <c r="BI47" s="12" t="str">
        <f>IFERROR(__xludf.DUMMYFUNCTION("IFERROR(TEXTJOIN("", "", TRUE, FILTER(SRD!$A$2:$A$1000, EXACT(SRD!$A$2:$A$1000, J47))), """")"),"")</f>
        <v/>
      </c>
      <c r="BJ47" s="29"/>
      <c r="BK47" s="29"/>
    </row>
    <row r="48" ht="15.75" customHeight="1">
      <c r="A48" s="38" t="s">
        <v>273</v>
      </c>
      <c r="B48" s="12"/>
      <c r="C48" s="16"/>
      <c r="D48" s="16" t="s">
        <v>170</v>
      </c>
      <c r="E48" s="16"/>
      <c r="F48" s="40" t="s">
        <v>130</v>
      </c>
      <c r="G48" s="15" t="s">
        <v>64</v>
      </c>
      <c r="H48" s="31" t="s">
        <v>76</v>
      </c>
      <c r="I48" s="16" t="str">
        <f t="array" ref="I48">INDEX(Validations!$C$2:$C$100, MATCH(TRUE, ISNUMBER(SEARCH(Validations!$B$2:$B$100, H48)), 0))</f>
        <v>V</v>
      </c>
      <c r="J48" s="17" t="s">
        <v>274</v>
      </c>
      <c r="K48" s="34"/>
      <c r="L48" s="17"/>
      <c r="M48" s="33"/>
      <c r="N48" s="20" t="s">
        <v>275</v>
      </c>
      <c r="O48" s="17" t="s">
        <v>276</v>
      </c>
      <c r="P48" s="21"/>
      <c r="Q48" s="21"/>
      <c r="R48" s="22"/>
      <c r="S48" s="17" t="str">
        <f>IFERROR(__xludf.DUMMYFUNCTION("IFERROR(REGEXEXTRACT(J48, ""(\d{1,3}[dD]\d{1,3})""), """")"),"1d6")</f>
        <v>1d6</v>
      </c>
      <c r="T48" s="17" t="str">
        <f>IFERROR(__xludf.DUMMYFUNCTION("IF(COUNTIF(ARRAYFORMULA(LOWER(Validations!$O$2:$O$100)), LOWER(REGEXEXTRACT(J48, ""\d{1,3}[dD]\d{1,3}\s+(\w+)"")))&gt;0, REGEXEXTRACT(J48, ""\d{1,3}[dD]\d{1,3}\s+(\w+)""), """")"),"")</f>
        <v/>
      </c>
      <c r="U48" s="17" t="str">
        <f>IFERROR(__xludf.DUMMYFUNCTION("IF(COUNTIF(ARRAYFORMULA(LOWER(Validations!$P$2:$P$100)), LOWER(REGEXEXTRACT(J48, ""\d{1,3}[dD]\d{1,3}\s+(\w+)"")))&gt;0, REGEXEXTRACT(J48, ""\d{1,3}[dD]\d{1,3}\s+(\w+)""), """")"),"")</f>
        <v/>
      </c>
      <c r="V48" s="12" t="str">
        <f>IFERROR(__xludf.DUMMYFUNCTION("TEXTJOIN("", "", TRUE, FILTER(Validations!$L$2:$L$100, ISNUMBER(SEARCH(Validations!$L$2:$L$100, J48))))"),"")</f>
        <v/>
      </c>
      <c r="W48" s="12" t="str">
        <f>IFERROR(__xludf.DUMMYFUNCTION("IFERROR(TEXTJOIN("", "", TRUE, FILTER(Validations!$M$2:$M$100, ISNUMBER(SEARCH(Validations!$M$2:$M$100 &amp; "" saving throw"", J48)))), """")"),"Strength")</f>
        <v>Strength</v>
      </c>
      <c r="X48" s="12"/>
      <c r="Y48" s="12"/>
      <c r="Z48" s="12" t="str">
        <f>IFERROR(__xludf.DUMMYFUNCTION("IFERROR(TEXTJOIN("", "", TRUE, FILTER(Validations!$N$2:$N$100, ISNUMBER(SEARCH(Validations!$N$2:$N$100 &amp; "" check"", J48)))), """")"),"")</f>
        <v/>
      </c>
      <c r="AA48" s="12" t="str">
        <f>IFERROR(__xludf.DUMMYFUNCTION("IFERROR(TEXTJOIN("", "", TRUE, FILTER(Validations!$N$2:$N$100, ISNUMBER(SEARCH(Validations!$N$2:$N$100 &amp; "" check"", W48)))), """")"),"")</f>
        <v/>
      </c>
      <c r="AB48" s="23" t="str">
        <f>IFERROR(__xludf.DUMMYFUNCTION("IFERROR(CONCATENATE(IF(ISNUMBER(SEARCH(Validations!$M$2:$M$100 &amp; "" spell save"", J48)),""Spell Save"",""""), REGEXEXTRACT(J48, ""DC (\d+)"")), """")"),"")</f>
        <v/>
      </c>
      <c r="AC48" s="24" t="b">
        <v>0</v>
      </c>
      <c r="AD48" s="24" t="b">
        <v>0</v>
      </c>
      <c r="AE48" s="12" t="s">
        <v>69</v>
      </c>
      <c r="AF48" s="25">
        <f>IFERROR(__xludf.DUMMYFUNCTION("IFERROR(VALUE(REGEXEXTRACT(AE48, ""\d+"")), 1)"),1.0)</f>
        <v>1</v>
      </c>
      <c r="AG48" s="12" t="str">
        <f>IFERROR(__xludf.DUMMYFUNCTION("IF(
  ISNUMBER(SEARCH(""Bonus Action"", AE48)),
  ""Bonus Action"",
  IF(
    ISNUMBER(SEARCH(""Reaction"", AE48)),
    ""Reaction"",
    IF(
      ISNUMBER(SEARCH(""Action"", AE48)),
      ""Action"",
      TEXTJOIN("", "", TRUE, FILTER(Validations!$S$2:"&amp;"$S$100, ISNUMBER(SEARCH(Validations!$S$2:$S$100, AE48))))
    )
  )
)"),"Action")</f>
        <v>Action</v>
      </c>
      <c r="AH48" s="12"/>
      <c r="AI48" s="26" t="s">
        <v>174</v>
      </c>
      <c r="AJ48" s="26" t="str">
        <f>IFERROR(__xludf.DUMMYFUNCTION("TEXTJOIN("", "", TRUE, FILTER(Validations!$T$2:$T$100, ISNUMBER(SEARCH(Validations!$T$2:$T$100, AI48))))"),"")</f>
        <v/>
      </c>
      <c r="AK48" s="26" t="str">
        <f>IFERROR(__xludf.DUMMYFUNCTION("IFERROR(VALUE(REGEXEXTRACT(AI48, ""\d+"")), """")"),"")</f>
        <v/>
      </c>
      <c r="AL48" s="26" t="str">
        <f>IFERROR(__xludf.DUMMYFUNCTION("TEXTJOIN("", "", TRUE, FILTER(Validations!$U$2:$U$100, ISNUMBER(SEARCH(Validations!$U$2:$U$100, AI48))))"),"")</f>
        <v/>
      </c>
      <c r="AM48" s="24" t="b">
        <f t="shared" si="1"/>
        <v>0</v>
      </c>
      <c r="AN48" s="41" t="b">
        <v>0</v>
      </c>
      <c r="AO48" s="36" t="s">
        <v>277</v>
      </c>
      <c r="AP48" s="12" t="str">
        <f>IFERROR(__xludf.DUMMYFUNCTION("IF(TEXTJOIN("", "", TRUE, FILTER(Validations!$Q$2:$Q$100, ISNUMBER(SEARCH(Validations!$Q$2:$Q$100, AO48)))) = """", Validations!$Q$2, TEXTJOIN("", "", TRUE, FILTER(Validations!$Q$2:$Q$100, ISNUMBER(SEARCH(Validations!$Q$2:$Q$100, AO48)))))"),"Radius")</f>
        <v>Radius</v>
      </c>
      <c r="AQ48" s="12">
        <f>IFERROR(__xludf.DUMMYFUNCTION("IFERROR(VALUE(REGEXEXTRACT(AO48, ""\d+"")), """")"),5.0)</f>
        <v>5</v>
      </c>
      <c r="AR48" s="12" t="str">
        <f>IFERROR(__xludf.DUMMYFUNCTION("TEXTJOIN("", "", TRUE, FILTER(Validations!$R$2:$R$100, ISNUMBER(SEARCH(Validations!$R$2:$R$100, AO48))))"),"Self, Feet")</f>
        <v>Self, Feet</v>
      </c>
      <c r="AS48" s="27"/>
      <c r="AT48" s="12" t="str">
        <f>IFERROR(__xludf.DUMMYFUNCTION("IFERROR(TEXTJOIN("", "", TRUE, FILTER(Validations!$I$2:$I$100, ISNUMBER(SEARCH(Validations!$I$2:$I$100, AS48)))), """")"),"")</f>
        <v/>
      </c>
      <c r="AU48" s="16" t="str">
        <f t="array" ref="AU48">IFERROR(INDEX(Validations!$J$2:$J$100, MATCH(TRUE, ISNUMBER(SEARCH(Validations!$I$2:$I$100, AT48)), 0)), "")</f>
        <v/>
      </c>
      <c r="AV48" s="12" t="str">
        <f>IFERROR(__xludf.DUMMYFUNCTION("IFERROR(VALUE(REGEXEXTRACT(AS48, ""\d+"")), """")"),"")</f>
        <v/>
      </c>
      <c r="AW48" s="12" t="str">
        <f>IFERROR(__xludf.DUMMYFUNCTION("IFERROR(TEXTJOIN("", "", TRUE, FILTER(Validations!$Q$2:$Q$100, ISNUMBER(SEARCH(Validations!$Q$2:$Q$100, AS48)))), """")"),"")</f>
        <v/>
      </c>
      <c r="AX48" s="36" t="s">
        <v>135</v>
      </c>
      <c r="AY48" s="28" t="str">
        <f>IFERROR(__xludf.DUMMYFUNCTION("TEXTJOIN("", "", TRUE, FILTER(Validations!$Y$2:$Y$100, ISNUMBER(SEARCH(Validations!$X$2:$X$100, AX48))))"),"V, S, T")</f>
        <v>V, S, T</v>
      </c>
      <c r="AZ48" s="26"/>
      <c r="BA48" s="22" t="s">
        <v>278</v>
      </c>
      <c r="BB48" s="22"/>
      <c r="BC48" s="22"/>
      <c r="BD48" s="22"/>
      <c r="BE48" s="27"/>
      <c r="BF48" s="22"/>
      <c r="BG48" s="27"/>
      <c r="BH48" s="27"/>
      <c r="BI48" s="12" t="str">
        <f>IFERROR(__xludf.DUMMYFUNCTION("IFERROR(TEXTJOIN("", "", TRUE, FILTER(SRD!$A$2:$A$1000, EXACT(SRD!$A$2:$A$1000, J48))), """")"),"")</f>
        <v/>
      </c>
      <c r="BJ48" s="29"/>
      <c r="BK48" s="29"/>
    </row>
    <row r="49" ht="15.75" customHeight="1">
      <c r="A49" s="30" t="s">
        <v>279</v>
      </c>
      <c r="B49" s="22"/>
      <c r="C49" s="31"/>
      <c r="D49" s="31" t="s">
        <v>74</v>
      </c>
      <c r="E49" s="31"/>
      <c r="F49" s="32" t="s">
        <v>123</v>
      </c>
      <c r="G49" s="15" t="s">
        <v>64</v>
      </c>
      <c r="H49" s="31" t="s">
        <v>65</v>
      </c>
      <c r="I49" s="16" t="str">
        <f t="array" ref="I49">INDEX(Validations!$C$2:$C$100, MATCH(TRUE, ISNUMBER(SEARCH(Validations!$B$2:$B$100, H49)), 0))</f>
        <v>I</v>
      </c>
      <c r="J49" s="33" t="s">
        <v>280</v>
      </c>
      <c r="K49" s="34"/>
      <c r="L49" s="33"/>
      <c r="M49" s="33"/>
      <c r="N49" s="27"/>
      <c r="O49" s="33"/>
      <c r="P49" s="35"/>
      <c r="Q49" s="35"/>
      <c r="R49" s="22"/>
      <c r="S49" s="17" t="str">
        <f>IFERROR(__xludf.DUMMYFUNCTION("IFERROR(REGEXEXTRACT(J49, ""(\d{1,3}[dD]\d{1,3})""), """")"),"")</f>
        <v/>
      </c>
      <c r="T49" s="17" t="str">
        <f>IFERROR(__xludf.DUMMYFUNCTION("IF(COUNTIF(ARRAYFORMULA(LOWER(Validations!$O$2:$O$100)), LOWER(REGEXEXTRACT(J49, ""\d{1,3}[dD]\d{1,3}\s+(\w+)"")))&gt;0, REGEXEXTRACT(J49, ""\d{1,3}[dD]\d{1,3}\s+(\w+)""), """")"),"")</f>
        <v/>
      </c>
      <c r="U49" s="17" t="str">
        <f>IFERROR(__xludf.DUMMYFUNCTION("IF(COUNTIF(ARRAYFORMULA(LOWER(Validations!$P$2:$P$100)), LOWER(REGEXEXTRACT(J49, ""\d{1,3}[dD]\d{1,3}\s+(\w+)"")))&gt;0, REGEXEXTRACT(J49, ""\d{1,3}[dD]\d{1,3}\s+(\w+)""), """")"),"")</f>
        <v/>
      </c>
      <c r="V49" s="12" t="str">
        <f>IFERROR(__xludf.DUMMYFUNCTION("TEXTJOIN("", "", TRUE, FILTER(Validations!$L$2:$L$100, ISNUMBER(SEARCH(Validations!$L$2:$L$100, J49))))"),"")</f>
        <v/>
      </c>
      <c r="W49" s="12" t="str">
        <f>IFERROR(__xludf.DUMMYFUNCTION("IFERROR(TEXTJOIN("", "", TRUE, FILTER(Validations!$M$2:$M$100, ISNUMBER(SEARCH(Validations!$M$2:$M$100 &amp; "" saving throw"", J49)))), """")"),"Constitution")</f>
        <v>Constitution</v>
      </c>
      <c r="X49" s="12"/>
      <c r="Y49" s="12"/>
      <c r="Z49" s="12" t="str">
        <f>IFERROR(__xludf.DUMMYFUNCTION("IFERROR(TEXTJOIN("", "", TRUE, FILTER(Validations!$N$2:$N$100, ISNUMBER(SEARCH(Validations!$N$2:$N$100 &amp; "" check"", J49)))), """")"),"")</f>
        <v/>
      </c>
      <c r="AA49" s="12" t="str">
        <f>IFERROR(__xludf.DUMMYFUNCTION("IFERROR(TEXTJOIN("", "", TRUE, FILTER(Validations!$N$2:$N$100, ISNUMBER(SEARCH(Validations!$N$2:$N$100 &amp; "" check"", W49)))), """")"),"")</f>
        <v/>
      </c>
      <c r="AB49" s="23" t="str">
        <f>IFERROR(__xludf.DUMMYFUNCTION("IFERROR(CONCATENATE(IF(ISNUMBER(SEARCH(Validations!$M$2:$M$100 &amp; "" spell save"", J49)),""Spell Save"",""""), REGEXEXTRACT(J49, ""DC (\d+)"")), """")"),"")</f>
        <v/>
      </c>
      <c r="AC49" s="24" t="b">
        <v>0</v>
      </c>
      <c r="AD49" s="24" t="b">
        <v>0</v>
      </c>
      <c r="AE49" s="36" t="s">
        <v>69</v>
      </c>
      <c r="AF49" s="25">
        <f>IFERROR(__xludf.DUMMYFUNCTION("IFERROR(VALUE(REGEXEXTRACT(AE49, ""\d+"")), 1)"),1.0)</f>
        <v>1</v>
      </c>
      <c r="AG49" s="12" t="str">
        <f>IFERROR(__xludf.DUMMYFUNCTION("IF(
  ISNUMBER(SEARCH(""Bonus Action"", AE49)),
  ""Bonus Action"",
  IF(
    ISNUMBER(SEARCH(""Reaction"", AE49)),
    ""Reaction"",
    IF(
      ISNUMBER(SEARCH(""Action"", AE49)),
      ""Action"",
      TEXTJOIN("", "", TRUE, FILTER(Validations!$S$2:"&amp;"$S$100, ISNUMBER(SEARCH(Validations!$S$2:$S$100, AE49))))
    )
  )
)"),"Action")</f>
        <v>Action</v>
      </c>
      <c r="AH49" s="36"/>
      <c r="AI49" s="20" t="s">
        <v>92</v>
      </c>
      <c r="AJ49" s="26" t="str">
        <f>IFERROR(__xludf.DUMMYFUNCTION("TEXTJOIN("", "", TRUE, FILTER(Validations!$T$2:$T$100, ISNUMBER(SEARCH(Validations!$T$2:$T$100, AI49))))"),"")</f>
        <v/>
      </c>
      <c r="AK49" s="26">
        <f>IFERROR(__xludf.DUMMYFUNCTION("IFERROR(VALUE(REGEXEXTRACT(AI49, ""\d+"")), """")"),1.0)</f>
        <v>1</v>
      </c>
      <c r="AL49" s="26" t="str">
        <f>IFERROR(__xludf.DUMMYFUNCTION("TEXTJOIN("", "", TRUE, FILTER(Validations!$U$2:$U$100, ISNUMBER(SEARCH(Validations!$U$2:$U$100, AI49))))"),"Minutes")</f>
        <v>Minutes</v>
      </c>
      <c r="AM49" s="24" t="b">
        <f t="shared" si="1"/>
        <v>0</v>
      </c>
      <c r="AN49" s="24" t="b">
        <v>1</v>
      </c>
      <c r="AO49" s="22" t="s">
        <v>112</v>
      </c>
      <c r="AP49" s="12" t="str">
        <f>IFERROR(__xludf.DUMMYFUNCTION("IF(TEXTJOIN("", "", TRUE, FILTER(Validations!$Q$2:$Q$100, ISNUMBER(SEARCH(Validations!$Q$2:$Q$100, AO49)))) = """", Validations!$Q$2, TEXTJOIN("", "", TRUE, FILTER(Validations!$Q$2:$Q$100, ISNUMBER(SEARCH(Validations!$Q$2:$Q$100, AO49)))))"),"Point")</f>
        <v>Point</v>
      </c>
      <c r="AQ49" s="12">
        <f>IFERROR(__xludf.DUMMYFUNCTION("IFERROR(VALUE(REGEXEXTRACT(AO49, ""\d+"")), """")"),30.0)</f>
        <v>30</v>
      </c>
      <c r="AR49" s="12" t="str">
        <f>IFERROR(__xludf.DUMMYFUNCTION("TEXTJOIN("", "", TRUE, FILTER(Validations!$R$2:$R$100, ISNUMBER(SEARCH(Validations!$R$2:$R$100, AO49))))"),"Feet")</f>
        <v>Feet</v>
      </c>
      <c r="AS49" s="27"/>
      <c r="AT49" s="12" t="str">
        <f>IFERROR(__xludf.DUMMYFUNCTION("IFERROR(TEXTJOIN("", "", TRUE, FILTER(Validations!$I$2:$I$100, ISNUMBER(SEARCH(Validations!$I$2:$I$100, AS49)))), """")"),"")</f>
        <v/>
      </c>
      <c r="AU49" s="16" t="str">
        <f t="array" ref="AU49">IFERROR(INDEX(Validations!$J$2:$J$100, MATCH(TRUE, ISNUMBER(SEARCH(Validations!$I$2:$I$100, AT49)), 0)), "")</f>
        <v/>
      </c>
      <c r="AV49" s="12" t="str">
        <f>IFERROR(__xludf.DUMMYFUNCTION("IFERROR(VALUE(REGEXEXTRACT(AS49, ""\d+"")), """")"),"")</f>
        <v/>
      </c>
      <c r="AW49" s="12" t="str">
        <f>IFERROR(__xludf.DUMMYFUNCTION("IFERROR(TEXTJOIN("", "", TRUE, FILTER(Validations!$Q$2:$Q$100, ISNUMBER(SEARCH(Validations!$Q$2:$Q$100, AS49)))), """")"),"")</f>
        <v/>
      </c>
      <c r="AX49" s="28" t="s">
        <v>119</v>
      </c>
      <c r="AY49" s="28" t="str">
        <f>IFERROR(__xludf.DUMMYFUNCTION("TEXTJOIN("", "", TRUE, FILTER(Validations!$Y$2:$Y$100, ISNUMBER(SEARCH(Validations!$X$2:$X$100, AX49))))"),"V, R")</f>
        <v>V, R</v>
      </c>
      <c r="AZ49" s="20" t="s">
        <v>281</v>
      </c>
      <c r="BA49" s="22"/>
      <c r="BB49" s="22"/>
      <c r="BC49" s="22"/>
      <c r="BD49" s="22"/>
      <c r="BE49" s="27"/>
      <c r="BF49" s="22"/>
      <c r="BG49" s="27"/>
      <c r="BH49" s="27"/>
      <c r="BI49" s="12" t="str">
        <f>IFERROR(__xludf.DUMMYFUNCTION("IFERROR(TEXTJOIN("", "", TRUE, FILTER(SRD!$A$2:$A$1000, EXACT(SRD!$A$2:$A$1000, J49))), """")"),"")</f>
        <v/>
      </c>
      <c r="BJ49" s="29"/>
      <c r="BK49" s="29"/>
    </row>
    <row r="50" ht="15.75" customHeight="1">
      <c r="A50" s="38" t="s">
        <v>282</v>
      </c>
      <c r="B50" s="12"/>
      <c r="C50" s="16"/>
      <c r="D50" s="16" t="s">
        <v>264</v>
      </c>
      <c r="E50" s="16"/>
      <c r="F50" s="40" t="s">
        <v>130</v>
      </c>
      <c r="G50" s="15" t="s">
        <v>64</v>
      </c>
      <c r="H50" s="31" t="s">
        <v>65</v>
      </c>
      <c r="I50" s="16" t="str">
        <f t="array" ref="I50">INDEX(Validations!$C$2:$C$100, MATCH(TRUE, ISNUMBER(SEARCH(Validations!$B$2:$B$100, H50)), 0))</f>
        <v>I</v>
      </c>
      <c r="J50" s="17" t="s">
        <v>283</v>
      </c>
      <c r="K50" s="34"/>
      <c r="L50" s="33"/>
      <c r="M50" s="33"/>
      <c r="N50" s="20" t="s">
        <v>284</v>
      </c>
      <c r="O50" s="17" t="s">
        <v>285</v>
      </c>
      <c r="P50" s="21"/>
      <c r="Q50" s="21"/>
      <c r="R50" s="22"/>
      <c r="S50" s="17" t="str">
        <f>IFERROR(__xludf.DUMMYFUNCTION("IFERROR(REGEXEXTRACT(J50, ""(\d{1,3}[dD]\d{1,3})""), """")"),"")</f>
        <v/>
      </c>
      <c r="T50" s="17" t="str">
        <f>IFERROR(__xludf.DUMMYFUNCTION("IF(COUNTIF(ARRAYFORMULA(LOWER(Validations!$O$2:$O$100)), LOWER(REGEXEXTRACT(J50, ""\d{1,3}[dD]\d{1,3}\s+(\w+)"")))&gt;0, REGEXEXTRACT(J50, ""\d{1,3}[dD]\d{1,3}\s+(\w+)""), """")"),"")</f>
        <v/>
      </c>
      <c r="U50" s="17" t="str">
        <f>IFERROR(__xludf.DUMMYFUNCTION("IF(COUNTIF(ARRAYFORMULA(LOWER(Validations!$P$2:$P$100)), LOWER(REGEXEXTRACT(J50, ""\d{1,3}[dD]\d{1,3}\s+(\w+)"")))&gt;0, REGEXEXTRACT(J50, ""\d{1,3}[dD]\d{1,3}\s+(\w+)""), """")"),"")</f>
        <v/>
      </c>
      <c r="V50" s="12" t="str">
        <f>IFERROR(__xludf.DUMMYFUNCTION("TEXTJOIN("", "", TRUE, FILTER(Validations!$L$2:$L$100, ISNUMBER(SEARCH(Validations!$L$2:$L$100, J50))))"),"")</f>
        <v/>
      </c>
      <c r="W50" s="12" t="str">
        <f>IFERROR(__xludf.DUMMYFUNCTION("IFERROR(TEXTJOIN("", "", TRUE, FILTER(Validations!$M$2:$M$100, ISNUMBER(SEARCH(Validations!$M$2:$M$100 &amp; "" saving throw"", J50)))), """")"),"Constitution")</f>
        <v>Constitution</v>
      </c>
      <c r="X50" s="12"/>
      <c r="Y50" s="12"/>
      <c r="Z50" s="12" t="str">
        <f>IFERROR(__xludf.DUMMYFUNCTION("IFERROR(TEXTJOIN("", "", TRUE, FILTER(Validations!$N$2:$N$100, ISNUMBER(SEARCH(Validations!$N$2:$N$100 &amp; "" check"", J50)))), """")"),"")</f>
        <v/>
      </c>
      <c r="AA50" s="12" t="str">
        <f>IFERROR(__xludf.DUMMYFUNCTION("IFERROR(TEXTJOIN("", "", TRUE, FILTER(Validations!$N$2:$N$100, ISNUMBER(SEARCH(Validations!$N$2:$N$100 &amp; "" check"", W50)))), """")"),"")</f>
        <v/>
      </c>
      <c r="AB50" s="23" t="str">
        <f>IFERROR(__xludf.DUMMYFUNCTION("IFERROR(CONCATENATE(IF(ISNUMBER(SEARCH(Validations!$M$2:$M$100 &amp; "" spell save"", J50)),""Spell Save"",""""), REGEXEXTRACT(J50, ""DC (\d+)"")), """")"),"")</f>
        <v/>
      </c>
      <c r="AC50" s="24" t="b">
        <v>0</v>
      </c>
      <c r="AD50" s="24" t="b">
        <v>0</v>
      </c>
      <c r="AE50" s="12" t="s">
        <v>69</v>
      </c>
      <c r="AF50" s="25">
        <f>IFERROR(__xludf.DUMMYFUNCTION("IFERROR(VALUE(REGEXEXTRACT(AE50, ""\d+"")), 1)"),1.0)</f>
        <v>1</v>
      </c>
      <c r="AG50" s="12" t="str">
        <f>IFERROR(__xludf.DUMMYFUNCTION("IF(
  ISNUMBER(SEARCH(""Bonus Action"", AE50)),
  ""Bonus Action"",
  IF(
    ISNUMBER(SEARCH(""Reaction"", AE50)),
    ""Reaction"",
    IF(
      ISNUMBER(SEARCH(""Action"", AE50)),
      ""Action"",
      TEXTJOIN("", "", TRUE, FILTER(Validations!$S$2:"&amp;"$S$100, ISNUMBER(SEARCH(Validations!$S$2:$S$100, AE50))))
    )
  )
)"),"Action")</f>
        <v>Action</v>
      </c>
      <c r="AH50" s="12"/>
      <c r="AI50" s="20" t="s">
        <v>87</v>
      </c>
      <c r="AJ50" s="26" t="str">
        <f>IFERROR(__xludf.DUMMYFUNCTION("TEXTJOIN("", "", TRUE, FILTER(Validations!$T$2:$T$100, ISNUMBER(SEARCH(Validations!$T$2:$T$100, AI50))))"),"")</f>
        <v/>
      </c>
      <c r="AK50" s="26">
        <f>IFERROR(__xludf.DUMMYFUNCTION("IFERROR(VALUE(REGEXEXTRACT(AI50, ""\d+"")), """")"),1.0)</f>
        <v>1</v>
      </c>
      <c r="AL50" s="26" t="str">
        <f>IFERROR(__xludf.DUMMYFUNCTION("TEXTJOIN("", "", TRUE, FILTER(Validations!$U$2:$U$100, ISNUMBER(SEARCH(Validations!$U$2:$U$100, AI50))))"),"Rounds")</f>
        <v>Rounds</v>
      </c>
      <c r="AM50" s="24" t="b">
        <f t="shared" si="1"/>
        <v>0</v>
      </c>
      <c r="AN50" s="41" t="b">
        <v>0</v>
      </c>
      <c r="AO50" s="36" t="s">
        <v>286</v>
      </c>
      <c r="AP50" s="12" t="str">
        <f>IFERROR(__xludf.DUMMYFUNCTION("IF(TEXTJOIN("", "", TRUE, FILTER(Validations!$Q$2:$Q$100, ISNUMBER(SEARCH(Validations!$Q$2:$Q$100, AO50)))) = """", Validations!$Q$2, TEXTJOIN("", "", TRUE, FILTER(Validations!$Q$2:$Q$100, ISNUMBER(SEARCH(Validations!$Q$2:$Q$100, AO50)))))"),"Point")</f>
        <v>Point</v>
      </c>
      <c r="AQ50" s="12">
        <f>IFERROR(__xludf.DUMMYFUNCTION("IFERROR(VALUE(REGEXEXTRACT(AO50, ""\d+"")), """")"),30.0)</f>
        <v>30</v>
      </c>
      <c r="AR50" s="12" t="str">
        <f>IFERROR(__xludf.DUMMYFUNCTION("TEXTJOIN("", "", TRUE, FILTER(Validations!$R$2:$R$100, ISNUMBER(SEARCH(Validations!$R$2:$R$100, AO50))))"),"Feet")</f>
        <v>Feet</v>
      </c>
      <c r="AS50" s="27"/>
      <c r="AT50" s="12" t="str">
        <f>IFERROR(__xludf.DUMMYFUNCTION("IFERROR(TEXTJOIN("", "", TRUE, FILTER(Validations!$I$2:$I$100, ISNUMBER(SEARCH(Validations!$I$2:$I$100, AS50)))), """")"),"")</f>
        <v/>
      </c>
      <c r="AU50" s="16" t="str">
        <f t="array" ref="AU50">IFERROR(INDEX(Validations!$J$2:$J$100, MATCH(TRUE, ISNUMBER(SEARCH(Validations!$I$2:$I$100, AT50)), 0)), "")</f>
        <v/>
      </c>
      <c r="AV50" s="12" t="str">
        <f>IFERROR(__xludf.DUMMYFUNCTION("IFERROR(VALUE(REGEXEXTRACT(AS50, ""\d+"")), """")"),"")</f>
        <v/>
      </c>
      <c r="AW50" s="12" t="str">
        <f>IFERROR(__xludf.DUMMYFUNCTION("IFERROR(TEXTJOIN("", "", TRUE, FILTER(Validations!$Q$2:$Q$100, ISNUMBER(SEARCH(Validations!$Q$2:$Q$100, AS50)))), """")"),"")</f>
        <v/>
      </c>
      <c r="AX50" s="36" t="s">
        <v>135</v>
      </c>
      <c r="AY50" s="28" t="str">
        <f>IFERROR(__xludf.DUMMYFUNCTION("TEXTJOIN("", "", TRUE, FILTER(Validations!$Y$2:$Y$100, ISNUMBER(SEARCH(Validations!$X$2:$X$100, AX50))))"),"V, S, T")</f>
        <v>V, S, T</v>
      </c>
      <c r="AZ50" s="26"/>
      <c r="BA50" s="22" t="s">
        <v>287</v>
      </c>
      <c r="BB50" s="22"/>
      <c r="BC50" s="22"/>
      <c r="BD50" s="22"/>
      <c r="BE50" s="27"/>
      <c r="BF50" s="22"/>
      <c r="BG50" s="27"/>
      <c r="BH50" s="27"/>
      <c r="BI50" s="12" t="str">
        <f>IFERROR(__xludf.DUMMYFUNCTION("IFERROR(TEXTJOIN("", "", TRUE, FILTER(SRD!$A$2:$A$1000, EXACT(SRD!$A$2:$A$1000, J50))), """")"),"")</f>
        <v/>
      </c>
      <c r="BJ50" s="29"/>
      <c r="BK50" s="29"/>
    </row>
    <row r="51" ht="15.75" customHeight="1">
      <c r="A51" s="38" t="s">
        <v>288</v>
      </c>
      <c r="B51" s="12"/>
      <c r="C51" s="16"/>
      <c r="D51" s="16" t="s">
        <v>170</v>
      </c>
      <c r="E51" s="16"/>
      <c r="F51" s="40" t="s">
        <v>130</v>
      </c>
      <c r="G51" s="15" t="s">
        <v>64</v>
      </c>
      <c r="H51" s="31" t="s">
        <v>140</v>
      </c>
      <c r="I51" s="16" t="str">
        <f t="array" ref="I51">INDEX(Validations!$C$2:$C$100, MATCH(TRUE, ISNUMBER(SEARCH(Validations!$B$2:$B$100, H51)), 0))</f>
        <v>N</v>
      </c>
      <c r="J51" s="17" t="s">
        <v>289</v>
      </c>
      <c r="K51" s="34"/>
      <c r="L51" s="17"/>
      <c r="M51" s="33"/>
      <c r="N51" s="20" t="s">
        <v>290</v>
      </c>
      <c r="O51" s="17" t="s">
        <v>291</v>
      </c>
      <c r="P51" s="21"/>
      <c r="Q51" s="21"/>
      <c r="R51" s="22"/>
      <c r="S51" s="17" t="str">
        <f>IFERROR(__xludf.DUMMYFUNCTION("IFERROR(REGEXEXTRACT(J51, ""(\d{1,3}[dD]\d{1,3})""), """")"),"1d6")</f>
        <v>1d6</v>
      </c>
      <c r="T51" s="17" t="str">
        <f>IFERROR(__xludf.DUMMYFUNCTION("IF(COUNTIF(ARRAYFORMULA(LOWER(Validations!$O$2:$O$100)), LOWER(REGEXEXTRACT(J51, ""\d{1,3}[dD]\d{1,3}\s+(\w+)"")))&gt;0, REGEXEXTRACT(J51, ""\d{1,3}[dD]\d{1,3}\s+(\w+)""), """")"),"chiaric")</f>
        <v>chiaric</v>
      </c>
      <c r="U51" s="17" t="str">
        <f>IFERROR(__xludf.DUMMYFUNCTION("IF(COUNTIF(ARRAYFORMULA(LOWER(Validations!$P$2:$P$100)), LOWER(REGEXEXTRACT(J51, ""\d{1,3}[dD]\d{1,3}\s+(\w+)"")))&gt;0, REGEXEXTRACT(J51, ""\d{1,3}[dD]\d{1,3}\s+(\w+)""), """")"),"")</f>
        <v/>
      </c>
      <c r="V51" s="12" t="str">
        <f>IFERROR(__xludf.DUMMYFUNCTION("TEXTJOIN("", "", TRUE, FILTER(Validations!$L$2:$L$100, ISNUMBER(SEARCH(Validations!$L$2:$L$100, J51))))"),"")</f>
        <v/>
      </c>
      <c r="W51" s="12" t="str">
        <f>IFERROR(__xludf.DUMMYFUNCTION("IFERROR(TEXTJOIN("", "", TRUE, FILTER(Validations!$M$2:$M$100, ISNUMBER(SEARCH(Validations!$M$2:$M$100 &amp; "" saving throw"", J51)))), """")"),"")</f>
        <v/>
      </c>
      <c r="X51" s="12"/>
      <c r="Y51" s="12"/>
      <c r="Z51" s="12" t="str">
        <f>IFERROR(__xludf.DUMMYFUNCTION("IFERROR(TEXTJOIN("", "", TRUE, FILTER(Validations!$N$2:$N$100, ISNUMBER(SEARCH(Validations!$N$2:$N$100 &amp; "" check"", J51)))), """")"),"")</f>
        <v/>
      </c>
      <c r="AA51" s="12" t="str">
        <f>IFERROR(__xludf.DUMMYFUNCTION("IFERROR(TEXTJOIN("", "", TRUE, FILTER(Validations!$N$2:$N$100, ISNUMBER(SEARCH(Validations!$N$2:$N$100 &amp; "" check"", W51)))), """")"),"")</f>
        <v/>
      </c>
      <c r="AB51" s="23" t="str">
        <f>IFERROR(__xludf.DUMMYFUNCTION("IFERROR(CONCATENATE(IF(ISNUMBER(SEARCH(Validations!$M$2:$M$100 &amp; "" spell save"", J51)),""Spell Save"",""""), REGEXEXTRACT(J51, ""DC (\d+)"")), """")"),"")</f>
        <v/>
      </c>
      <c r="AC51" s="24" t="b">
        <v>0</v>
      </c>
      <c r="AD51" s="24" t="b">
        <v>0</v>
      </c>
      <c r="AE51" s="12" t="s">
        <v>69</v>
      </c>
      <c r="AF51" s="25">
        <f>IFERROR(__xludf.DUMMYFUNCTION("IFERROR(VALUE(REGEXEXTRACT(AE51, ""\d+"")), 1)"),1.0)</f>
        <v>1</v>
      </c>
      <c r="AG51" s="12" t="str">
        <f>IFERROR(__xludf.DUMMYFUNCTION("IF(
  ISNUMBER(SEARCH(""Bonus Action"", AE51)),
  ""Bonus Action"",
  IF(
    ISNUMBER(SEARCH(""Reaction"", AE51)),
    ""Reaction"",
    IF(
      ISNUMBER(SEARCH(""Action"", AE51)),
      ""Action"",
      TEXTJOIN("", "", TRUE, FILTER(Validations!$S$2:"&amp;"$S$100, ISNUMBER(SEARCH(Validations!$S$2:$S$100, AE51))))
    )
  )
)"),"Action")</f>
        <v>Action</v>
      </c>
      <c r="AH51" s="12"/>
      <c r="AI51" s="26" t="s">
        <v>174</v>
      </c>
      <c r="AJ51" s="26" t="str">
        <f>IFERROR(__xludf.DUMMYFUNCTION("TEXTJOIN("", "", TRUE, FILTER(Validations!$T$2:$T$100, ISNUMBER(SEARCH(Validations!$T$2:$T$100, AI51))))"),"")</f>
        <v/>
      </c>
      <c r="AK51" s="26" t="str">
        <f>IFERROR(__xludf.DUMMYFUNCTION("IFERROR(VALUE(REGEXEXTRACT(AI51, ""\d+"")), """")"),"")</f>
        <v/>
      </c>
      <c r="AL51" s="26" t="str">
        <f>IFERROR(__xludf.DUMMYFUNCTION("TEXTJOIN("", "", TRUE, FILTER(Validations!$U$2:$U$100, ISNUMBER(SEARCH(Validations!$U$2:$U$100, AI51))))"),"")</f>
        <v/>
      </c>
      <c r="AM51" s="24" t="b">
        <f t="shared" si="1"/>
        <v>0</v>
      </c>
      <c r="AN51" s="41" t="b">
        <v>0</v>
      </c>
      <c r="AO51" s="22" t="s">
        <v>292</v>
      </c>
      <c r="AP51" s="12" t="str">
        <f>IFERROR(__xludf.DUMMYFUNCTION("IF(TEXTJOIN("", "", TRUE, FILTER(Validations!$Q$2:$Q$100, ISNUMBER(SEARCH(Validations!$Q$2:$Q$100, AO51)))) = """", Validations!$Q$2, TEXTJOIN("", "", TRUE, FILTER(Validations!$Q$2:$Q$100, ISNUMBER(SEARCH(Validations!$Q$2:$Q$100, AO51)))))"),"Point")</f>
        <v>Point</v>
      </c>
      <c r="AQ51" s="12" t="str">
        <f>IFERROR(__xludf.DUMMYFUNCTION("IFERROR(VALUE(REGEXEXTRACT(AO51, ""\d+"")), """")"),"")</f>
        <v/>
      </c>
      <c r="AR51" s="12" t="str">
        <f>IFERROR(__xludf.DUMMYFUNCTION("TEXTJOIN("", "", TRUE, FILTER(Validations!$R$2:$R$100, ISNUMBER(SEARCH(Validations!$R$2:$R$100, AO51))))"),"")</f>
        <v/>
      </c>
      <c r="AS51" s="27"/>
      <c r="AT51" s="12" t="str">
        <f>IFERROR(__xludf.DUMMYFUNCTION("IFERROR(TEXTJOIN("", "", TRUE, FILTER(Validations!$I$2:$I$100, ISNUMBER(SEARCH(Validations!$I$2:$I$100, AS51)))), """")"),"")</f>
        <v/>
      </c>
      <c r="AU51" s="16" t="str">
        <f t="array" ref="AU51">IFERROR(INDEX(Validations!$J$2:$J$100, MATCH(TRUE, ISNUMBER(SEARCH(Validations!$I$2:$I$100, AT51)), 0)), "")</f>
        <v/>
      </c>
      <c r="AV51" s="12" t="str">
        <f>IFERROR(__xludf.DUMMYFUNCTION("IFERROR(VALUE(REGEXEXTRACT(AS51, ""\d+"")), """")"),"")</f>
        <v/>
      </c>
      <c r="AW51" s="12" t="str">
        <f>IFERROR(__xludf.DUMMYFUNCTION("IFERROR(TEXTJOIN("", "", TRUE, FILTER(Validations!$Q$2:$Q$100, ISNUMBER(SEARCH(Validations!$Q$2:$Q$100, AS51)))), """")"),"")</f>
        <v/>
      </c>
      <c r="AX51" s="36" t="s">
        <v>135</v>
      </c>
      <c r="AY51" s="28" t="str">
        <f>IFERROR(__xludf.DUMMYFUNCTION("TEXTJOIN("", "", TRUE, FILTER(Validations!$Y$2:$Y$100, ISNUMBER(SEARCH(Validations!$X$2:$X$100, AX51))))"),"V, S, T")</f>
        <v>V, S, T</v>
      </c>
      <c r="AZ51" s="26"/>
      <c r="BA51" s="22" t="s">
        <v>293</v>
      </c>
      <c r="BB51" s="22"/>
      <c r="BC51" s="22"/>
      <c r="BD51" s="22"/>
      <c r="BE51" s="27"/>
      <c r="BF51" s="22"/>
      <c r="BG51" s="27"/>
      <c r="BH51" s="27"/>
      <c r="BI51" s="12" t="str">
        <f>IFERROR(__xludf.DUMMYFUNCTION("IFERROR(TEXTJOIN("", "", TRUE, FILTER(SRD!$A$2:$A$1000, EXACT(SRD!$A$2:$A$1000, J51))), """")"),"")</f>
        <v/>
      </c>
      <c r="BJ51" s="29"/>
      <c r="BK51" s="29"/>
    </row>
    <row r="52" ht="15.75" customHeight="1">
      <c r="A52" s="30" t="s">
        <v>294</v>
      </c>
      <c r="B52" s="22"/>
      <c r="C52" s="31"/>
      <c r="D52" s="31" t="s">
        <v>74</v>
      </c>
      <c r="E52" s="31"/>
      <c r="F52" s="32" t="s">
        <v>241</v>
      </c>
      <c r="G52" s="15" t="s">
        <v>64</v>
      </c>
      <c r="H52" s="31" t="s">
        <v>140</v>
      </c>
      <c r="I52" s="16" t="str">
        <f t="array" ref="I52">INDEX(Validations!$C$2:$C$100, MATCH(TRUE, ISNUMBER(SEARCH(Validations!$B$2:$B$100, H52)), 0))</f>
        <v>N</v>
      </c>
      <c r="J52" s="33" t="s">
        <v>295</v>
      </c>
      <c r="K52" s="34"/>
      <c r="L52" s="33"/>
      <c r="M52" s="33"/>
      <c r="N52" s="27"/>
      <c r="O52" s="33"/>
      <c r="P52" s="35"/>
      <c r="Q52" s="35"/>
      <c r="R52" s="22"/>
      <c r="S52" s="17" t="str">
        <f>IFERROR(__xludf.DUMMYFUNCTION("IFERROR(REGEXEXTRACT(J52, ""(\d{1,3}[dD]\d{1,3})""), """")"),"")</f>
        <v/>
      </c>
      <c r="T52" s="17" t="str">
        <f>IFERROR(__xludf.DUMMYFUNCTION("IF(COUNTIF(ARRAYFORMULA(LOWER(Validations!$O$2:$O$100)), LOWER(REGEXEXTRACT(J52, ""\d{1,3}[dD]\d{1,3}\s+(\w+)"")))&gt;0, REGEXEXTRACT(J52, ""\d{1,3}[dD]\d{1,3}\s+(\w+)""), """")"),"")</f>
        <v/>
      </c>
      <c r="U52" s="17" t="str">
        <f>IFERROR(__xludf.DUMMYFUNCTION("IF(COUNTIF(ARRAYFORMULA(LOWER(Validations!$P$2:$P$100)), LOWER(REGEXEXTRACT(J52, ""\d{1,3}[dD]\d{1,3}\s+(\w+)"")))&gt;0, REGEXEXTRACT(J52, ""\d{1,3}[dD]\d{1,3}\s+(\w+)""), """")"),"")</f>
        <v/>
      </c>
      <c r="V52" s="12" t="str">
        <f>IFERROR(__xludf.DUMMYFUNCTION("TEXTJOIN("", "", TRUE, FILTER(Validations!$L$2:$L$100, ISNUMBER(SEARCH(Validations!$L$2:$L$100, J52))))"),"")</f>
        <v/>
      </c>
      <c r="W52" s="12" t="str">
        <f>IFERROR(__xludf.DUMMYFUNCTION("IFERROR(TEXTJOIN("", "", TRUE, FILTER(Validations!$M$2:$M$100, ISNUMBER(SEARCH(Validations!$M$2:$M$100 &amp; "" saving throw"", J52)))), """")"),"")</f>
        <v/>
      </c>
      <c r="X52" s="12"/>
      <c r="Y52" s="12"/>
      <c r="Z52" s="12" t="str">
        <f>IFERROR(__xludf.DUMMYFUNCTION("IFERROR(TEXTJOIN("", "", TRUE, FILTER(Validations!$N$2:$N$100, ISNUMBER(SEARCH(Validations!$N$2:$N$100 &amp; "" check"", J52)))), """")"),"")</f>
        <v/>
      </c>
      <c r="AA52" s="12" t="str">
        <f>IFERROR(__xludf.DUMMYFUNCTION("IFERROR(TEXTJOIN("", "", TRUE, FILTER(Validations!$N$2:$N$100, ISNUMBER(SEARCH(Validations!$N$2:$N$100 &amp; "" check"", W52)))), """")"),"")</f>
        <v/>
      </c>
      <c r="AB52" s="23" t="str">
        <f>IFERROR(__xludf.DUMMYFUNCTION("IFERROR(CONCATENATE(IF(ISNUMBER(SEARCH(Validations!$M$2:$M$100 &amp; "" spell save"", J52)),""Spell Save"",""""), REGEXEXTRACT(J52, ""DC (\d+)"")), """")"),"")</f>
        <v/>
      </c>
      <c r="AC52" s="24" t="b">
        <v>0</v>
      </c>
      <c r="AD52" s="24" t="b">
        <v>0</v>
      </c>
      <c r="AE52" s="36" t="s">
        <v>69</v>
      </c>
      <c r="AF52" s="25">
        <f>IFERROR(__xludf.DUMMYFUNCTION("IFERROR(VALUE(REGEXEXTRACT(AE52, ""\d+"")), 1)"),1.0)</f>
        <v>1</v>
      </c>
      <c r="AG52" s="12" t="str">
        <f>IFERROR(__xludf.DUMMYFUNCTION("IF(
  ISNUMBER(SEARCH(""Bonus Action"", AE52)),
  ""Bonus Action"",
  IF(
    ISNUMBER(SEARCH(""Reaction"", AE52)),
    ""Reaction"",
    IF(
      ISNUMBER(SEARCH(""Action"", AE52)),
      ""Action"",
      TEXTJOIN("", "", TRUE, FILTER(Validations!$S$2:"&amp;"$S$100, ISNUMBER(SEARCH(Validations!$S$2:$S$100, AE52))))
    )
  )
)"),"Action")</f>
        <v>Action</v>
      </c>
      <c r="AH52" s="36"/>
      <c r="AI52" s="20" t="s">
        <v>296</v>
      </c>
      <c r="AJ52" s="26" t="str">
        <f>IFERROR(__xludf.DUMMYFUNCTION("TEXTJOIN("", "", TRUE, FILTER(Validations!$T$2:$T$100, ISNUMBER(SEARCH(Validations!$T$2:$T$100, AI52))))"),"")</f>
        <v/>
      </c>
      <c r="AK52" s="26">
        <f>IFERROR(__xludf.DUMMYFUNCTION("IFERROR(VALUE(REGEXEXTRACT(AI52, ""\d+"")), """")"),1.0)</f>
        <v>1</v>
      </c>
      <c r="AL52" s="26" t="str">
        <f>IFERROR(__xludf.DUMMYFUNCTION("TEXTJOIN("", "", TRUE, FILTER(Validations!$U$2:$U$100, ISNUMBER(SEARCH(Validations!$U$2:$U$100, AI52))))"),"Hours")</f>
        <v>Hours</v>
      </c>
      <c r="AM52" s="24" t="b">
        <f t="shared" si="1"/>
        <v>0</v>
      </c>
      <c r="AN52" s="24" t="b">
        <v>0</v>
      </c>
      <c r="AO52" s="22" t="s">
        <v>71</v>
      </c>
      <c r="AP52" s="12" t="str">
        <f>IFERROR(__xludf.DUMMYFUNCTION("IF(TEXTJOIN("", "", TRUE, FILTER(Validations!$Q$2:$Q$100, ISNUMBER(SEARCH(Validations!$Q$2:$Q$100, AO52)))) = """", Validations!$Q$2, TEXTJOIN("", "", TRUE, FILTER(Validations!$Q$2:$Q$100, ISNUMBER(SEARCH(Validations!$Q$2:$Q$100, AO52)))))"),"Point")</f>
        <v>Point</v>
      </c>
      <c r="AQ52" s="12" t="str">
        <f>IFERROR(__xludf.DUMMYFUNCTION("IFERROR(VALUE(REGEXEXTRACT(AO52, ""\d+"")), """")"),"")</f>
        <v/>
      </c>
      <c r="AR52" s="12" t="str">
        <f>IFERROR(__xludf.DUMMYFUNCTION("TEXTJOIN("", "", TRUE, FILTER(Validations!$R$2:$R$100, ISNUMBER(SEARCH(Validations!$R$2:$R$100, AO52))))"),"Touch")</f>
        <v>Touch</v>
      </c>
      <c r="AS52" s="27"/>
      <c r="AT52" s="12" t="str">
        <f>IFERROR(__xludf.DUMMYFUNCTION("IFERROR(TEXTJOIN("", "", TRUE, FILTER(Validations!$I$2:$I$100, ISNUMBER(SEARCH(Validations!$I$2:$I$100, AS52)))), """")"),"")</f>
        <v/>
      </c>
      <c r="AU52" s="16" t="str">
        <f t="array" ref="AU52">IFERROR(INDEX(Validations!$J$2:$J$100, MATCH(TRUE, ISNUMBER(SEARCH(Validations!$I$2:$I$100, AT52)), 0)), "")</f>
        <v/>
      </c>
      <c r="AV52" s="12" t="str">
        <f>IFERROR(__xludf.DUMMYFUNCTION("IFERROR(VALUE(REGEXEXTRACT(AS52, ""\d+"")), """")"),"")</f>
        <v/>
      </c>
      <c r="AW52" s="12" t="str">
        <f>IFERROR(__xludf.DUMMYFUNCTION("IFERROR(TEXTJOIN("", "", TRUE, FILTER(Validations!$Q$2:$Q$100, ISNUMBER(SEARCH(Validations!$Q$2:$Q$100, AS52)))), """")"),"")</f>
        <v/>
      </c>
      <c r="AX52" s="28" t="s">
        <v>152</v>
      </c>
      <c r="AY52" s="28" t="str">
        <f>IFERROR(__xludf.DUMMYFUNCTION("TEXTJOIN("", "", TRUE, FILTER(Validations!$Y$2:$Y$100, ISNUMBER(SEARCH(Validations!$X$2:$X$100, AX52))))"),"V, S, R")</f>
        <v>V, S, R</v>
      </c>
      <c r="AZ52" s="20" t="s">
        <v>297</v>
      </c>
      <c r="BA52" s="22"/>
      <c r="BB52" s="22"/>
      <c r="BC52" s="22"/>
      <c r="BD52" s="22"/>
      <c r="BE52" s="27"/>
      <c r="BF52" s="22"/>
      <c r="BG52" s="27"/>
      <c r="BH52" s="27"/>
      <c r="BI52" s="12" t="str">
        <f>IFERROR(__xludf.DUMMYFUNCTION("IFERROR(TEXTJOIN("", "", TRUE, FILTER(SRD!$A$2:$A$1000, EXACT(SRD!$A$2:$A$1000, J52))), """")"),"")</f>
        <v/>
      </c>
      <c r="BJ52" s="29"/>
      <c r="BK52" s="29"/>
    </row>
    <row r="53" ht="15.75" customHeight="1">
      <c r="A53" s="30" t="s">
        <v>298</v>
      </c>
      <c r="B53" s="22"/>
      <c r="C53" s="31"/>
      <c r="D53" s="31" t="s">
        <v>74</v>
      </c>
      <c r="E53" s="31"/>
      <c r="F53" s="40" t="s">
        <v>139</v>
      </c>
      <c r="G53" s="15" t="s">
        <v>64</v>
      </c>
      <c r="H53" s="31" t="s">
        <v>144</v>
      </c>
      <c r="I53" s="16" t="str">
        <f t="array" ref="I53">INDEX(Validations!$C$2:$C$100, MATCH(TRUE, ISNUMBER(SEARCH(Validations!$B$2:$B$100, H53)), 0))</f>
        <v>D</v>
      </c>
      <c r="J53" s="33" t="s">
        <v>299</v>
      </c>
      <c r="K53" s="34"/>
      <c r="L53" s="33"/>
      <c r="M53" s="33"/>
      <c r="N53" s="27"/>
      <c r="O53" s="33"/>
      <c r="P53" s="35"/>
      <c r="Q53" s="35"/>
      <c r="R53" s="22"/>
      <c r="S53" s="17" t="str">
        <f>IFERROR(__xludf.DUMMYFUNCTION("IFERROR(REGEXEXTRACT(J53, ""(\d{1,3}[dD]\d{1,3})""), """")"),"")</f>
        <v/>
      </c>
      <c r="T53" s="17" t="str">
        <f>IFERROR(__xludf.DUMMYFUNCTION("IF(COUNTIF(ARRAYFORMULA(LOWER(Validations!$O$2:$O$100)), LOWER(REGEXEXTRACT(J53, ""\d{1,3}[dD]\d{1,3}\s+(\w+)"")))&gt;0, REGEXEXTRACT(J53, ""\d{1,3}[dD]\d{1,3}\s+(\w+)""), """")"),"")</f>
        <v/>
      </c>
      <c r="U53" s="17" t="str">
        <f>IFERROR(__xludf.DUMMYFUNCTION("IF(COUNTIF(ARRAYFORMULA(LOWER(Validations!$P$2:$P$100)), LOWER(REGEXEXTRACT(J53, ""\d{1,3}[dD]\d{1,3}\s+(\w+)"")))&gt;0, REGEXEXTRACT(J53, ""\d{1,3}[dD]\d{1,3}\s+(\w+)""), """")"),"")</f>
        <v/>
      </c>
      <c r="V53" s="12" t="str">
        <f>IFERROR(__xludf.DUMMYFUNCTION("TEXTJOIN("", "", TRUE, FILTER(Validations!$L$2:$L$100, ISNUMBER(SEARCH(Validations!$L$2:$L$100, J53))))"),"")</f>
        <v/>
      </c>
      <c r="W53" s="12" t="str">
        <f>IFERROR(__xludf.DUMMYFUNCTION("IFERROR(TEXTJOIN("", "", TRUE, FILTER(Validations!$M$2:$M$100, ISNUMBER(SEARCH(Validations!$M$2:$M$100 &amp; "" saving throw"", J53)))), """")"),"")</f>
        <v/>
      </c>
      <c r="X53" s="12"/>
      <c r="Y53" s="12"/>
      <c r="Z53" s="12" t="str">
        <f>IFERROR(__xludf.DUMMYFUNCTION("IFERROR(TEXTJOIN("", "", TRUE, FILTER(Validations!$N$2:$N$100, ISNUMBER(SEARCH(Validations!$N$2:$N$100 &amp; "" check"", J53)))), """")"),"")</f>
        <v/>
      </c>
      <c r="AA53" s="12" t="str">
        <f>IFERROR(__xludf.DUMMYFUNCTION("IFERROR(TEXTJOIN("", "", TRUE, FILTER(Validations!$N$2:$N$100, ISNUMBER(SEARCH(Validations!$N$2:$N$100 &amp; "" check"", W53)))), """")"),"")</f>
        <v/>
      </c>
      <c r="AB53" s="23" t="str">
        <f>IFERROR(__xludf.DUMMYFUNCTION("IFERROR(CONCATENATE(IF(ISNUMBER(SEARCH(Validations!$M$2:$M$100 &amp; "" spell save"", J53)),""Spell Save"",""""), REGEXEXTRACT(J53, ""DC (\d+)"")), """")"),"")</f>
        <v/>
      </c>
      <c r="AC53" s="24" t="b">
        <v>0</v>
      </c>
      <c r="AD53" s="24" t="b">
        <v>0</v>
      </c>
      <c r="AE53" s="36" t="s">
        <v>69</v>
      </c>
      <c r="AF53" s="25">
        <f>IFERROR(__xludf.DUMMYFUNCTION("IFERROR(VALUE(REGEXEXTRACT(AE53, ""\d+"")), 1)"),1.0)</f>
        <v>1</v>
      </c>
      <c r="AG53" s="12" t="str">
        <f>IFERROR(__xludf.DUMMYFUNCTION("IF(
  ISNUMBER(SEARCH(""Bonus Action"", AE53)),
  ""Bonus Action"",
  IF(
    ISNUMBER(SEARCH(""Reaction"", AE53)),
    ""Reaction"",
    IF(
      ISNUMBER(SEARCH(""Action"", AE53)),
      ""Action"",
      TEXTJOIN("", "", TRUE, FILTER(Validations!$S$2:"&amp;"$S$100, ISNUMBER(SEARCH(Validations!$S$2:$S$100, AE53))))
    )
  )
)"),"Action")</f>
        <v>Action</v>
      </c>
      <c r="AH53" s="36"/>
      <c r="AI53" s="20" t="s">
        <v>92</v>
      </c>
      <c r="AJ53" s="26" t="str">
        <f>IFERROR(__xludf.DUMMYFUNCTION("TEXTJOIN("", "", TRUE, FILTER(Validations!$T$2:$T$100, ISNUMBER(SEARCH(Validations!$T$2:$T$100, AI53))))"),"")</f>
        <v/>
      </c>
      <c r="AK53" s="26">
        <f>IFERROR(__xludf.DUMMYFUNCTION("IFERROR(VALUE(REGEXEXTRACT(AI53, ""\d+"")), """")"),1.0)</f>
        <v>1</v>
      </c>
      <c r="AL53" s="26" t="str">
        <f>IFERROR(__xludf.DUMMYFUNCTION("TEXTJOIN("", "", TRUE, FILTER(Validations!$U$2:$U$100, ISNUMBER(SEARCH(Validations!$U$2:$U$100, AI53))))"),"Minutes")</f>
        <v>Minutes</v>
      </c>
      <c r="AM53" s="24" t="b">
        <f t="shared" si="1"/>
        <v>0</v>
      </c>
      <c r="AN53" s="24" t="b">
        <v>0</v>
      </c>
      <c r="AO53" s="22" t="s">
        <v>71</v>
      </c>
      <c r="AP53" s="12" t="str">
        <f>IFERROR(__xludf.DUMMYFUNCTION("IF(TEXTJOIN("", "", TRUE, FILTER(Validations!$Q$2:$Q$100, ISNUMBER(SEARCH(Validations!$Q$2:$Q$100, AO53)))) = """", Validations!$Q$2, TEXTJOIN("", "", TRUE, FILTER(Validations!$Q$2:$Q$100, ISNUMBER(SEARCH(Validations!$Q$2:$Q$100, AO53)))))"),"Point")</f>
        <v>Point</v>
      </c>
      <c r="AQ53" s="12" t="str">
        <f>IFERROR(__xludf.DUMMYFUNCTION("IFERROR(VALUE(REGEXEXTRACT(AO53, ""\d+"")), """")"),"")</f>
        <v/>
      </c>
      <c r="AR53" s="12" t="str">
        <f>IFERROR(__xludf.DUMMYFUNCTION("TEXTJOIN("", "", TRUE, FILTER(Validations!$R$2:$R$100, ISNUMBER(SEARCH(Validations!$R$2:$R$100, AO53))))"),"Touch")</f>
        <v>Touch</v>
      </c>
      <c r="AS53" s="27"/>
      <c r="AT53" s="12" t="str">
        <f>IFERROR(__xludf.DUMMYFUNCTION("IFERROR(TEXTJOIN("", "", TRUE, FILTER(Validations!$I$2:$I$100, ISNUMBER(SEARCH(Validations!$I$2:$I$100, AS53)))), """")"),"")</f>
        <v/>
      </c>
      <c r="AU53" s="16" t="str">
        <f t="array" ref="AU53">IFERROR(INDEX(Validations!$J$2:$J$100, MATCH(TRUE, ISNUMBER(SEARCH(Validations!$I$2:$I$100, AT53)), 0)), "")</f>
        <v/>
      </c>
      <c r="AV53" s="12" t="str">
        <f>IFERROR(__xludf.DUMMYFUNCTION("IFERROR(VALUE(REGEXEXTRACT(AS53, ""\d+"")), """")"),"")</f>
        <v/>
      </c>
      <c r="AW53" s="12" t="str">
        <f>IFERROR(__xludf.DUMMYFUNCTION("IFERROR(TEXTJOIN("", "", TRUE, FILTER(Validations!$Q$2:$Q$100, ISNUMBER(SEARCH(Validations!$Q$2:$Q$100, AS53)))), """")"),"")</f>
        <v/>
      </c>
      <c r="AX53" s="28" t="s">
        <v>80</v>
      </c>
      <c r="AY53" s="28" t="str">
        <f>IFERROR(__xludf.DUMMYFUNCTION("TEXTJOIN("", "", TRUE, FILTER(Validations!$Y$2:$Y$100, ISNUMBER(SEARCH(Validations!$X$2:$X$100, AX53))))"),"S, R")</f>
        <v>S, R</v>
      </c>
      <c r="AZ53" s="20" t="s">
        <v>300</v>
      </c>
      <c r="BA53" s="22"/>
      <c r="BB53" s="22"/>
      <c r="BC53" s="22"/>
      <c r="BD53" s="22"/>
      <c r="BE53" s="27"/>
      <c r="BF53" s="22"/>
      <c r="BG53" s="27"/>
      <c r="BH53" s="27"/>
      <c r="BI53" s="12" t="str">
        <f>IFERROR(__xludf.DUMMYFUNCTION("IFERROR(TEXTJOIN("", "", TRUE, FILTER(SRD!$A$2:$A$1000, EXACT(SRD!$A$2:$A$1000, J53))), """")"),"")</f>
        <v/>
      </c>
      <c r="BJ53" s="29"/>
      <c r="BK53" s="29"/>
    </row>
    <row r="54" ht="15.75" customHeight="1">
      <c r="A54" s="11" t="s">
        <v>301</v>
      </c>
      <c r="B54" s="12"/>
      <c r="C54" s="16"/>
      <c r="D54" s="16" t="s">
        <v>302</v>
      </c>
      <c r="E54" s="16"/>
      <c r="F54" s="32" t="s">
        <v>123</v>
      </c>
      <c r="G54" s="15" t="s">
        <v>64</v>
      </c>
      <c r="H54" s="31" t="s">
        <v>65</v>
      </c>
      <c r="I54" s="16" t="str">
        <f t="array" ref="I54">INDEX(Validations!$C$2:$C$100, MATCH(TRUE, ISNUMBER(SEARCH(Validations!$B$2:$B$100, H54)), 0))</f>
        <v>I</v>
      </c>
      <c r="J54" s="17" t="s">
        <v>303</v>
      </c>
      <c r="K54" s="34"/>
      <c r="L54" s="33"/>
      <c r="M54" s="33"/>
      <c r="N54" s="27"/>
      <c r="O54" s="33"/>
      <c r="P54" s="35"/>
      <c r="Q54" s="35"/>
      <c r="R54" s="22"/>
      <c r="S54" s="17" t="str">
        <f>IFERROR(__xludf.DUMMYFUNCTION("IFERROR(REGEXEXTRACT(J54, ""(\d{1,3}[dD]\d{1,3})""), """")"),"")</f>
        <v/>
      </c>
      <c r="T54" s="17" t="str">
        <f>IFERROR(__xludf.DUMMYFUNCTION("IF(COUNTIF(ARRAYFORMULA(LOWER(Validations!$O$2:$O$100)), LOWER(REGEXEXTRACT(J54, ""\d{1,3}[dD]\d{1,3}\s+(\w+)"")))&gt;0, REGEXEXTRACT(J54, ""\d{1,3}[dD]\d{1,3}\s+(\w+)""), """")"),"")</f>
        <v/>
      </c>
      <c r="U54" s="17" t="str">
        <f>IFERROR(__xludf.DUMMYFUNCTION("IF(COUNTIF(ARRAYFORMULA(LOWER(Validations!$P$2:$P$100)), LOWER(REGEXEXTRACT(J54, ""\d{1,3}[dD]\d{1,3}\s+(\w+)"")))&gt;0, REGEXEXTRACT(J54, ""\d{1,3}[dD]\d{1,3}\s+(\w+)""), """")"),"")</f>
        <v/>
      </c>
      <c r="V54" s="12" t="str">
        <f>IFERROR(__xludf.DUMMYFUNCTION("TEXTJOIN("", "", TRUE, FILTER(Validations!$L$2:$L$100, ISNUMBER(SEARCH(Validations!$L$2:$L$100, J54))))"),"")</f>
        <v/>
      </c>
      <c r="W54" s="12" t="str">
        <f>IFERROR(__xludf.DUMMYFUNCTION("IFERROR(TEXTJOIN("", "", TRUE, FILTER(Validations!$M$2:$M$100, ISNUMBER(SEARCH(Validations!$M$2:$M$100 &amp; "" saving throw"", J54)))), """")"),"")</f>
        <v/>
      </c>
      <c r="X54" s="12"/>
      <c r="Y54" s="12"/>
      <c r="Z54" s="12" t="str">
        <f>IFERROR(__xludf.DUMMYFUNCTION("IFERROR(TEXTJOIN("", "", TRUE, FILTER(Validations!$N$2:$N$100, ISNUMBER(SEARCH(Validations!$N$2:$N$100 &amp; "" check"", J54)))), """")"),"")</f>
        <v/>
      </c>
      <c r="AA54" s="12" t="str">
        <f>IFERROR(__xludf.DUMMYFUNCTION("IFERROR(TEXTJOIN("", "", TRUE, FILTER(Validations!$N$2:$N$100, ISNUMBER(SEARCH(Validations!$N$2:$N$100 &amp; "" check"", W54)))), """")"),"")</f>
        <v/>
      </c>
      <c r="AB54" s="23" t="str">
        <f>IFERROR(__xludf.DUMMYFUNCTION("IFERROR(CONCATENATE(IF(ISNUMBER(SEARCH(Validations!$M$2:$M$100 &amp; "" spell save"", J54)),""Spell Save"",""""), REGEXEXTRACT(J54, ""DC (\d+)"")), """")"),"")</f>
        <v/>
      </c>
      <c r="AC54" s="24" t="b">
        <v>0</v>
      </c>
      <c r="AD54" s="24" t="b">
        <v>0</v>
      </c>
      <c r="AE54" s="12" t="s">
        <v>69</v>
      </c>
      <c r="AF54" s="25">
        <f>IFERROR(__xludf.DUMMYFUNCTION("IFERROR(VALUE(REGEXEXTRACT(AE54, ""\d+"")), 1)"),1.0)</f>
        <v>1</v>
      </c>
      <c r="AG54" s="12" t="str">
        <f>IFERROR(__xludf.DUMMYFUNCTION("IF(
  ISNUMBER(SEARCH(""Bonus Action"", AE54)),
  ""Bonus Action"",
  IF(
    ISNUMBER(SEARCH(""Reaction"", AE54)),
    ""Reaction"",
    IF(
      ISNUMBER(SEARCH(""Action"", AE54)),
      ""Action"",
      TEXTJOIN("", "", TRUE, FILTER(Validations!$S$2:"&amp;"$S$100, ISNUMBER(SEARCH(Validations!$S$2:$S$100, AE54))))
    )
  )
)"),"Action")</f>
        <v>Action</v>
      </c>
      <c r="AH54" s="12"/>
      <c r="AI54" s="27" t="s">
        <v>70</v>
      </c>
      <c r="AJ54" s="26" t="str">
        <f>IFERROR(__xludf.DUMMYFUNCTION("TEXTJOIN("", "", TRUE, FILTER(Validations!$T$2:$T$100, ISNUMBER(SEARCH(Validations!$T$2:$T$100, AI54))))"),"Instantaneous")</f>
        <v>Instantaneous</v>
      </c>
      <c r="AK54" s="26" t="str">
        <f>IFERROR(__xludf.DUMMYFUNCTION("IFERROR(VALUE(REGEXEXTRACT(AI54, ""\d+"")), """")"),"")</f>
        <v/>
      </c>
      <c r="AL54" s="26" t="str">
        <f>IFERROR(__xludf.DUMMYFUNCTION("TEXTJOIN("", "", TRUE, FILTER(Validations!$U$2:$U$100, ISNUMBER(SEARCH(Validations!$U$2:$U$100, AI54))))"),"")</f>
        <v/>
      </c>
      <c r="AM54" s="24" t="b">
        <f t="shared" si="1"/>
        <v>0</v>
      </c>
      <c r="AN54" s="24" t="b">
        <v>0</v>
      </c>
      <c r="AO54" s="22" t="s">
        <v>105</v>
      </c>
      <c r="AP54" s="12" t="str">
        <f>IFERROR(__xludf.DUMMYFUNCTION("IF(TEXTJOIN("", "", TRUE, FILTER(Validations!$Q$2:$Q$100, ISNUMBER(SEARCH(Validations!$Q$2:$Q$100, AO54)))) = """", Validations!$Q$2, TEXTJOIN("", "", TRUE, FILTER(Validations!$Q$2:$Q$100, ISNUMBER(SEARCH(Validations!$Q$2:$Q$100, AO54)))))"),"Point")</f>
        <v>Point</v>
      </c>
      <c r="AQ54" s="12">
        <f>IFERROR(__xludf.DUMMYFUNCTION("IFERROR(VALUE(REGEXEXTRACT(AO54, ""\d+"")), """")"),10.0)</f>
        <v>10</v>
      </c>
      <c r="AR54" s="12" t="str">
        <f>IFERROR(__xludf.DUMMYFUNCTION("TEXTJOIN("", "", TRUE, FILTER(Validations!$R$2:$R$100, ISNUMBER(SEARCH(Validations!$R$2:$R$100, AO54))))"),"Feet")</f>
        <v>Feet</v>
      </c>
      <c r="AS54" s="27"/>
      <c r="AT54" s="12" t="str">
        <f>IFERROR(__xludf.DUMMYFUNCTION("IFERROR(TEXTJOIN("", "", TRUE, FILTER(Validations!$I$2:$I$100, ISNUMBER(SEARCH(Validations!$I$2:$I$100, AS54)))), """")"),"")</f>
        <v/>
      </c>
      <c r="AU54" s="16" t="str">
        <f t="array" ref="AU54">IFERROR(INDEX(Validations!$J$2:$J$100, MATCH(TRUE, ISNUMBER(SEARCH(Validations!$I$2:$I$100, AT54)), 0)), "")</f>
        <v/>
      </c>
      <c r="AV54" s="12" t="str">
        <f>IFERROR(__xludf.DUMMYFUNCTION("IFERROR(VALUE(REGEXEXTRACT(AS54, ""\d+"")), """")"),"")</f>
        <v/>
      </c>
      <c r="AW54" s="12" t="str">
        <f>IFERROR(__xludf.DUMMYFUNCTION("IFERROR(TEXTJOIN("", "", TRUE, FILTER(Validations!$Q$2:$Q$100, ISNUMBER(SEARCH(Validations!$Q$2:$Q$100, AS54)))), """")"),"")</f>
        <v/>
      </c>
      <c r="AX54" s="28" t="s">
        <v>72</v>
      </c>
      <c r="AY54" s="28" t="str">
        <f>IFERROR(__xludf.DUMMYFUNCTION("TEXTJOIN("", "", TRUE, FILTER(Validations!$Y$2:$Y$100, ISNUMBER(SEARCH(Validations!$X$2:$X$100, AX54))))"),"V, S")</f>
        <v>V, S</v>
      </c>
      <c r="AZ54" s="27"/>
      <c r="BA54" s="22"/>
      <c r="BB54" s="22"/>
      <c r="BC54" s="22"/>
      <c r="BD54" s="22"/>
      <c r="BE54" s="27"/>
      <c r="BF54" s="22"/>
      <c r="BG54" s="27"/>
      <c r="BH54" s="27"/>
      <c r="BI54" s="12" t="str">
        <f>IFERROR(__xludf.DUMMYFUNCTION("IFERROR(TEXTJOIN("", "", TRUE, FILTER(SRD!$A$2:$A$1000, EXACT(SRD!$A$2:$A$1000, J54))), """")"),"")</f>
        <v/>
      </c>
      <c r="BJ54" s="29"/>
      <c r="BK54" s="29"/>
    </row>
    <row r="55" ht="15.75" customHeight="1">
      <c r="A55" s="38" t="s">
        <v>304</v>
      </c>
      <c r="B55" s="12"/>
      <c r="C55" s="16"/>
      <c r="D55" s="16" t="s">
        <v>170</v>
      </c>
      <c r="E55" s="16"/>
      <c r="F55" s="40" t="s">
        <v>130</v>
      </c>
      <c r="G55" s="15" t="s">
        <v>64</v>
      </c>
      <c r="H55" s="31" t="s">
        <v>103</v>
      </c>
      <c r="I55" s="16" t="str">
        <f t="array" ref="I55">INDEX(Validations!$C$2:$C$100, MATCH(TRUE, ISNUMBER(SEARCH(Validations!$B$2:$B$100, H55)), 0))</f>
        <v>C</v>
      </c>
      <c r="J55" s="17" t="s">
        <v>305</v>
      </c>
      <c r="K55" s="34"/>
      <c r="L55" s="17"/>
      <c r="M55" s="33"/>
      <c r="N55" s="20" t="s">
        <v>306</v>
      </c>
      <c r="O55" s="17" t="s">
        <v>307</v>
      </c>
      <c r="P55" s="21"/>
      <c r="Q55" s="21"/>
      <c r="R55" s="22"/>
      <c r="S55" s="17" t="str">
        <f>IFERROR(__xludf.DUMMYFUNCTION("IFERROR(REGEXEXTRACT(J55, ""(\d{1,3}[dD]\d{1,3})""), """")"),"1d8")</f>
        <v>1d8</v>
      </c>
      <c r="T55" s="17" t="str">
        <f>IFERROR(__xludf.DUMMYFUNCTION("IF(COUNTIF(ARRAYFORMULA(LOWER(Validations!$O$2:$O$100)), LOWER(REGEXEXTRACT(J55, ""\d{1,3}[dD]\d{1,3}\s+(\w+)"")))&gt;0, REGEXEXTRACT(J55, ""\d{1,3}[dD]\d{1,3}\s+(\w+)""), """")"),"impact")</f>
        <v>impact</v>
      </c>
      <c r="U55" s="17" t="str">
        <f>IFERROR(__xludf.DUMMYFUNCTION("IF(COUNTIF(ARRAYFORMULA(LOWER(Validations!$P$2:$P$100)), LOWER(REGEXEXTRACT(J55, ""\d{1,3}[dD]\d{1,3}\s+(\w+)"")))&gt;0, REGEXEXTRACT(J55, ""\d{1,3}[dD]\d{1,3}\s+(\w+)""), """")"),"")</f>
        <v/>
      </c>
      <c r="V55" s="12" t="str">
        <f>IFERROR(__xludf.DUMMYFUNCTION("TEXTJOIN("", "", TRUE, FILTER(Validations!$L$2:$L$100, ISNUMBER(SEARCH(Validations!$L$2:$L$100, J55))))"),"Prone, Stunned")</f>
        <v>Prone, Stunned</v>
      </c>
      <c r="W55" s="12" t="str">
        <f>IFERROR(__xludf.DUMMYFUNCTION("IFERROR(TEXTJOIN("", "", TRUE, FILTER(Validations!$M$2:$M$100, ISNUMBER(SEARCH(Validations!$M$2:$M$100 &amp; "" saving throw"", J55)))), """")"),"Strength")</f>
        <v>Strength</v>
      </c>
      <c r="X55" s="12"/>
      <c r="Y55" s="12"/>
      <c r="Z55" s="12" t="str">
        <f>IFERROR(__xludf.DUMMYFUNCTION("IFERROR(TEXTJOIN("", "", TRUE, FILTER(Validations!$N$2:$N$100, ISNUMBER(SEARCH(Validations!$N$2:$N$100 &amp; "" check"", J55)))), """")"),"")</f>
        <v/>
      </c>
      <c r="AA55" s="12" t="str">
        <f>IFERROR(__xludf.DUMMYFUNCTION("IFERROR(TEXTJOIN("", "", TRUE, FILTER(Validations!$N$2:$N$100, ISNUMBER(SEARCH(Validations!$N$2:$N$100 &amp; "" check"", W55)))), """")"),"")</f>
        <v/>
      </c>
      <c r="AB55" s="23" t="str">
        <f>IFERROR(__xludf.DUMMYFUNCTION("IFERROR(CONCATENATE(IF(ISNUMBER(SEARCH(Validations!$M$2:$M$100 &amp; "" spell save"", J55)),""Spell Save"",""""), REGEXEXTRACT(J55, ""DC (\d+)"")), """")"),"")</f>
        <v/>
      </c>
      <c r="AC55" s="24" t="b">
        <v>0</v>
      </c>
      <c r="AD55" s="24" t="b">
        <v>0</v>
      </c>
      <c r="AE55" s="12" t="s">
        <v>69</v>
      </c>
      <c r="AF55" s="25">
        <f>IFERROR(__xludf.DUMMYFUNCTION("IFERROR(VALUE(REGEXEXTRACT(AE55, ""\d+"")), 1)"),1.0)</f>
        <v>1</v>
      </c>
      <c r="AG55" s="12" t="str">
        <f>IFERROR(__xludf.DUMMYFUNCTION("IF(
  ISNUMBER(SEARCH(""Bonus Action"", AE55)),
  ""Bonus Action"",
  IF(
    ISNUMBER(SEARCH(""Reaction"", AE55)),
    ""Reaction"",
    IF(
      ISNUMBER(SEARCH(""Action"", AE55)),
      ""Action"",
      TEXTJOIN("", "", TRUE, FILTER(Validations!$S$2:"&amp;"$S$100, ISNUMBER(SEARCH(Validations!$S$2:$S$100, AE55))))
    )
  )
)"),"Action")</f>
        <v>Action</v>
      </c>
      <c r="AH55" s="12"/>
      <c r="AI55" s="27" t="s">
        <v>70</v>
      </c>
      <c r="AJ55" s="26" t="str">
        <f>IFERROR(__xludf.DUMMYFUNCTION("TEXTJOIN("", "", TRUE, FILTER(Validations!$T$2:$T$100, ISNUMBER(SEARCH(Validations!$T$2:$T$100, AI55))))"),"Instantaneous")</f>
        <v>Instantaneous</v>
      </c>
      <c r="AK55" s="26" t="str">
        <f>IFERROR(__xludf.DUMMYFUNCTION("IFERROR(VALUE(REGEXEXTRACT(AI55, ""\d+"")), """")"),"")</f>
        <v/>
      </c>
      <c r="AL55" s="26" t="str">
        <f>IFERROR(__xludf.DUMMYFUNCTION("TEXTJOIN("", "", TRUE, FILTER(Validations!$U$2:$U$100, ISNUMBER(SEARCH(Validations!$U$2:$U$100, AI55))))"),"")</f>
        <v/>
      </c>
      <c r="AM55" s="24" t="b">
        <f t="shared" si="1"/>
        <v>0</v>
      </c>
      <c r="AN55" s="41" t="b">
        <v>0</v>
      </c>
      <c r="AO55" s="36" t="s">
        <v>286</v>
      </c>
      <c r="AP55" s="12" t="str">
        <f>IFERROR(__xludf.DUMMYFUNCTION("IF(TEXTJOIN("", "", TRUE, FILTER(Validations!$Q$2:$Q$100, ISNUMBER(SEARCH(Validations!$Q$2:$Q$100, AO55)))) = """", Validations!$Q$2, TEXTJOIN("", "", TRUE, FILTER(Validations!$Q$2:$Q$100, ISNUMBER(SEARCH(Validations!$Q$2:$Q$100, AO55)))))"),"Point")</f>
        <v>Point</v>
      </c>
      <c r="AQ55" s="12">
        <f>IFERROR(__xludf.DUMMYFUNCTION("IFERROR(VALUE(REGEXEXTRACT(AO55, ""\d+"")), """")"),30.0)</f>
        <v>30</v>
      </c>
      <c r="AR55" s="12" t="str">
        <f>IFERROR(__xludf.DUMMYFUNCTION("TEXTJOIN("", "", TRUE, FILTER(Validations!$R$2:$R$100, ISNUMBER(SEARCH(Validations!$R$2:$R$100, AO55))))"),"Feet")</f>
        <v>Feet</v>
      </c>
      <c r="AS55" s="27"/>
      <c r="AT55" s="12" t="str">
        <f>IFERROR(__xludf.DUMMYFUNCTION("IFERROR(TEXTJOIN("", "", TRUE, FILTER(Validations!$I$2:$I$100, ISNUMBER(SEARCH(Validations!$I$2:$I$100, AS55)))), """")"),"")</f>
        <v/>
      </c>
      <c r="AU55" s="16" t="str">
        <f t="array" ref="AU55">IFERROR(INDEX(Validations!$J$2:$J$100, MATCH(TRUE, ISNUMBER(SEARCH(Validations!$I$2:$I$100, AT55)), 0)), "")</f>
        <v/>
      </c>
      <c r="AV55" s="12" t="str">
        <f>IFERROR(__xludf.DUMMYFUNCTION("IFERROR(VALUE(REGEXEXTRACT(AS55, ""\d+"")), """")"),"")</f>
        <v/>
      </c>
      <c r="AW55" s="12" t="str">
        <f>IFERROR(__xludf.DUMMYFUNCTION("IFERROR(TEXTJOIN("", "", TRUE, FILTER(Validations!$Q$2:$Q$100, ISNUMBER(SEARCH(Validations!$Q$2:$Q$100, AS55)))), """")"),"")</f>
        <v/>
      </c>
      <c r="AX55" s="36" t="s">
        <v>135</v>
      </c>
      <c r="AY55" s="28" t="str">
        <f>IFERROR(__xludf.DUMMYFUNCTION("TEXTJOIN("", "", TRUE, FILTER(Validations!$Y$2:$Y$100, ISNUMBER(SEARCH(Validations!$X$2:$X$100, AX55))))"),"V, S, T")</f>
        <v>V, S, T</v>
      </c>
      <c r="AZ55" s="26"/>
      <c r="BA55" s="22" t="s">
        <v>308</v>
      </c>
      <c r="BB55" s="22"/>
      <c r="BC55" s="22"/>
      <c r="BD55" s="22"/>
      <c r="BE55" s="27"/>
      <c r="BF55" s="22"/>
      <c r="BG55" s="27"/>
      <c r="BH55" s="27"/>
      <c r="BI55" s="12" t="str">
        <f>IFERROR(__xludf.DUMMYFUNCTION("IFERROR(TEXTJOIN("", "", TRUE, FILTER(SRD!$A$2:$A$1000, EXACT(SRD!$A$2:$A$1000, J55))), """")"),"")</f>
        <v/>
      </c>
      <c r="BJ55" s="29"/>
      <c r="BK55" s="29"/>
    </row>
    <row r="56" ht="15.75" customHeight="1">
      <c r="A56" s="38" t="s">
        <v>309</v>
      </c>
      <c r="B56" s="12"/>
      <c r="C56" s="16"/>
      <c r="D56" s="16" t="s">
        <v>170</v>
      </c>
      <c r="E56" s="16"/>
      <c r="F56" s="40" t="s">
        <v>130</v>
      </c>
      <c r="G56" s="15" t="s">
        <v>64</v>
      </c>
      <c r="H56" s="31" t="s">
        <v>76</v>
      </c>
      <c r="I56" s="16" t="str">
        <f t="array" ref="I56">INDEX(Validations!$C$2:$C$100, MATCH(TRUE, ISNUMBER(SEARCH(Validations!$B$2:$B$100, H56)), 0))</f>
        <v>V</v>
      </c>
      <c r="J56" s="17" t="s">
        <v>310</v>
      </c>
      <c r="K56" s="34"/>
      <c r="L56" s="33"/>
      <c r="M56" s="33"/>
      <c r="N56" s="20" t="s">
        <v>311</v>
      </c>
      <c r="O56" s="17" t="s">
        <v>312</v>
      </c>
      <c r="P56" s="21"/>
      <c r="Q56" s="21"/>
      <c r="R56" s="22"/>
      <c r="S56" s="17" t="str">
        <f>IFERROR(__xludf.DUMMYFUNCTION("IFERROR(REGEXEXTRACT(J56, ""(\d{1,3}[dD]\d{1,3})""), """")"),"1d6")</f>
        <v>1d6</v>
      </c>
      <c r="T56" s="17" t="str">
        <f>IFERROR(__xludf.DUMMYFUNCTION("IF(COUNTIF(ARRAYFORMULA(LOWER(Validations!$O$2:$O$100)), LOWER(REGEXEXTRACT(J56, ""\d{1,3}[dD]\d{1,3}\s+(\w+)"")))&gt;0, REGEXEXTRACT(J56, ""\d{1,3}[dD]\d{1,3}\s+(\w+)""), """")"),"chiaric")</f>
        <v>chiaric</v>
      </c>
      <c r="U56" s="17" t="str">
        <f>IFERROR(__xludf.DUMMYFUNCTION("IF(COUNTIF(ARRAYFORMULA(LOWER(Validations!$P$2:$P$100)), LOWER(REGEXEXTRACT(J56, ""\d{1,3}[dD]\d{1,3}\s+(\w+)"")))&gt;0, REGEXEXTRACT(J56, ""\d{1,3}[dD]\d{1,3}\s+(\w+)""), """")"),"")</f>
        <v/>
      </c>
      <c r="V56" s="12" t="str">
        <f>IFERROR(__xludf.DUMMYFUNCTION("TEXTJOIN("", "", TRUE, FILTER(Validations!$L$2:$L$100, ISNUMBER(SEARCH(Validations!$L$2:$L$100, J56))))"),"Blinded")</f>
        <v>Blinded</v>
      </c>
      <c r="W56" s="12" t="str">
        <f>IFERROR(__xludf.DUMMYFUNCTION("IFERROR(TEXTJOIN("", "", TRUE, FILTER(Validations!$M$2:$M$100, ISNUMBER(SEARCH(Validations!$M$2:$M$100 &amp; "" saving throw"", J56)))), """")"),"Constitution")</f>
        <v>Constitution</v>
      </c>
      <c r="X56" s="12"/>
      <c r="Y56" s="12"/>
      <c r="Z56" s="12" t="str">
        <f>IFERROR(__xludf.DUMMYFUNCTION("IFERROR(TEXTJOIN("", "", TRUE, FILTER(Validations!$N$2:$N$100, ISNUMBER(SEARCH(Validations!$N$2:$N$100 &amp; "" check"", J56)))), """")"),"")</f>
        <v/>
      </c>
      <c r="AA56" s="12" t="str">
        <f>IFERROR(__xludf.DUMMYFUNCTION("IFERROR(TEXTJOIN("", "", TRUE, FILTER(Validations!$N$2:$N$100, ISNUMBER(SEARCH(Validations!$N$2:$N$100 &amp; "" check"", W56)))), """")"),"")</f>
        <v/>
      </c>
      <c r="AB56" s="23" t="str">
        <f>IFERROR(__xludf.DUMMYFUNCTION("IFERROR(CONCATENATE(IF(ISNUMBER(SEARCH(Validations!$M$2:$M$100 &amp; "" spell save"", J56)),""Spell Save"",""""), REGEXEXTRACT(J56, ""DC (\d+)"")), """")"),"")</f>
        <v/>
      </c>
      <c r="AC56" s="24" t="b">
        <v>0</v>
      </c>
      <c r="AD56" s="24" t="b">
        <v>0</v>
      </c>
      <c r="AE56" s="12" t="s">
        <v>69</v>
      </c>
      <c r="AF56" s="25">
        <f>IFERROR(__xludf.DUMMYFUNCTION("IFERROR(VALUE(REGEXEXTRACT(AE56, ""\d+"")), 1)"),1.0)</f>
        <v>1</v>
      </c>
      <c r="AG56" s="12" t="str">
        <f>IFERROR(__xludf.DUMMYFUNCTION("IF(
  ISNUMBER(SEARCH(""Bonus Action"", AE56)),
  ""Bonus Action"",
  IF(
    ISNUMBER(SEARCH(""Reaction"", AE56)),
    ""Reaction"",
    IF(
      ISNUMBER(SEARCH(""Action"", AE56)),
      ""Action"",
      TEXTJOIN("", "", TRUE, FILTER(Validations!$S$2:"&amp;"$S$100, ISNUMBER(SEARCH(Validations!$S$2:$S$100, AE56))))
    )
  )
)"),"Action")</f>
        <v>Action</v>
      </c>
      <c r="AH56" s="12"/>
      <c r="AI56" s="27" t="s">
        <v>70</v>
      </c>
      <c r="AJ56" s="26" t="str">
        <f>IFERROR(__xludf.DUMMYFUNCTION("TEXTJOIN("", "", TRUE, FILTER(Validations!$T$2:$T$100, ISNUMBER(SEARCH(Validations!$T$2:$T$100, AI56))))"),"Instantaneous")</f>
        <v>Instantaneous</v>
      </c>
      <c r="AK56" s="26" t="str">
        <f>IFERROR(__xludf.DUMMYFUNCTION("IFERROR(VALUE(REGEXEXTRACT(AI56, ""\d+"")), """")"),"")</f>
        <v/>
      </c>
      <c r="AL56" s="26" t="str">
        <f>IFERROR(__xludf.DUMMYFUNCTION("TEXTJOIN("", "", TRUE, FILTER(Validations!$U$2:$U$100, ISNUMBER(SEARCH(Validations!$U$2:$U$100, AI56))))"),"")</f>
        <v/>
      </c>
      <c r="AM56" s="24" t="b">
        <f t="shared" si="1"/>
        <v>0</v>
      </c>
      <c r="AN56" s="41" t="b">
        <v>0</v>
      </c>
      <c r="AO56" s="36" t="s">
        <v>286</v>
      </c>
      <c r="AP56" s="12" t="str">
        <f>IFERROR(__xludf.DUMMYFUNCTION("IF(TEXTJOIN("", "", TRUE, FILTER(Validations!$Q$2:$Q$100, ISNUMBER(SEARCH(Validations!$Q$2:$Q$100, AO56)))) = """", Validations!$Q$2, TEXTJOIN("", "", TRUE, FILTER(Validations!$Q$2:$Q$100, ISNUMBER(SEARCH(Validations!$Q$2:$Q$100, AO56)))))"),"Point")</f>
        <v>Point</v>
      </c>
      <c r="AQ56" s="12">
        <f>IFERROR(__xludf.DUMMYFUNCTION("IFERROR(VALUE(REGEXEXTRACT(AO56, ""\d+"")), """")"),30.0)</f>
        <v>30</v>
      </c>
      <c r="AR56" s="12" t="str">
        <f>IFERROR(__xludf.DUMMYFUNCTION("TEXTJOIN("", "", TRUE, FILTER(Validations!$R$2:$R$100, ISNUMBER(SEARCH(Validations!$R$2:$R$100, AO56))))"),"Feet")</f>
        <v>Feet</v>
      </c>
      <c r="AS56" s="27"/>
      <c r="AT56" s="12" t="str">
        <f>IFERROR(__xludf.DUMMYFUNCTION("IFERROR(TEXTJOIN("", "", TRUE, FILTER(Validations!$I$2:$I$100, ISNUMBER(SEARCH(Validations!$I$2:$I$100, AS56)))), """")"),"")</f>
        <v/>
      </c>
      <c r="AU56" s="16" t="str">
        <f t="array" ref="AU56">IFERROR(INDEX(Validations!$J$2:$J$100, MATCH(TRUE, ISNUMBER(SEARCH(Validations!$I$2:$I$100, AT56)), 0)), "")</f>
        <v/>
      </c>
      <c r="AV56" s="12" t="str">
        <f>IFERROR(__xludf.DUMMYFUNCTION("IFERROR(VALUE(REGEXEXTRACT(AS56, ""\d+"")), """")"),"")</f>
        <v/>
      </c>
      <c r="AW56" s="12" t="str">
        <f>IFERROR(__xludf.DUMMYFUNCTION("IFERROR(TEXTJOIN("", "", TRUE, FILTER(Validations!$Q$2:$Q$100, ISNUMBER(SEARCH(Validations!$Q$2:$Q$100, AS56)))), """")"),"")</f>
        <v/>
      </c>
      <c r="AX56" s="36" t="s">
        <v>135</v>
      </c>
      <c r="AY56" s="28" t="str">
        <f>IFERROR(__xludf.DUMMYFUNCTION("TEXTJOIN("", "", TRUE, FILTER(Validations!$Y$2:$Y$100, ISNUMBER(SEARCH(Validations!$X$2:$X$100, AX56))))"),"V, S, T")</f>
        <v>V, S, T</v>
      </c>
      <c r="AZ56" s="26"/>
      <c r="BA56" s="22" t="s">
        <v>313</v>
      </c>
      <c r="BB56" s="22"/>
      <c r="BC56" s="22"/>
      <c r="BD56" s="22"/>
      <c r="BE56" s="27"/>
      <c r="BF56" s="22"/>
      <c r="BG56" s="27"/>
      <c r="BH56" s="27"/>
      <c r="BI56" s="12" t="str">
        <f>IFERROR(__xludf.DUMMYFUNCTION("IFERROR(TEXTJOIN("", "", TRUE, FILTER(SRD!$A$2:$A$1000, EXACT(SRD!$A$2:$A$1000, J56))), """")"),"")</f>
        <v/>
      </c>
      <c r="BJ56" s="29"/>
      <c r="BK56" s="29"/>
    </row>
    <row r="57" ht="15.75" customHeight="1">
      <c r="A57" s="38" t="s">
        <v>314</v>
      </c>
      <c r="B57" s="12"/>
      <c r="C57" s="16"/>
      <c r="D57" s="16" t="s">
        <v>170</v>
      </c>
      <c r="E57" s="16"/>
      <c r="F57" s="40" t="s">
        <v>130</v>
      </c>
      <c r="G57" s="15" t="s">
        <v>64</v>
      </c>
      <c r="H57" s="31" t="s">
        <v>76</v>
      </c>
      <c r="I57" s="16" t="str">
        <f t="array" ref="I57">INDEX(Validations!$C$2:$C$100, MATCH(TRUE, ISNUMBER(SEARCH(Validations!$B$2:$B$100, H57)), 0))</f>
        <v>V</v>
      </c>
      <c r="J57" s="17" t="s">
        <v>315</v>
      </c>
      <c r="K57" s="34"/>
      <c r="L57" s="33"/>
      <c r="M57" s="33"/>
      <c r="N57" s="20" t="s">
        <v>315</v>
      </c>
      <c r="O57" s="17" t="s">
        <v>316</v>
      </c>
      <c r="P57" s="21"/>
      <c r="Q57" s="21"/>
      <c r="R57" s="22"/>
      <c r="S57" s="17" t="str">
        <f>IFERROR(__xludf.DUMMYFUNCTION("IFERROR(REGEXEXTRACT(J57, ""(\d{1,3}[dD]\d{1,3})""), """")"),"1d6")</f>
        <v>1d6</v>
      </c>
      <c r="T57" s="17" t="str">
        <f>IFERROR(__xludf.DUMMYFUNCTION("IF(COUNTIF(ARRAYFORMULA(LOWER(Validations!$O$2:$O$100)), LOWER(REGEXEXTRACT(J57, ""\d{1,3}[dD]\d{1,3}\s+(\w+)"")))&gt;0, REGEXEXTRACT(J57, ""\d{1,3}[dD]\d{1,3}\s+(\w+)""), """")"),"electric")</f>
        <v>electric</v>
      </c>
      <c r="U57" s="17" t="str">
        <f>IFERROR(__xludf.DUMMYFUNCTION("IF(COUNTIF(ARRAYFORMULA(LOWER(Validations!$P$2:$P$100)), LOWER(REGEXEXTRACT(J57, ""\d{1,3}[dD]\d{1,3}\s+(\w+)"")))&gt;0, REGEXEXTRACT(J57, ""\d{1,3}[dD]\d{1,3}\s+(\w+)""), """")"),"")</f>
        <v/>
      </c>
      <c r="V57" s="12" t="str">
        <f>IFERROR(__xludf.DUMMYFUNCTION("TEXTJOIN("", "", TRUE, FILTER(Validations!$L$2:$L$100, ISNUMBER(SEARCH(Validations!$L$2:$L$100, J57))))"),"")</f>
        <v/>
      </c>
      <c r="W57" s="12" t="str">
        <f>IFERROR(__xludf.DUMMYFUNCTION("IFERROR(TEXTJOIN("", "", TRUE, FILTER(Validations!$M$2:$M$100, ISNUMBER(SEARCH(Validations!$M$2:$M$100 &amp; "" saving throw"", J57)))), """")"),"Dexterity")</f>
        <v>Dexterity</v>
      </c>
      <c r="X57" s="12"/>
      <c r="Y57" s="12"/>
      <c r="Z57" s="12" t="str">
        <f>IFERROR(__xludf.DUMMYFUNCTION("IFERROR(TEXTJOIN("", "", TRUE, FILTER(Validations!$N$2:$N$100, ISNUMBER(SEARCH(Validations!$N$2:$N$100 &amp; "" check"", J57)))), """")"),"")</f>
        <v/>
      </c>
      <c r="AA57" s="12" t="str">
        <f>IFERROR(__xludf.DUMMYFUNCTION("IFERROR(TEXTJOIN("", "", TRUE, FILTER(Validations!$N$2:$N$100, ISNUMBER(SEARCH(Validations!$N$2:$N$100 &amp; "" check"", W57)))), """")"),"")</f>
        <v/>
      </c>
      <c r="AB57" s="23" t="str">
        <f>IFERROR(__xludf.DUMMYFUNCTION("IFERROR(CONCATENATE(IF(ISNUMBER(SEARCH(Validations!$M$2:$M$100 &amp; "" spell save"", J57)),""Spell Save"",""""), REGEXEXTRACT(J57, ""DC (\d+)"")), """")"),"")</f>
        <v/>
      </c>
      <c r="AC57" s="24" t="b">
        <v>0</v>
      </c>
      <c r="AD57" s="24" t="b">
        <v>0</v>
      </c>
      <c r="AE57" s="12" t="s">
        <v>69</v>
      </c>
      <c r="AF57" s="25">
        <f>IFERROR(__xludf.DUMMYFUNCTION("IFERROR(VALUE(REGEXEXTRACT(AE57, ""\d+"")), 1)"),1.0)</f>
        <v>1</v>
      </c>
      <c r="AG57" s="12" t="str">
        <f>IFERROR(__xludf.DUMMYFUNCTION("IF(
  ISNUMBER(SEARCH(""Bonus Action"", AE57)),
  ""Bonus Action"",
  IF(
    ISNUMBER(SEARCH(""Reaction"", AE57)),
    ""Reaction"",
    IF(
      ISNUMBER(SEARCH(""Action"", AE57)),
      ""Action"",
      TEXTJOIN("", "", TRUE, FILTER(Validations!$S$2:"&amp;"$S$100, ISNUMBER(SEARCH(Validations!$S$2:$S$100, AE57))))
    )
  )
)"),"Action")</f>
        <v>Action</v>
      </c>
      <c r="AH57" s="12"/>
      <c r="AI57" s="27" t="s">
        <v>70</v>
      </c>
      <c r="AJ57" s="26" t="str">
        <f>IFERROR(__xludf.DUMMYFUNCTION("TEXTJOIN("", "", TRUE, FILTER(Validations!$T$2:$T$100, ISNUMBER(SEARCH(Validations!$T$2:$T$100, AI57))))"),"Instantaneous")</f>
        <v>Instantaneous</v>
      </c>
      <c r="AK57" s="26" t="str">
        <f>IFERROR(__xludf.DUMMYFUNCTION("IFERROR(VALUE(REGEXEXTRACT(AI57, ""\d+"")), """")"),"")</f>
        <v/>
      </c>
      <c r="AL57" s="26" t="str">
        <f>IFERROR(__xludf.DUMMYFUNCTION("TEXTJOIN("", "", TRUE, FILTER(Validations!$U$2:$U$100, ISNUMBER(SEARCH(Validations!$U$2:$U$100, AI57))))"),"")</f>
        <v/>
      </c>
      <c r="AM57" s="24" t="b">
        <f t="shared" si="1"/>
        <v>0</v>
      </c>
      <c r="AN57" s="41" t="b">
        <v>0</v>
      </c>
      <c r="AO57" s="36" t="s">
        <v>286</v>
      </c>
      <c r="AP57" s="12" t="str">
        <f>IFERROR(__xludf.DUMMYFUNCTION("IF(TEXTJOIN("", "", TRUE, FILTER(Validations!$Q$2:$Q$100, ISNUMBER(SEARCH(Validations!$Q$2:$Q$100, AO57)))) = """", Validations!$Q$2, TEXTJOIN("", "", TRUE, FILTER(Validations!$Q$2:$Q$100, ISNUMBER(SEARCH(Validations!$Q$2:$Q$100, AO57)))))"),"Point")</f>
        <v>Point</v>
      </c>
      <c r="AQ57" s="12">
        <f>IFERROR(__xludf.DUMMYFUNCTION("IFERROR(VALUE(REGEXEXTRACT(AO57, ""\d+"")), """")"),30.0)</f>
        <v>30</v>
      </c>
      <c r="AR57" s="12" t="str">
        <f>IFERROR(__xludf.DUMMYFUNCTION("TEXTJOIN("", "", TRUE, FILTER(Validations!$R$2:$R$100, ISNUMBER(SEARCH(Validations!$R$2:$R$100, AO57))))"),"Feet")</f>
        <v>Feet</v>
      </c>
      <c r="AS57" s="27"/>
      <c r="AT57" s="12" t="str">
        <f>IFERROR(__xludf.DUMMYFUNCTION("IFERROR(TEXTJOIN("", "", TRUE, FILTER(Validations!$I$2:$I$100, ISNUMBER(SEARCH(Validations!$I$2:$I$100, AS57)))), """")"),"")</f>
        <v/>
      </c>
      <c r="AU57" s="16" t="str">
        <f t="array" ref="AU57">IFERROR(INDEX(Validations!$J$2:$J$100, MATCH(TRUE, ISNUMBER(SEARCH(Validations!$I$2:$I$100, AT57)), 0)), "")</f>
        <v/>
      </c>
      <c r="AV57" s="12" t="str">
        <f>IFERROR(__xludf.DUMMYFUNCTION("IFERROR(VALUE(REGEXEXTRACT(AS57, ""\d+"")), """")"),"")</f>
        <v/>
      </c>
      <c r="AW57" s="12" t="str">
        <f>IFERROR(__xludf.DUMMYFUNCTION("IFERROR(TEXTJOIN("", "", TRUE, FILTER(Validations!$Q$2:$Q$100, ISNUMBER(SEARCH(Validations!$Q$2:$Q$100, AS57)))), """")"),"")</f>
        <v/>
      </c>
      <c r="AX57" s="36" t="s">
        <v>135</v>
      </c>
      <c r="AY57" s="28" t="str">
        <f>IFERROR(__xludf.DUMMYFUNCTION("TEXTJOIN("", "", TRUE, FILTER(Validations!$Y$2:$Y$100, ISNUMBER(SEARCH(Validations!$X$2:$X$100, AX57))))"),"V, S, T")</f>
        <v>V, S, T</v>
      </c>
      <c r="AZ57" s="26"/>
      <c r="BA57" s="22" t="s">
        <v>317</v>
      </c>
      <c r="BB57" s="22"/>
      <c r="BC57" s="22"/>
      <c r="BD57" s="22"/>
      <c r="BE57" s="27"/>
      <c r="BF57" s="22"/>
      <c r="BG57" s="27"/>
      <c r="BH57" s="27"/>
      <c r="BI57" s="12" t="str">
        <f>IFERROR(__xludf.DUMMYFUNCTION("IFERROR(TEXTJOIN("", "", TRUE, FILTER(SRD!$A$2:$A$1000, EXACT(SRD!$A$2:$A$1000, J57))), """")"),"")</f>
        <v/>
      </c>
      <c r="BJ57" s="29"/>
      <c r="BK57" s="29"/>
    </row>
    <row r="58" ht="15.75" customHeight="1">
      <c r="A58" s="30" t="s">
        <v>318</v>
      </c>
      <c r="B58" s="22"/>
      <c r="C58" s="31"/>
      <c r="D58" s="31" t="s">
        <v>74</v>
      </c>
      <c r="E58" s="31"/>
      <c r="F58" s="32" t="s">
        <v>102</v>
      </c>
      <c r="G58" s="15" t="s">
        <v>64</v>
      </c>
      <c r="H58" s="31" t="s">
        <v>183</v>
      </c>
      <c r="I58" s="16" t="str">
        <f t="array" ref="I58">INDEX(Validations!$C$2:$C$100, MATCH(TRUE, ISNUMBER(SEARCH(Validations!$B$2:$B$100, H58)), 0))</f>
        <v>E</v>
      </c>
      <c r="J58" s="33" t="s">
        <v>319</v>
      </c>
      <c r="K58" s="34"/>
      <c r="L58" s="33"/>
      <c r="M58" s="33"/>
      <c r="N58" s="27"/>
      <c r="O58" s="33"/>
      <c r="P58" s="35"/>
      <c r="Q58" s="35"/>
      <c r="R58" s="22"/>
      <c r="S58" s="17" t="str">
        <f>IFERROR(__xludf.DUMMYFUNCTION("IFERROR(REGEXEXTRACT(J58, ""(\d{1,3}[dD]\d{1,3})""), """")"),"")</f>
        <v/>
      </c>
      <c r="T58" s="17" t="str">
        <f>IFERROR(__xludf.DUMMYFUNCTION("IF(COUNTIF(ARRAYFORMULA(LOWER(Validations!$O$2:$O$100)), LOWER(REGEXEXTRACT(J58, ""\d{1,3}[dD]\d{1,3}\s+(\w+)"")))&gt;0, REGEXEXTRACT(J58, ""\d{1,3}[dD]\d{1,3}\s+(\w+)""), """")"),"")</f>
        <v/>
      </c>
      <c r="U58" s="17" t="str">
        <f>IFERROR(__xludf.DUMMYFUNCTION("IF(COUNTIF(ARRAYFORMULA(LOWER(Validations!$P$2:$P$100)), LOWER(REGEXEXTRACT(J58, ""\d{1,3}[dD]\d{1,3}\s+(\w+)"")))&gt;0, REGEXEXTRACT(J58, ""\d{1,3}[dD]\d{1,3}\s+(\w+)""), """")"),"")</f>
        <v/>
      </c>
      <c r="V58" s="12" t="str">
        <f>IFERROR(__xludf.DUMMYFUNCTION("TEXTJOIN("", "", TRUE, FILTER(Validations!$L$2:$L$100, ISNUMBER(SEARCH(Validations!$L$2:$L$100, J58))))"),"")</f>
        <v/>
      </c>
      <c r="W58" s="12" t="str">
        <f>IFERROR(__xludf.DUMMYFUNCTION("IFERROR(TEXTJOIN("", "", TRUE, FILTER(Validations!$M$2:$M$100, ISNUMBER(SEARCH(Validations!$M$2:$M$100 &amp; "" saving throw"", J58)))), """")"),"")</f>
        <v/>
      </c>
      <c r="X58" s="12"/>
      <c r="Y58" s="12"/>
      <c r="Z58" s="12" t="str">
        <f>IFERROR(__xludf.DUMMYFUNCTION("IFERROR(TEXTJOIN("", "", TRUE, FILTER(Validations!$N$2:$N$100, ISNUMBER(SEARCH(Validations!$N$2:$N$100 &amp; "" check"", J58)))), """")"),"")</f>
        <v/>
      </c>
      <c r="AA58" s="12" t="str">
        <f>IFERROR(__xludf.DUMMYFUNCTION("IFERROR(TEXTJOIN("", "", TRUE, FILTER(Validations!$N$2:$N$100, ISNUMBER(SEARCH(Validations!$N$2:$N$100 &amp; "" check"", W58)))), """")"),"")</f>
        <v/>
      </c>
      <c r="AB58" s="23" t="str">
        <f>IFERROR(__xludf.DUMMYFUNCTION("IFERROR(CONCATENATE(IF(ISNUMBER(SEARCH(Validations!$M$2:$M$100 &amp; "" spell save"", J58)),""Spell Save"",""""), REGEXEXTRACT(J58, ""DC (\d+)"")), """")"),"")</f>
        <v/>
      </c>
      <c r="AC58" s="24" t="b">
        <v>0</v>
      </c>
      <c r="AD58" s="24" t="b">
        <v>0</v>
      </c>
      <c r="AE58" s="36" t="s">
        <v>208</v>
      </c>
      <c r="AF58" s="25">
        <f>IFERROR(__xludf.DUMMYFUNCTION("IFERROR(VALUE(REGEXEXTRACT(AE58, ""\d+"")), 1)"),1.0)</f>
        <v>1</v>
      </c>
      <c r="AG58" s="12" t="str">
        <f>IFERROR(__xludf.DUMMYFUNCTION("IF(
  ISNUMBER(SEARCH(""Bonus Action"", AE58)),
  ""Bonus Action"",
  IF(
    ISNUMBER(SEARCH(""Reaction"", AE58)),
    ""Reaction"",
    IF(
      ISNUMBER(SEARCH(""Action"", AE58)),
      ""Action"",
      TEXTJOIN("", "", TRUE, FILTER(Validations!$S$2:"&amp;"$S$100, ISNUMBER(SEARCH(Validations!$S$2:$S$100, AE58))))
    )
  )
)"),"Reaction")</f>
        <v>Reaction</v>
      </c>
      <c r="AH58" s="36" t="s">
        <v>320</v>
      </c>
      <c r="AI58" s="27" t="s">
        <v>70</v>
      </c>
      <c r="AJ58" s="26" t="str">
        <f>IFERROR(__xludf.DUMMYFUNCTION("TEXTJOIN("", "", TRUE, FILTER(Validations!$T$2:$T$100, ISNUMBER(SEARCH(Validations!$T$2:$T$100, AI58))))"),"Instantaneous")</f>
        <v>Instantaneous</v>
      </c>
      <c r="AK58" s="26" t="str">
        <f>IFERROR(__xludf.DUMMYFUNCTION("IFERROR(VALUE(REGEXEXTRACT(AI58, ""\d+"")), """")"),"")</f>
        <v/>
      </c>
      <c r="AL58" s="26" t="str">
        <f>IFERROR(__xludf.DUMMYFUNCTION("TEXTJOIN("", "", TRUE, FILTER(Validations!$U$2:$U$100, ISNUMBER(SEARCH(Validations!$U$2:$U$100, AI58))))"),"")</f>
        <v/>
      </c>
      <c r="AM58" s="24" t="b">
        <f t="shared" si="1"/>
        <v>0</v>
      </c>
      <c r="AN58" s="24" t="b">
        <v>0</v>
      </c>
      <c r="AO58" s="22" t="s">
        <v>112</v>
      </c>
      <c r="AP58" s="12" t="str">
        <f>IFERROR(__xludf.DUMMYFUNCTION("IF(TEXTJOIN("", "", TRUE, FILTER(Validations!$Q$2:$Q$100, ISNUMBER(SEARCH(Validations!$Q$2:$Q$100, AO58)))) = """", Validations!$Q$2, TEXTJOIN("", "", TRUE, FILTER(Validations!$Q$2:$Q$100, ISNUMBER(SEARCH(Validations!$Q$2:$Q$100, AO58)))))"),"Point")</f>
        <v>Point</v>
      </c>
      <c r="AQ58" s="12">
        <f>IFERROR(__xludf.DUMMYFUNCTION("IFERROR(VALUE(REGEXEXTRACT(AO58, ""\d+"")), """")"),30.0)</f>
        <v>30</v>
      </c>
      <c r="AR58" s="12" t="str">
        <f>IFERROR(__xludf.DUMMYFUNCTION("TEXTJOIN("", "", TRUE, FILTER(Validations!$R$2:$R$100, ISNUMBER(SEARCH(Validations!$R$2:$R$100, AO58))))"),"Feet")</f>
        <v>Feet</v>
      </c>
      <c r="AS58" s="27"/>
      <c r="AT58" s="12" t="str">
        <f>IFERROR(__xludf.DUMMYFUNCTION("IFERROR(TEXTJOIN("", "", TRUE, FILTER(Validations!$I$2:$I$100, ISNUMBER(SEARCH(Validations!$I$2:$I$100, AS58)))), """")"),"")</f>
        <v/>
      </c>
      <c r="AU58" s="16" t="str">
        <f t="array" ref="AU58">IFERROR(INDEX(Validations!$J$2:$J$100, MATCH(TRUE, ISNUMBER(SEARCH(Validations!$I$2:$I$100, AT58)), 0)), "")</f>
        <v/>
      </c>
      <c r="AV58" s="12" t="str">
        <f>IFERROR(__xludf.DUMMYFUNCTION("IFERROR(VALUE(REGEXEXTRACT(AS58, ""\d+"")), """")"),"")</f>
        <v/>
      </c>
      <c r="AW58" s="12" t="str">
        <f>IFERROR(__xludf.DUMMYFUNCTION("IFERROR(TEXTJOIN("", "", TRUE, FILTER(Validations!$Q$2:$Q$100, ISNUMBER(SEARCH(Validations!$Q$2:$Q$100, AS58)))), """")"),"")</f>
        <v/>
      </c>
      <c r="AX58" s="28" t="s">
        <v>248</v>
      </c>
      <c r="AY58" s="28" t="str">
        <f>IFERROR(__xludf.DUMMYFUNCTION("TEXTJOIN("", "", TRUE, FILTER(Validations!$Y$2:$Y$100, ISNUMBER(SEARCH(Validations!$X$2:$X$100, AX58))))"),"V")</f>
        <v>V</v>
      </c>
      <c r="AZ58" s="27"/>
      <c r="BA58" s="22"/>
      <c r="BB58" s="22"/>
      <c r="BC58" s="22"/>
      <c r="BD58" s="22"/>
      <c r="BE58" s="27"/>
      <c r="BF58" s="22"/>
      <c r="BG58" s="27"/>
      <c r="BH58" s="27"/>
      <c r="BI58" s="12" t="str">
        <f>IFERROR(__xludf.DUMMYFUNCTION("IFERROR(TEXTJOIN("", "", TRUE, FILTER(SRD!$A$2:$A$1000, EXACT(SRD!$A$2:$A$1000, J58))), """")"),"")</f>
        <v/>
      </c>
      <c r="BJ58" s="29"/>
      <c r="BK58" s="29"/>
    </row>
    <row r="59" ht="15.75" customHeight="1">
      <c r="A59" s="38" t="s">
        <v>321</v>
      </c>
      <c r="B59" s="12"/>
      <c r="C59" s="16"/>
      <c r="D59" s="16" t="s">
        <v>170</v>
      </c>
      <c r="E59" s="16"/>
      <c r="F59" s="40" t="s">
        <v>130</v>
      </c>
      <c r="G59" s="15" t="s">
        <v>64</v>
      </c>
      <c r="H59" s="31" t="s">
        <v>76</v>
      </c>
      <c r="I59" s="16" t="str">
        <f t="array" ref="I59">INDEX(Validations!$C$2:$C$100, MATCH(TRUE, ISNUMBER(SEARCH(Validations!$B$2:$B$100, H59)), 0))</f>
        <v>V</v>
      </c>
      <c r="J59" s="17" t="s">
        <v>322</v>
      </c>
      <c r="K59" s="34"/>
      <c r="L59" s="17"/>
      <c r="M59" s="33"/>
      <c r="N59" s="20" t="s">
        <v>323</v>
      </c>
      <c r="O59" s="17" t="s">
        <v>324</v>
      </c>
      <c r="P59" s="21"/>
      <c r="Q59" s="21"/>
      <c r="R59" s="22"/>
      <c r="S59" s="17" t="str">
        <f>IFERROR(__xludf.DUMMYFUNCTION("IFERROR(REGEXEXTRACT(J59, ""(\d{1,3}[dD]\d{1,3})""), """")"),"1d6")</f>
        <v>1d6</v>
      </c>
      <c r="T59" s="17" t="str">
        <f>IFERROR(__xludf.DUMMYFUNCTION("IF(COUNTIF(ARRAYFORMULA(LOWER(Validations!$O$2:$O$100)), LOWER(REGEXEXTRACT(J59, ""\d{1,3}[dD]\d{1,3}\s+(\w+)"")))&gt;0, REGEXEXTRACT(J59, ""\d{1,3}[dD]\d{1,3}\s+(\w+)""), """")"),"")</f>
        <v/>
      </c>
      <c r="U59" s="17" t="str">
        <f>IFERROR(__xludf.DUMMYFUNCTION("IF(COUNTIF(ARRAYFORMULA(LOWER(Validations!$P$2:$P$100)), LOWER(REGEXEXTRACT(J59, ""\d{1,3}[dD]\d{1,3}\s+(\w+)"")))&gt;0, REGEXEXTRACT(J59, ""\d{1,3}[dD]\d{1,3}\s+(\w+)""), """")"),"")</f>
        <v/>
      </c>
      <c r="V59" s="12" t="str">
        <f>IFERROR(__xludf.DUMMYFUNCTION("TEXTJOIN("", "", TRUE, FILTER(Validations!$L$2:$L$100, ISNUMBER(SEARCH(Validations!$L$2:$L$100, J59))))"),"")</f>
        <v/>
      </c>
      <c r="W59" s="12" t="str">
        <f>IFERROR(__xludf.DUMMYFUNCTION("IFERROR(TEXTJOIN("", "", TRUE, FILTER(Validations!$M$2:$M$100, ISNUMBER(SEARCH(Validations!$M$2:$M$100 &amp; "" saving throw"", J59)))), """")"),"Constitution")</f>
        <v>Constitution</v>
      </c>
      <c r="X59" s="12"/>
      <c r="Y59" s="12"/>
      <c r="Z59" s="12" t="str">
        <f>IFERROR(__xludf.DUMMYFUNCTION("IFERROR(TEXTJOIN("", "", TRUE, FILTER(Validations!$N$2:$N$100, ISNUMBER(SEARCH(Validations!$N$2:$N$100 &amp; "" check"", J59)))), """")"),"Perception")</f>
        <v>Perception</v>
      </c>
      <c r="AA59" s="12" t="str">
        <f>IFERROR(__xludf.DUMMYFUNCTION("IFERROR(TEXTJOIN("", "", TRUE, FILTER(Validations!$N$2:$N$100, ISNUMBER(SEARCH(Validations!$N$2:$N$100 &amp; "" check"", W59)))), """")"),"")</f>
        <v/>
      </c>
      <c r="AB59" s="23" t="str">
        <f>IFERROR(__xludf.DUMMYFUNCTION("IFERROR(CONCATENATE(IF(ISNUMBER(SEARCH(Validations!$M$2:$M$100 &amp; "" spell save"", J59)),""Spell Save"",""""), REGEXEXTRACT(J59, ""DC (\d+)"")), """")"),"")</f>
        <v/>
      </c>
      <c r="AC59" s="24" t="b">
        <v>0</v>
      </c>
      <c r="AD59" s="24" t="b">
        <v>0</v>
      </c>
      <c r="AE59" s="12" t="s">
        <v>69</v>
      </c>
      <c r="AF59" s="25">
        <f>IFERROR(__xludf.DUMMYFUNCTION("IFERROR(VALUE(REGEXEXTRACT(AE59, ""\d+"")), 1)"),1.0)</f>
        <v>1</v>
      </c>
      <c r="AG59" s="12" t="str">
        <f>IFERROR(__xludf.DUMMYFUNCTION("IF(
  ISNUMBER(SEARCH(""Bonus Action"", AE59)),
  ""Bonus Action"",
  IF(
    ISNUMBER(SEARCH(""Reaction"", AE59)),
    ""Reaction"",
    IF(
      ISNUMBER(SEARCH(""Action"", AE59)),
      ""Action"",
      TEXTJOIN("", "", TRUE, FILTER(Validations!$S$2:"&amp;"$S$100, ISNUMBER(SEARCH(Validations!$S$2:$S$100, AE59))))
    )
  )
)"),"Action")</f>
        <v>Action</v>
      </c>
      <c r="AH59" s="12"/>
      <c r="AI59" s="27" t="s">
        <v>70</v>
      </c>
      <c r="AJ59" s="26" t="str">
        <f>IFERROR(__xludf.DUMMYFUNCTION("TEXTJOIN("", "", TRUE, FILTER(Validations!$T$2:$T$100, ISNUMBER(SEARCH(Validations!$T$2:$T$100, AI59))))"),"Instantaneous")</f>
        <v>Instantaneous</v>
      </c>
      <c r="AK59" s="26" t="str">
        <f>IFERROR(__xludf.DUMMYFUNCTION("IFERROR(VALUE(REGEXEXTRACT(AI59, ""\d+"")), """")"),"")</f>
        <v/>
      </c>
      <c r="AL59" s="26" t="str">
        <f>IFERROR(__xludf.DUMMYFUNCTION("TEXTJOIN("", "", TRUE, FILTER(Validations!$U$2:$U$100, ISNUMBER(SEARCH(Validations!$U$2:$U$100, AI59))))"),"")</f>
        <v/>
      </c>
      <c r="AM59" s="24" t="b">
        <f t="shared" si="1"/>
        <v>0</v>
      </c>
      <c r="AN59" s="41" t="b">
        <v>0</v>
      </c>
      <c r="AO59" s="36" t="s">
        <v>325</v>
      </c>
      <c r="AP59" s="12" t="str">
        <f>IFERROR(__xludf.DUMMYFUNCTION("IF(TEXTJOIN("", "", TRUE, FILTER(Validations!$Q$2:$Q$100, ISNUMBER(SEARCH(Validations!$Q$2:$Q$100, AO59)))) = """", Validations!$Q$2, TEXTJOIN("", "", TRUE, FILTER(Validations!$Q$2:$Q$100, ISNUMBER(SEARCH(Validations!$Q$2:$Q$100, AO59)))))"),"Point")</f>
        <v>Point</v>
      </c>
      <c r="AQ59" s="12">
        <f>IFERROR(__xludf.DUMMYFUNCTION("IFERROR(VALUE(REGEXEXTRACT(AO59, ""\d+"")), """")"),15.0)</f>
        <v>15</v>
      </c>
      <c r="AR59" s="12" t="str">
        <f>IFERROR(__xludf.DUMMYFUNCTION("TEXTJOIN("", "", TRUE, FILTER(Validations!$R$2:$R$100, ISNUMBER(SEARCH(Validations!$R$2:$R$100, AO59))))"),"Feet")</f>
        <v>Feet</v>
      </c>
      <c r="AS59" s="27"/>
      <c r="AT59" s="12" t="str">
        <f>IFERROR(__xludf.DUMMYFUNCTION("IFERROR(TEXTJOIN("", "", TRUE, FILTER(Validations!$I$2:$I$100, ISNUMBER(SEARCH(Validations!$I$2:$I$100, AS59)))), """")"),"")</f>
        <v/>
      </c>
      <c r="AU59" s="16" t="str">
        <f t="array" ref="AU59">IFERROR(INDEX(Validations!$J$2:$J$100, MATCH(TRUE, ISNUMBER(SEARCH(Validations!$I$2:$I$100, AT59)), 0)), "")</f>
        <v/>
      </c>
      <c r="AV59" s="12" t="str">
        <f>IFERROR(__xludf.DUMMYFUNCTION("IFERROR(VALUE(REGEXEXTRACT(AS59, ""\d+"")), """")"),"")</f>
        <v/>
      </c>
      <c r="AW59" s="12" t="str">
        <f>IFERROR(__xludf.DUMMYFUNCTION("IFERROR(TEXTJOIN("", "", TRUE, FILTER(Validations!$Q$2:$Q$100, ISNUMBER(SEARCH(Validations!$Q$2:$Q$100, AS59)))), """")"),"")</f>
        <v/>
      </c>
      <c r="AX59" s="36" t="s">
        <v>135</v>
      </c>
      <c r="AY59" s="28" t="str">
        <f>IFERROR(__xludf.DUMMYFUNCTION("TEXTJOIN("", "", TRUE, FILTER(Validations!$Y$2:$Y$100, ISNUMBER(SEARCH(Validations!$X$2:$X$100, AX59))))"),"V, S, T")</f>
        <v>V, S, T</v>
      </c>
      <c r="AZ59" s="26"/>
      <c r="BA59" s="22" t="s">
        <v>326</v>
      </c>
      <c r="BB59" s="22"/>
      <c r="BC59" s="22"/>
      <c r="BD59" s="22"/>
      <c r="BE59" s="27"/>
      <c r="BF59" s="22"/>
      <c r="BG59" s="27"/>
      <c r="BH59" s="27"/>
      <c r="BI59" s="12" t="str">
        <f>IFERROR(__xludf.DUMMYFUNCTION("IFERROR(TEXTJOIN("", "", TRUE, FILTER(SRD!$A$2:$A$1000, EXACT(SRD!$A$2:$A$1000, J59))), """")"),"")</f>
        <v/>
      </c>
      <c r="BJ59" s="29"/>
      <c r="BK59" s="29"/>
    </row>
    <row r="60" ht="15.75" customHeight="1">
      <c r="A60" s="38" t="s">
        <v>327</v>
      </c>
      <c r="B60" s="12"/>
      <c r="C60" s="16"/>
      <c r="D60" s="16" t="s">
        <v>129</v>
      </c>
      <c r="E60" s="16"/>
      <c r="F60" s="40" t="s">
        <v>130</v>
      </c>
      <c r="G60" s="15" t="s">
        <v>64</v>
      </c>
      <c r="H60" s="31" t="s">
        <v>65</v>
      </c>
      <c r="I60" s="16" t="str">
        <f t="array" ref="I60">INDEX(Validations!$C$2:$C$100, MATCH(TRUE, ISNUMBER(SEARCH(Validations!$B$2:$B$100, H60)), 0))</f>
        <v>I</v>
      </c>
      <c r="J60" s="17" t="s">
        <v>328</v>
      </c>
      <c r="K60" s="34"/>
      <c r="L60" s="33"/>
      <c r="M60" s="33"/>
      <c r="N60" s="20" t="s">
        <v>329</v>
      </c>
      <c r="O60" s="17" t="s">
        <v>330</v>
      </c>
      <c r="P60" s="21"/>
      <c r="Q60" s="21"/>
      <c r="R60" s="22"/>
      <c r="S60" s="17" t="str">
        <f>IFERROR(__xludf.DUMMYFUNCTION("IFERROR(REGEXEXTRACT(J60, ""(\d{1,3}[dD]\d{1,3})""), """")"),"")</f>
        <v/>
      </c>
      <c r="T60" s="17" t="str">
        <f>IFERROR(__xludf.DUMMYFUNCTION("IF(COUNTIF(ARRAYFORMULA(LOWER(Validations!$O$2:$O$100)), LOWER(REGEXEXTRACT(J60, ""\d{1,3}[dD]\d{1,3}\s+(\w+)"")))&gt;0, REGEXEXTRACT(J60, ""\d{1,3}[dD]\d{1,3}\s+(\w+)""), """")"),"")</f>
        <v/>
      </c>
      <c r="U60" s="17" t="str">
        <f>IFERROR(__xludf.DUMMYFUNCTION("IF(COUNTIF(ARRAYFORMULA(LOWER(Validations!$P$2:$P$100)), LOWER(REGEXEXTRACT(J60, ""\d{1,3}[dD]\d{1,3}\s+(\w+)"")))&gt;0, REGEXEXTRACT(J60, ""\d{1,3}[dD]\d{1,3}\s+(\w+)""), """")"),"")</f>
        <v/>
      </c>
      <c r="V60" s="12" t="str">
        <f>IFERROR(__xludf.DUMMYFUNCTION("TEXTJOIN("", "", TRUE, FILTER(Validations!$L$2:$L$100, ISNUMBER(SEARCH(Validations!$L$2:$L$100, J60))))"),"")</f>
        <v/>
      </c>
      <c r="W60" s="12" t="str">
        <f>IFERROR(__xludf.DUMMYFUNCTION("IFERROR(TEXTJOIN("", "", TRUE, FILTER(Validations!$M$2:$M$100, ISNUMBER(SEARCH(Validations!$M$2:$M$100 &amp; "" saving throw"", J60)))), """")"),"")</f>
        <v/>
      </c>
      <c r="X60" s="12"/>
      <c r="Y60" s="12"/>
      <c r="Z60" s="12" t="str">
        <f>IFERROR(__xludf.DUMMYFUNCTION("IFERROR(TEXTJOIN("", "", TRUE, FILTER(Validations!$N$2:$N$100, ISNUMBER(SEARCH(Validations!$N$2:$N$100 &amp; "" check"", J60)))), """")"),"Stealth")</f>
        <v>Stealth</v>
      </c>
      <c r="AA60" s="12" t="str">
        <f>IFERROR(__xludf.DUMMYFUNCTION("IFERROR(TEXTJOIN("", "", TRUE, FILTER(Validations!$N$2:$N$100, ISNUMBER(SEARCH(Validations!$N$2:$N$100 &amp; "" check"", W60)))), """")"),"")</f>
        <v/>
      </c>
      <c r="AB60" s="23" t="str">
        <f>IFERROR(__xludf.DUMMYFUNCTION("IFERROR(CONCATENATE(IF(ISNUMBER(SEARCH(Validations!$M$2:$M$100 &amp; "" spell save"", J60)),""Spell Save"",""""), REGEXEXTRACT(J60, ""DC (\d+)"")), """")"),"")</f>
        <v/>
      </c>
      <c r="AC60" s="24" t="b">
        <v>0</v>
      </c>
      <c r="AD60" s="24" t="b">
        <v>0</v>
      </c>
      <c r="AE60" s="12" t="s">
        <v>69</v>
      </c>
      <c r="AF60" s="25">
        <f>IFERROR(__xludf.DUMMYFUNCTION("IFERROR(VALUE(REGEXEXTRACT(AE60, ""\d+"")), 1)"),1.0)</f>
        <v>1</v>
      </c>
      <c r="AG60" s="12" t="str">
        <f>IFERROR(__xludf.DUMMYFUNCTION("IF(
  ISNUMBER(SEARCH(""Bonus Action"", AE60)),
  ""Bonus Action"",
  IF(
    ISNUMBER(SEARCH(""Reaction"", AE60)),
    ""Reaction"",
    IF(
      ISNUMBER(SEARCH(""Action"", AE60)),
      ""Action"",
      TEXTJOIN("", "", TRUE, FILTER(Validations!$S$2:"&amp;"$S$100, ISNUMBER(SEARCH(Validations!$S$2:$S$100, AE60))))
    )
  )
)"),"Action")</f>
        <v>Action</v>
      </c>
      <c r="AH60" s="12"/>
      <c r="AI60" s="20" t="s">
        <v>92</v>
      </c>
      <c r="AJ60" s="26" t="str">
        <f>IFERROR(__xludf.DUMMYFUNCTION("TEXTJOIN("", "", TRUE, FILTER(Validations!$T$2:$T$100, ISNUMBER(SEARCH(Validations!$T$2:$T$100, AI60))))"),"")</f>
        <v/>
      </c>
      <c r="AK60" s="26">
        <f>IFERROR(__xludf.DUMMYFUNCTION("IFERROR(VALUE(REGEXEXTRACT(AI60, ""\d+"")), """")"),1.0)</f>
        <v>1</v>
      </c>
      <c r="AL60" s="26" t="str">
        <f>IFERROR(__xludf.DUMMYFUNCTION("TEXTJOIN("", "", TRUE, FILTER(Validations!$U$2:$U$100, ISNUMBER(SEARCH(Validations!$U$2:$U$100, AI60))))"),"Minutes")</f>
        <v>Minutes</v>
      </c>
      <c r="AM60" s="24" t="b">
        <f t="shared" si="1"/>
        <v>0</v>
      </c>
      <c r="AN60" s="41" t="b">
        <v>0</v>
      </c>
      <c r="AO60" s="22" t="s">
        <v>78</v>
      </c>
      <c r="AP60" s="12" t="str">
        <f>IFERROR(__xludf.DUMMYFUNCTION("IF(TEXTJOIN("", "", TRUE, FILTER(Validations!$Q$2:$Q$100, ISNUMBER(SEARCH(Validations!$Q$2:$Q$100, AO60)))) = """", Validations!$Q$2, TEXTJOIN("", "", TRUE, FILTER(Validations!$Q$2:$Q$100, ISNUMBER(SEARCH(Validations!$Q$2:$Q$100, AO60)))))"),"Point")</f>
        <v>Point</v>
      </c>
      <c r="AQ60" s="12" t="str">
        <f>IFERROR(__xludf.DUMMYFUNCTION("IFERROR(VALUE(REGEXEXTRACT(AO60, ""\d+"")), """")"),"")</f>
        <v/>
      </c>
      <c r="AR60" s="12" t="str">
        <f>IFERROR(__xludf.DUMMYFUNCTION("TEXTJOIN("", "", TRUE, FILTER(Validations!$R$2:$R$100, ISNUMBER(SEARCH(Validations!$R$2:$R$100, AO60))))"),"Self")</f>
        <v>Self</v>
      </c>
      <c r="AS60" s="27"/>
      <c r="AT60" s="12" t="str">
        <f>IFERROR(__xludf.DUMMYFUNCTION("IFERROR(TEXTJOIN("", "", TRUE, FILTER(Validations!$I$2:$I$100, ISNUMBER(SEARCH(Validations!$I$2:$I$100, AS60)))), """")"),"")</f>
        <v/>
      </c>
      <c r="AU60" s="16" t="str">
        <f t="array" ref="AU60">IFERROR(INDEX(Validations!$J$2:$J$100, MATCH(TRUE, ISNUMBER(SEARCH(Validations!$I$2:$I$100, AT60)), 0)), "")</f>
        <v/>
      </c>
      <c r="AV60" s="12" t="str">
        <f>IFERROR(__xludf.DUMMYFUNCTION("IFERROR(VALUE(REGEXEXTRACT(AS60, ""\d+"")), """")"),"")</f>
        <v/>
      </c>
      <c r="AW60" s="12" t="str">
        <f>IFERROR(__xludf.DUMMYFUNCTION("IFERROR(TEXTJOIN("", "", TRUE, FILTER(Validations!$Q$2:$Q$100, ISNUMBER(SEARCH(Validations!$Q$2:$Q$100, AS60)))), """")"),"")</f>
        <v/>
      </c>
      <c r="AX60" s="36" t="s">
        <v>135</v>
      </c>
      <c r="AY60" s="28" t="str">
        <f>IFERROR(__xludf.DUMMYFUNCTION("TEXTJOIN("", "", TRUE, FILTER(Validations!$Y$2:$Y$100, ISNUMBER(SEARCH(Validations!$X$2:$X$100, AX60))))"),"V, S, T")</f>
        <v>V, S, T</v>
      </c>
      <c r="AZ60" s="26"/>
      <c r="BA60" s="22" t="s">
        <v>331</v>
      </c>
      <c r="BB60" s="22"/>
      <c r="BC60" s="22"/>
      <c r="BD60" s="22"/>
      <c r="BE60" s="27"/>
      <c r="BF60" s="22"/>
      <c r="BG60" s="27"/>
      <c r="BH60" s="27"/>
      <c r="BI60" s="12" t="str">
        <f>IFERROR(__xludf.DUMMYFUNCTION("IFERROR(TEXTJOIN("", "", TRUE, FILTER(SRD!$A$2:$A$1000, EXACT(SRD!$A$2:$A$1000, J60))), """")"),"")</f>
        <v/>
      </c>
      <c r="BJ60" s="29"/>
      <c r="BK60" s="29"/>
    </row>
    <row r="61" ht="15.75" customHeight="1">
      <c r="A61" s="38" t="s">
        <v>332</v>
      </c>
      <c r="B61" s="12"/>
      <c r="C61" s="16"/>
      <c r="D61" s="16" t="s">
        <v>229</v>
      </c>
      <c r="E61" s="16"/>
      <c r="F61" s="40" t="s">
        <v>130</v>
      </c>
      <c r="G61" s="15" t="s">
        <v>64</v>
      </c>
      <c r="H61" s="31" t="s">
        <v>103</v>
      </c>
      <c r="I61" s="16" t="str">
        <f t="array" ref="I61">INDEX(Validations!$C$2:$C$100, MATCH(TRUE, ISNUMBER(SEARCH(Validations!$B$2:$B$100, H61)), 0))</f>
        <v>C</v>
      </c>
      <c r="J61" s="17" t="s">
        <v>333</v>
      </c>
      <c r="K61" s="34"/>
      <c r="L61" s="17"/>
      <c r="M61" s="33"/>
      <c r="N61" s="20" t="s">
        <v>334</v>
      </c>
      <c r="O61" s="17" t="s">
        <v>335</v>
      </c>
      <c r="P61" s="21"/>
      <c r="Q61" s="21"/>
      <c r="R61" s="22"/>
      <c r="S61" s="17" t="str">
        <f>IFERROR(__xludf.DUMMYFUNCTION("IFERROR(REGEXEXTRACT(J61, ""(\d{1,3}[dD]\d{1,3})""), """")"),"")</f>
        <v/>
      </c>
      <c r="T61" s="17" t="str">
        <f>IFERROR(__xludf.DUMMYFUNCTION("IF(COUNTIF(ARRAYFORMULA(LOWER(Validations!$O$2:$O$100)), LOWER(REGEXEXTRACT(J61, ""\d{1,3}[dD]\d{1,3}\s+(\w+)"")))&gt;0, REGEXEXTRACT(J61, ""\d{1,3}[dD]\d{1,3}\s+(\w+)""), """")"),"")</f>
        <v/>
      </c>
      <c r="U61" s="17" t="str">
        <f>IFERROR(__xludf.DUMMYFUNCTION("IF(COUNTIF(ARRAYFORMULA(LOWER(Validations!$P$2:$P$100)), LOWER(REGEXEXTRACT(J61, ""\d{1,3}[dD]\d{1,3}\s+(\w+)"")))&gt;0, REGEXEXTRACT(J61, ""\d{1,3}[dD]\d{1,3}\s+(\w+)""), """")"),"")</f>
        <v/>
      </c>
      <c r="V61" s="12" t="str">
        <f>IFERROR(__xludf.DUMMYFUNCTION("TEXTJOIN("", "", TRUE, FILTER(Validations!$L$2:$L$100, ISNUMBER(SEARCH(Validations!$L$2:$L$100, J61))))"),"")</f>
        <v/>
      </c>
      <c r="W61" s="12" t="str">
        <f>IFERROR(__xludf.DUMMYFUNCTION("IFERROR(TEXTJOIN("", "", TRUE, FILTER(Validations!$M$2:$M$100, ISNUMBER(SEARCH(Validations!$M$2:$M$100 &amp; "" saving throw"", J61)))), """")"),"")</f>
        <v/>
      </c>
      <c r="X61" s="12"/>
      <c r="Y61" s="12"/>
      <c r="Z61" s="12" t="str">
        <f>IFERROR(__xludf.DUMMYFUNCTION("IFERROR(TEXTJOIN("", "", TRUE, FILTER(Validations!$N$2:$N$100, ISNUMBER(SEARCH(Validations!$N$2:$N$100 &amp; "" check"", J61)))), """")"),"")</f>
        <v/>
      </c>
      <c r="AA61" s="12" t="str">
        <f>IFERROR(__xludf.DUMMYFUNCTION("IFERROR(TEXTJOIN("", "", TRUE, FILTER(Validations!$N$2:$N$100, ISNUMBER(SEARCH(Validations!$N$2:$N$100 &amp; "" check"", W61)))), """")"),"")</f>
        <v/>
      </c>
      <c r="AB61" s="23" t="str">
        <f>IFERROR(__xludf.DUMMYFUNCTION("IFERROR(CONCATENATE(IF(ISNUMBER(SEARCH(Validations!$M$2:$M$100 &amp; "" spell save"", J61)),""Spell Save"",""""), REGEXEXTRACT(J61, ""DC (\d+)"")), """")"),"")</f>
        <v/>
      </c>
      <c r="AC61" s="24" t="b">
        <v>0</v>
      </c>
      <c r="AD61" s="24" t="b">
        <v>0</v>
      </c>
      <c r="AE61" s="12" t="s">
        <v>69</v>
      </c>
      <c r="AF61" s="25">
        <f>IFERROR(__xludf.DUMMYFUNCTION("IFERROR(VALUE(REGEXEXTRACT(AE61, ""\d+"")), 1)"),1.0)</f>
        <v>1</v>
      </c>
      <c r="AG61" s="12" t="str">
        <f>IFERROR(__xludf.DUMMYFUNCTION("IF(
  ISNUMBER(SEARCH(""Bonus Action"", AE61)),
  ""Bonus Action"",
  IF(
    ISNUMBER(SEARCH(""Reaction"", AE61)),
    ""Reaction"",
    IF(
      ISNUMBER(SEARCH(""Action"", AE61)),
      ""Action"",
      TEXTJOIN("", "", TRUE, FILTER(Validations!$S$2:"&amp;"$S$100, ISNUMBER(SEARCH(Validations!$S$2:$S$100, AE61))))
    )
  )
)"),"Action")</f>
        <v>Action</v>
      </c>
      <c r="AH61" s="12"/>
      <c r="AI61" s="20" t="s">
        <v>87</v>
      </c>
      <c r="AJ61" s="26" t="str">
        <f>IFERROR(__xludf.DUMMYFUNCTION("TEXTJOIN("", "", TRUE, FILTER(Validations!$T$2:$T$100, ISNUMBER(SEARCH(Validations!$T$2:$T$100, AI61))))"),"")</f>
        <v/>
      </c>
      <c r="AK61" s="26">
        <f>IFERROR(__xludf.DUMMYFUNCTION("IFERROR(VALUE(REGEXEXTRACT(AI61, ""\d+"")), """")"),1.0)</f>
        <v>1</v>
      </c>
      <c r="AL61" s="26" t="str">
        <f>IFERROR(__xludf.DUMMYFUNCTION("TEXTJOIN("", "", TRUE, FILTER(Validations!$U$2:$U$100, ISNUMBER(SEARCH(Validations!$U$2:$U$100, AI61))))"),"Rounds")</f>
        <v>Rounds</v>
      </c>
      <c r="AM61" s="24" t="b">
        <f t="shared" si="1"/>
        <v>0</v>
      </c>
      <c r="AN61" s="41" t="b">
        <v>0</v>
      </c>
      <c r="AO61" s="22" t="s">
        <v>78</v>
      </c>
      <c r="AP61" s="12" t="str">
        <f>IFERROR(__xludf.DUMMYFUNCTION("IF(TEXTJOIN("", "", TRUE, FILTER(Validations!$Q$2:$Q$100, ISNUMBER(SEARCH(Validations!$Q$2:$Q$100, AO61)))) = """", Validations!$Q$2, TEXTJOIN("", "", TRUE, FILTER(Validations!$Q$2:$Q$100, ISNUMBER(SEARCH(Validations!$Q$2:$Q$100, AO61)))))"),"Point")</f>
        <v>Point</v>
      </c>
      <c r="AQ61" s="12" t="str">
        <f>IFERROR(__xludf.DUMMYFUNCTION("IFERROR(VALUE(REGEXEXTRACT(AO61, ""\d+"")), """")"),"")</f>
        <v/>
      </c>
      <c r="AR61" s="12" t="str">
        <f>IFERROR(__xludf.DUMMYFUNCTION("TEXTJOIN("", "", TRUE, FILTER(Validations!$R$2:$R$100, ISNUMBER(SEARCH(Validations!$R$2:$R$100, AO61))))"),"Self")</f>
        <v>Self</v>
      </c>
      <c r="AS61" s="27"/>
      <c r="AT61" s="12" t="str">
        <f>IFERROR(__xludf.DUMMYFUNCTION("IFERROR(TEXTJOIN("", "", TRUE, FILTER(Validations!$I$2:$I$100, ISNUMBER(SEARCH(Validations!$I$2:$I$100, AS61)))), """")"),"")</f>
        <v/>
      </c>
      <c r="AU61" s="16" t="str">
        <f t="array" ref="AU61">IFERROR(INDEX(Validations!$J$2:$J$100, MATCH(TRUE, ISNUMBER(SEARCH(Validations!$I$2:$I$100, AT61)), 0)), "")</f>
        <v/>
      </c>
      <c r="AV61" s="12" t="str">
        <f>IFERROR(__xludf.DUMMYFUNCTION("IFERROR(VALUE(REGEXEXTRACT(AS61, ""\d+"")), """")"),"")</f>
        <v/>
      </c>
      <c r="AW61" s="12" t="str">
        <f>IFERROR(__xludf.DUMMYFUNCTION("IFERROR(TEXTJOIN("", "", TRUE, FILTER(Validations!$Q$2:$Q$100, ISNUMBER(SEARCH(Validations!$Q$2:$Q$100, AS61)))), """")"),"")</f>
        <v/>
      </c>
      <c r="AX61" s="36" t="s">
        <v>135</v>
      </c>
      <c r="AY61" s="28" t="str">
        <f>IFERROR(__xludf.DUMMYFUNCTION("TEXTJOIN("", "", TRUE, FILTER(Validations!$Y$2:$Y$100, ISNUMBER(SEARCH(Validations!$X$2:$X$100, AX61))))"),"V, S, T")</f>
        <v>V, S, T</v>
      </c>
      <c r="AZ61" s="27"/>
      <c r="BA61" s="22" t="s">
        <v>336</v>
      </c>
      <c r="BB61" s="22"/>
      <c r="BC61" s="22"/>
      <c r="BD61" s="22"/>
      <c r="BE61" s="27"/>
      <c r="BF61" s="22"/>
      <c r="BG61" s="27"/>
      <c r="BH61" s="27"/>
      <c r="BI61" s="12" t="str">
        <f>IFERROR(__xludf.DUMMYFUNCTION("IFERROR(TEXTJOIN("", "", TRUE, FILTER(SRD!$A$2:$A$1000, EXACT(SRD!$A$2:$A$1000, J61))), """")"),"")</f>
        <v/>
      </c>
      <c r="BJ61" s="29"/>
      <c r="BK61" s="29"/>
    </row>
    <row r="62" ht="15.75" customHeight="1">
      <c r="A62" s="30" t="s">
        <v>337</v>
      </c>
      <c r="B62" s="22"/>
      <c r="C62" s="31"/>
      <c r="D62" s="31" t="s">
        <v>74</v>
      </c>
      <c r="E62" s="31"/>
      <c r="F62" s="32" t="s">
        <v>241</v>
      </c>
      <c r="G62" s="15" t="s">
        <v>64</v>
      </c>
      <c r="H62" s="16" t="s">
        <v>140</v>
      </c>
      <c r="I62" s="16" t="str">
        <f t="array" ref="I62">INDEX(Validations!$C$2:$C$100, MATCH(TRUE, ISNUMBER(SEARCH(Validations!$B$2:$B$100, H62)), 0))</f>
        <v>N</v>
      </c>
      <c r="J62" s="33" t="s">
        <v>338</v>
      </c>
      <c r="K62" s="34"/>
      <c r="L62" s="33"/>
      <c r="M62" s="33"/>
      <c r="N62" s="27"/>
      <c r="O62" s="33"/>
      <c r="P62" s="35"/>
      <c r="Q62" s="35"/>
      <c r="R62" s="22"/>
      <c r="S62" s="17" t="str">
        <f>IFERROR(__xludf.DUMMYFUNCTION("IFERROR(REGEXEXTRACT(J62, ""(\d{1,3}[dD]\d{1,3})""), """")"),"")</f>
        <v/>
      </c>
      <c r="T62" s="17" t="str">
        <f>IFERROR(__xludf.DUMMYFUNCTION("IF(COUNTIF(ARRAYFORMULA(LOWER(Validations!$O$2:$O$100)), LOWER(REGEXEXTRACT(J62, ""\d{1,3}[dD]\d{1,3}\s+(\w+)"")))&gt;0, REGEXEXTRACT(J62, ""\d{1,3}[dD]\d{1,3}\s+(\w+)""), """")"),"")</f>
        <v/>
      </c>
      <c r="U62" s="17" t="str">
        <f>IFERROR(__xludf.DUMMYFUNCTION("IF(COUNTIF(ARRAYFORMULA(LOWER(Validations!$P$2:$P$100)), LOWER(REGEXEXTRACT(J62, ""\d{1,3}[dD]\d{1,3}\s+(\w+)"")))&gt;0, REGEXEXTRACT(J62, ""\d{1,3}[dD]\d{1,3}\s+(\w+)""), """")"),"")</f>
        <v/>
      </c>
      <c r="V62" s="12" t="str">
        <f>IFERROR(__xludf.DUMMYFUNCTION("TEXTJOIN("", "", TRUE, FILTER(Validations!$L$2:$L$100, ISNUMBER(SEARCH(Validations!$L$2:$L$100, J62))))"),"")</f>
        <v/>
      </c>
      <c r="W62" s="12" t="str">
        <f>IFERROR(__xludf.DUMMYFUNCTION("IFERROR(TEXTJOIN("", "", TRUE, FILTER(Validations!$M$2:$M$100, ISNUMBER(SEARCH(Validations!$M$2:$M$100 &amp; "" saving throw"", J62)))), """")"),"")</f>
        <v/>
      </c>
      <c r="X62" s="12"/>
      <c r="Y62" s="12"/>
      <c r="Z62" s="12" t="str">
        <f>IFERROR(__xludf.DUMMYFUNCTION("IFERROR(TEXTJOIN("", "", TRUE, FILTER(Validations!$N$2:$N$100, ISNUMBER(SEARCH(Validations!$N$2:$N$100 &amp; "" check"", J62)))), """")"),"")</f>
        <v/>
      </c>
      <c r="AA62" s="12" t="str">
        <f>IFERROR(__xludf.DUMMYFUNCTION("IFERROR(TEXTJOIN("", "", TRUE, FILTER(Validations!$N$2:$N$100, ISNUMBER(SEARCH(Validations!$N$2:$N$100 &amp; "" check"", W62)))), """")"),"")</f>
        <v/>
      </c>
      <c r="AB62" s="23" t="str">
        <f>IFERROR(__xludf.DUMMYFUNCTION("IFERROR(CONCATENATE(IF(ISNUMBER(SEARCH(Validations!$M$2:$M$100 &amp; "" spell save"", J62)),""Spell Save"",""""), REGEXEXTRACT(J62, ""DC (\d+)"")), """")"),"")</f>
        <v/>
      </c>
      <c r="AC62" s="24" t="b">
        <v>0</v>
      </c>
      <c r="AD62" s="24" t="b">
        <v>0</v>
      </c>
      <c r="AE62" s="36" t="s">
        <v>69</v>
      </c>
      <c r="AF62" s="25">
        <f>IFERROR(__xludf.DUMMYFUNCTION("IFERROR(VALUE(REGEXEXTRACT(AE62, ""\d+"")), 1)"),1.0)</f>
        <v>1</v>
      </c>
      <c r="AG62" s="12" t="str">
        <f>IFERROR(__xludf.DUMMYFUNCTION("IF(
  ISNUMBER(SEARCH(""Bonus Action"", AE62)),
  ""Bonus Action"",
  IF(
    ISNUMBER(SEARCH(""Reaction"", AE62)),
    ""Reaction"",
    IF(
      ISNUMBER(SEARCH(""Action"", AE62)),
      ""Action"",
      TEXTJOIN("", "", TRUE, FILTER(Validations!$S$2:"&amp;"$S$100, ISNUMBER(SEARCH(Validations!$S$2:$S$100, AE62))))
    )
  )
)"),"Action")</f>
        <v>Action</v>
      </c>
      <c r="AH62" s="36"/>
      <c r="AI62" s="20" t="s">
        <v>134</v>
      </c>
      <c r="AJ62" s="26" t="str">
        <f>IFERROR(__xludf.DUMMYFUNCTION("TEXTJOIN("", "", TRUE, FILTER(Validations!$T$2:$T$100, ISNUMBER(SEARCH(Validations!$T$2:$T$100, AI62))))"),"")</f>
        <v/>
      </c>
      <c r="AK62" s="26">
        <f>IFERROR(__xludf.DUMMYFUNCTION("IFERROR(VALUE(REGEXEXTRACT(AI62, ""\d+"")), """")"),10.0)</f>
        <v>10</v>
      </c>
      <c r="AL62" s="26" t="str">
        <f>IFERROR(__xludf.DUMMYFUNCTION("TEXTJOIN("", "", TRUE, FILTER(Validations!$U$2:$U$100, ISNUMBER(SEARCH(Validations!$U$2:$U$100, AI62))))"),"Minutes")</f>
        <v>Minutes</v>
      </c>
      <c r="AM62" s="24" t="b">
        <f t="shared" si="1"/>
        <v>0</v>
      </c>
      <c r="AN62" s="24" t="b">
        <v>0</v>
      </c>
      <c r="AO62" s="22" t="s">
        <v>78</v>
      </c>
      <c r="AP62" s="12" t="str">
        <f>IFERROR(__xludf.DUMMYFUNCTION("IF(TEXTJOIN("", "", TRUE, FILTER(Validations!$Q$2:$Q$100, ISNUMBER(SEARCH(Validations!$Q$2:$Q$100, AO62)))) = """", Validations!$Q$2, TEXTJOIN("", "", TRUE, FILTER(Validations!$Q$2:$Q$100, ISNUMBER(SEARCH(Validations!$Q$2:$Q$100, AO62)))))"),"Point")</f>
        <v>Point</v>
      </c>
      <c r="AQ62" s="12" t="str">
        <f>IFERROR(__xludf.DUMMYFUNCTION("IFERROR(VALUE(REGEXEXTRACT(AO62, ""\d+"")), """")"),"")</f>
        <v/>
      </c>
      <c r="AR62" s="12" t="str">
        <f>IFERROR(__xludf.DUMMYFUNCTION("TEXTJOIN("", "", TRUE, FILTER(Validations!$R$2:$R$100, ISNUMBER(SEARCH(Validations!$R$2:$R$100, AO62))))"),"Self")</f>
        <v>Self</v>
      </c>
      <c r="AS62" s="27"/>
      <c r="AT62" s="12" t="str">
        <f>IFERROR(__xludf.DUMMYFUNCTION("IFERROR(TEXTJOIN("", "", TRUE, FILTER(Validations!$I$2:$I$100, ISNUMBER(SEARCH(Validations!$I$2:$I$100, AS62)))), """")"),"")</f>
        <v/>
      </c>
      <c r="AU62" s="16" t="str">
        <f t="array" ref="AU62">IFERROR(INDEX(Validations!$J$2:$J$100, MATCH(TRUE, ISNUMBER(SEARCH(Validations!$I$2:$I$100, AT62)), 0)), "")</f>
        <v/>
      </c>
      <c r="AV62" s="12" t="str">
        <f>IFERROR(__xludf.DUMMYFUNCTION("IFERROR(VALUE(REGEXEXTRACT(AS62, ""\d+"")), """")"),"")</f>
        <v/>
      </c>
      <c r="AW62" s="12" t="str">
        <f>IFERROR(__xludf.DUMMYFUNCTION("IFERROR(TEXTJOIN("", "", TRUE, FILTER(Validations!$Q$2:$Q$100, ISNUMBER(SEARCH(Validations!$Q$2:$Q$100, AS62)))), """")"),"")</f>
        <v/>
      </c>
      <c r="AX62" s="28" t="s">
        <v>80</v>
      </c>
      <c r="AY62" s="28" t="str">
        <f>IFERROR(__xludf.DUMMYFUNCTION("TEXTJOIN("", "", TRUE, FILTER(Validations!$Y$2:$Y$100, ISNUMBER(SEARCH(Validations!$X$2:$X$100, AX62))))"),"S, R")</f>
        <v>S, R</v>
      </c>
      <c r="AZ62" s="20" t="s">
        <v>339</v>
      </c>
      <c r="BA62" s="22"/>
      <c r="BB62" s="22"/>
      <c r="BC62" s="22"/>
      <c r="BD62" s="22"/>
      <c r="BE62" s="27"/>
      <c r="BF62" s="22"/>
      <c r="BG62" s="27"/>
      <c r="BH62" s="27"/>
      <c r="BI62" s="12" t="str">
        <f>IFERROR(__xludf.DUMMYFUNCTION("IFERROR(TEXTJOIN("", "", TRUE, FILTER(SRD!$A$2:$A$1000, EXACT(SRD!$A$2:$A$1000, J62))), """")"),"")</f>
        <v/>
      </c>
      <c r="BJ62" s="29"/>
      <c r="BK62" s="29"/>
    </row>
    <row r="63" ht="15.75" customHeight="1">
      <c r="A63" s="30" t="s">
        <v>340</v>
      </c>
      <c r="B63" s="22"/>
      <c r="C63" s="31"/>
      <c r="D63" s="31" t="s">
        <v>74</v>
      </c>
      <c r="E63" s="31"/>
      <c r="F63" s="32" t="s">
        <v>139</v>
      </c>
      <c r="G63" s="15" t="s">
        <v>64</v>
      </c>
      <c r="H63" s="16" t="s">
        <v>65</v>
      </c>
      <c r="I63" s="16" t="str">
        <f t="array" ref="I63">INDEX(Validations!$C$2:$C$100, MATCH(TRUE, ISNUMBER(SEARCH(Validations!$B$2:$B$100, H63)), 0))</f>
        <v>I</v>
      </c>
      <c r="J63" s="17" t="s">
        <v>341</v>
      </c>
      <c r="K63" s="34"/>
      <c r="L63" s="33"/>
      <c r="M63" s="33"/>
      <c r="N63" s="27"/>
      <c r="O63" s="17" t="s">
        <v>342</v>
      </c>
      <c r="P63" s="21"/>
      <c r="Q63" s="21"/>
      <c r="R63" s="22"/>
      <c r="S63" s="17" t="str">
        <f>IFERROR(__xludf.DUMMYFUNCTION("IFERROR(REGEXEXTRACT(J63, ""(\d{1,3}[dD]\d{1,3})""), """")"),"")</f>
        <v/>
      </c>
      <c r="T63" s="17" t="str">
        <f>IFERROR(__xludf.DUMMYFUNCTION("IF(COUNTIF(ARRAYFORMULA(LOWER(Validations!$O$2:$O$100)), LOWER(REGEXEXTRACT(J63, ""\d{1,3}[dD]\d{1,3}\s+(\w+)"")))&gt;0, REGEXEXTRACT(J63, ""\d{1,3}[dD]\d{1,3}\s+(\w+)""), """")"),"")</f>
        <v/>
      </c>
      <c r="U63" s="17" t="str">
        <f>IFERROR(__xludf.DUMMYFUNCTION("IF(COUNTIF(ARRAYFORMULA(LOWER(Validations!$P$2:$P$100)), LOWER(REGEXEXTRACT(J63, ""\d{1,3}[dD]\d{1,3}\s+(\w+)"")))&gt;0, REGEXEXTRACT(J63, ""\d{1,3}[dD]\d{1,3}\s+(\w+)""), """")"),"")</f>
        <v/>
      </c>
      <c r="V63" s="12" t="str">
        <f>IFERROR(__xludf.DUMMYFUNCTION("TEXTJOIN("", "", TRUE, FILTER(Validations!$L$2:$L$100, ISNUMBER(SEARCH(Validations!$L$2:$L$100, J63))))"),"Invisible")</f>
        <v>Invisible</v>
      </c>
      <c r="W63" s="12" t="str">
        <f>IFERROR(__xludf.DUMMYFUNCTION("IFERROR(TEXTJOIN("", "", TRUE, FILTER(Validations!$M$2:$M$100, ISNUMBER(SEARCH(Validations!$M$2:$M$100 &amp; "" saving throw"", J63)))), """")"),"")</f>
        <v/>
      </c>
      <c r="X63" s="12"/>
      <c r="Y63" s="12"/>
      <c r="Z63" s="12" t="str">
        <f>IFERROR(__xludf.DUMMYFUNCTION("IFERROR(TEXTJOIN("", "", TRUE, FILTER(Validations!$N$2:$N$100, ISNUMBER(SEARCH(Validations!$N$2:$N$100 &amp; "" check"", J63)))), """")"),"")</f>
        <v/>
      </c>
      <c r="AA63" s="12" t="str">
        <f>IFERROR(__xludf.DUMMYFUNCTION("IFERROR(TEXTJOIN("", "", TRUE, FILTER(Validations!$N$2:$N$100, ISNUMBER(SEARCH(Validations!$N$2:$N$100 &amp; "" check"", W63)))), """")"),"")</f>
        <v/>
      </c>
      <c r="AB63" s="23" t="str">
        <f>IFERROR(__xludf.DUMMYFUNCTION("IFERROR(CONCATENATE(IF(ISNUMBER(SEARCH(Validations!$M$2:$M$100 &amp; "" spell save"", J63)),""Spell Save"",""""), REGEXEXTRACT(J63, ""DC (\d+)"")), """")"),"")</f>
        <v/>
      </c>
      <c r="AC63" s="24" t="b">
        <v>0</v>
      </c>
      <c r="AD63" s="24" t="b">
        <v>0</v>
      </c>
      <c r="AE63" s="36" t="s">
        <v>69</v>
      </c>
      <c r="AF63" s="25">
        <f>IFERROR(__xludf.DUMMYFUNCTION("IFERROR(VALUE(REGEXEXTRACT(AE63, ""\d+"")), 1)"),1.0)</f>
        <v>1</v>
      </c>
      <c r="AG63" s="12" t="str">
        <f>IFERROR(__xludf.DUMMYFUNCTION("IF(
  ISNUMBER(SEARCH(""Bonus Action"", AE63)),
  ""Bonus Action"",
  IF(
    ISNUMBER(SEARCH(""Reaction"", AE63)),
    ""Reaction"",
    IF(
      ISNUMBER(SEARCH(""Action"", AE63)),
      ""Action"",
      TEXTJOIN("", "", TRUE, FILTER(Validations!$S$2:"&amp;"$S$100, ISNUMBER(SEARCH(Validations!$S$2:$S$100, AE63))))
    )
  )
)"),"Action")</f>
        <v>Action</v>
      </c>
      <c r="AH63" s="36"/>
      <c r="AI63" s="20" t="s">
        <v>134</v>
      </c>
      <c r="AJ63" s="26" t="str">
        <f>IFERROR(__xludf.DUMMYFUNCTION("TEXTJOIN("", "", TRUE, FILTER(Validations!$T$2:$T$100, ISNUMBER(SEARCH(Validations!$T$2:$T$100, AI63))))"),"")</f>
        <v/>
      </c>
      <c r="AK63" s="26">
        <f>IFERROR(__xludf.DUMMYFUNCTION("IFERROR(VALUE(REGEXEXTRACT(AI63, ""\d+"")), """")"),10.0)</f>
        <v>10</v>
      </c>
      <c r="AL63" s="26" t="str">
        <f>IFERROR(__xludf.DUMMYFUNCTION("TEXTJOIN("", "", TRUE, FILTER(Validations!$U$2:$U$100, ISNUMBER(SEARCH(Validations!$U$2:$U$100, AI63))))"),"Minutes")</f>
        <v>Minutes</v>
      </c>
      <c r="AM63" s="24" t="b">
        <f t="shared" si="1"/>
        <v>0</v>
      </c>
      <c r="AN63" s="24" t="b">
        <v>0</v>
      </c>
      <c r="AO63" s="22" t="s">
        <v>71</v>
      </c>
      <c r="AP63" s="12" t="str">
        <f>IFERROR(__xludf.DUMMYFUNCTION("IF(TEXTJOIN("", "", TRUE, FILTER(Validations!$Q$2:$Q$100, ISNUMBER(SEARCH(Validations!$Q$2:$Q$100, AO63)))) = """", Validations!$Q$2, TEXTJOIN("", "", TRUE, FILTER(Validations!$Q$2:$Q$100, ISNUMBER(SEARCH(Validations!$Q$2:$Q$100, AO63)))))"),"Point")</f>
        <v>Point</v>
      </c>
      <c r="AQ63" s="12" t="str">
        <f>IFERROR(__xludf.DUMMYFUNCTION("IFERROR(VALUE(REGEXEXTRACT(AO63, ""\d+"")), """")"),"")</f>
        <v/>
      </c>
      <c r="AR63" s="12" t="str">
        <f>IFERROR(__xludf.DUMMYFUNCTION("TEXTJOIN("", "", TRUE, FILTER(Validations!$R$2:$R$100, ISNUMBER(SEARCH(Validations!$R$2:$R$100, AO63))))"),"Touch")</f>
        <v>Touch</v>
      </c>
      <c r="AS63" s="27"/>
      <c r="AT63" s="12" t="str">
        <f>IFERROR(__xludf.DUMMYFUNCTION("IFERROR(TEXTJOIN("", "", TRUE, FILTER(Validations!$I$2:$I$100, ISNUMBER(SEARCH(Validations!$I$2:$I$100, AS63)))), """")"),"")</f>
        <v/>
      </c>
      <c r="AU63" s="16" t="str">
        <f t="array" ref="AU63">IFERROR(INDEX(Validations!$J$2:$J$100, MATCH(TRUE, ISNUMBER(SEARCH(Validations!$I$2:$I$100, AT63)), 0)), "")</f>
        <v/>
      </c>
      <c r="AV63" s="12" t="str">
        <f>IFERROR(__xludf.DUMMYFUNCTION("IFERROR(VALUE(REGEXEXTRACT(AS63, ""\d+"")), """")"),"")</f>
        <v/>
      </c>
      <c r="AW63" s="12" t="str">
        <f>IFERROR(__xludf.DUMMYFUNCTION("IFERROR(TEXTJOIN("", "", TRUE, FILTER(Validations!$Q$2:$Q$100, ISNUMBER(SEARCH(Validations!$Q$2:$Q$100, AS63)))), """")"),"")</f>
        <v/>
      </c>
      <c r="AX63" s="28" t="s">
        <v>80</v>
      </c>
      <c r="AY63" s="28" t="str">
        <f>IFERROR(__xludf.DUMMYFUNCTION("TEXTJOIN("", "", TRUE, FILTER(Validations!$Y$2:$Y$100, ISNUMBER(SEARCH(Validations!$X$2:$X$100, AX63))))"),"S, R")</f>
        <v>S, R</v>
      </c>
      <c r="AZ63" s="20" t="s">
        <v>343</v>
      </c>
      <c r="BA63" s="22"/>
      <c r="BB63" s="22"/>
      <c r="BC63" s="22"/>
      <c r="BD63" s="22"/>
      <c r="BE63" s="27"/>
      <c r="BF63" s="22"/>
      <c r="BG63" s="27"/>
      <c r="BH63" s="27"/>
      <c r="BI63" s="12" t="str">
        <f>IFERROR(__xludf.DUMMYFUNCTION("IFERROR(TEXTJOIN("", "", TRUE, FILTER(SRD!$A$2:$A$1000, EXACT(SRD!$A$2:$A$1000, J63))), """")"),"")</f>
        <v/>
      </c>
      <c r="BJ63" s="29"/>
      <c r="BK63" s="29"/>
    </row>
    <row r="64" ht="15.75" customHeight="1">
      <c r="A64" s="30" t="s">
        <v>344</v>
      </c>
      <c r="B64" s="22"/>
      <c r="C64" s="16"/>
      <c r="D64" s="16" t="s">
        <v>345</v>
      </c>
      <c r="E64" s="16"/>
      <c r="F64" s="32" t="s">
        <v>186</v>
      </c>
      <c r="G64" s="15" t="s">
        <v>64</v>
      </c>
      <c r="H64" s="16" t="s">
        <v>140</v>
      </c>
      <c r="I64" s="16" t="str">
        <f t="array" ref="I64">INDEX(Validations!$C$2:$C$100, MATCH(TRUE, ISNUMBER(SEARCH(Validations!$B$2:$B$100, H64)), 0))</f>
        <v>N</v>
      </c>
      <c r="J64" s="17" t="s">
        <v>346</v>
      </c>
      <c r="K64" s="18"/>
      <c r="L64" s="17"/>
      <c r="M64" s="17"/>
      <c r="N64" s="27"/>
      <c r="O64" s="17"/>
      <c r="P64" s="21"/>
      <c r="Q64" s="21"/>
      <c r="R64" s="22"/>
      <c r="S64" s="17" t="str">
        <f>IFERROR(__xludf.DUMMYFUNCTION("IFERROR(REGEXEXTRACT(J64, ""(\d{1,3}[dD]\d{1,3})""), """")"),"1d6")</f>
        <v>1d6</v>
      </c>
      <c r="T64" s="17" t="str">
        <f>IFERROR(__xludf.DUMMYFUNCTION("IF(COUNTIF(ARRAYFORMULA(LOWER(Validations!$O$2:$O$100)), LOWER(REGEXEXTRACT(J64, ""\d{1,3}[dD]\d{1,3}\s+(\w+)"")))&gt;0, REGEXEXTRACT(J64, ""\d{1,3}[dD]\d{1,3}\s+(\w+)""), """")"),"chiaric")</f>
        <v>chiaric</v>
      </c>
      <c r="U64" s="17" t="str">
        <f>IFERROR(__xludf.DUMMYFUNCTION("IF(COUNTIF(ARRAYFORMULA(LOWER(Validations!$P$2:$P$100)), LOWER(REGEXEXTRACT(J64, ""\d{1,3}[dD]\d{1,3}\s+(\w+)"")))&gt;0, REGEXEXTRACT(J64, ""\d{1,3}[dD]\d{1,3}\s+(\w+)""), """")"),"")</f>
        <v/>
      </c>
      <c r="V64" s="12" t="str">
        <f>IFERROR(__xludf.DUMMYFUNCTION("TEXTJOIN("", "", TRUE, FILTER(Validations!$L$2:$L$100, ISNUMBER(SEARCH(Validations!$L$2:$L$100, J64))))"),"")</f>
        <v/>
      </c>
      <c r="W64" s="12" t="str">
        <f>IFERROR(__xludf.DUMMYFUNCTION("IFERROR(TEXTJOIN("", "", TRUE, FILTER(Validations!$M$2:$M$100, ISNUMBER(SEARCH(Validations!$M$2:$M$100 &amp; "" saving throw"", J64)))), """")"),"Charisma")</f>
        <v>Charisma</v>
      </c>
      <c r="X64" s="12"/>
      <c r="Y64" s="12"/>
      <c r="Z64" s="12" t="str">
        <f>IFERROR(__xludf.DUMMYFUNCTION("IFERROR(TEXTJOIN("", "", TRUE, FILTER(Validations!$N$2:$N$100, ISNUMBER(SEARCH(Validations!$N$2:$N$100 &amp; "" check"", J64)))), """")"),"")</f>
        <v/>
      </c>
      <c r="AA64" s="12" t="str">
        <f>IFERROR(__xludf.DUMMYFUNCTION("IFERROR(TEXTJOIN("", "", TRUE, FILTER(Validations!$N$2:$N$100, ISNUMBER(SEARCH(Validations!$N$2:$N$100 &amp; "" check"", W64)))), """")"),"")</f>
        <v/>
      </c>
      <c r="AB64" s="23" t="str">
        <f>IFERROR(__xludf.DUMMYFUNCTION("IFERROR(CONCATENATE(IF(ISNUMBER(SEARCH(Validations!$M$2:$M$100 &amp; "" spell save"", J64)),""Spell Save"",""""), REGEXEXTRACT(J64, ""DC (\d+)"")), """")"),"")</f>
        <v/>
      </c>
      <c r="AC64" s="24" t="b">
        <v>0</v>
      </c>
      <c r="AD64" s="24" t="b">
        <v>0</v>
      </c>
      <c r="AE64" s="36" t="s">
        <v>69</v>
      </c>
      <c r="AF64" s="25">
        <f>IFERROR(__xludf.DUMMYFUNCTION("IFERROR(VALUE(REGEXEXTRACT(AE64, ""\d+"")), 1)"),1.0)</f>
        <v>1</v>
      </c>
      <c r="AG64" s="12" t="str">
        <f>IFERROR(__xludf.DUMMYFUNCTION("IF(
  ISNUMBER(SEARCH(""Bonus Action"", AE64)),
  ""Bonus Action"",
  IF(
    ISNUMBER(SEARCH(""Reaction"", AE64)),
    ""Reaction"",
    IF(
      ISNUMBER(SEARCH(""Action"", AE64)),
      ""Action"",
      TEXTJOIN("", "", TRUE, FILTER(Validations!$S$2:"&amp;"$S$100, ISNUMBER(SEARCH(Validations!$S$2:$S$100, AE64))))
    )
  )
)"),"Action")</f>
        <v>Action</v>
      </c>
      <c r="AH64" s="36"/>
      <c r="AI64" s="20" t="s">
        <v>347</v>
      </c>
      <c r="AJ64" s="26" t="str">
        <f>IFERROR(__xludf.DUMMYFUNCTION("TEXTJOIN("", "", TRUE, FILTER(Validations!$T$2:$T$100, ISNUMBER(SEARCH(Validations!$T$2:$T$100, AI64))))"),"")</f>
        <v/>
      </c>
      <c r="AK64" s="26">
        <f>IFERROR(__xludf.DUMMYFUNCTION("IFERROR(VALUE(REGEXEXTRACT(AI64, ""\d+"")), """")"),24.0)</f>
        <v>24</v>
      </c>
      <c r="AL64" s="26" t="str">
        <f>IFERROR(__xludf.DUMMYFUNCTION("TEXTJOIN("", "", TRUE, FILTER(Validations!$U$2:$U$100, ISNUMBER(SEARCH(Validations!$U$2:$U$100, AI64))))"),"Hours")</f>
        <v>Hours</v>
      </c>
      <c r="AM64" s="24" t="b">
        <f t="shared" si="1"/>
        <v>0</v>
      </c>
      <c r="AN64" s="24" t="b">
        <v>1</v>
      </c>
      <c r="AO64" s="22" t="s">
        <v>348</v>
      </c>
      <c r="AP64" s="12" t="str">
        <f>IFERROR(__xludf.DUMMYFUNCTION("IF(TEXTJOIN("", "", TRUE, FILTER(Validations!$Q$2:$Q$100, ISNUMBER(SEARCH(Validations!$Q$2:$Q$100, AO64)))) = """", Validations!$Q$2, TEXTJOIN("", "", TRUE, FILTER(Validations!$Q$2:$Q$100, ISNUMBER(SEARCH(Validations!$Q$2:$Q$100, AO64)))))"),"Point")</f>
        <v>Point</v>
      </c>
      <c r="AQ64" s="12">
        <f>IFERROR(__xludf.DUMMYFUNCTION("IFERROR(VALUE(REGEXEXTRACT(AO64, ""\d+"")), """")"),10.0)</f>
        <v>10</v>
      </c>
      <c r="AR64" s="12" t="str">
        <f>IFERROR(__xludf.DUMMYFUNCTION("TEXTJOIN("", "", TRUE, FILTER(Validations!$R$2:$R$100, ISNUMBER(SEARCH(Validations!$R$2:$R$100, AO64))))"),"Yards")</f>
        <v>Yards</v>
      </c>
      <c r="AS64" s="27"/>
      <c r="AT64" s="12" t="str">
        <f>IFERROR(__xludf.DUMMYFUNCTION("IFERROR(TEXTJOIN("", "", TRUE, FILTER(Validations!$I$2:$I$100, ISNUMBER(SEARCH(Validations!$I$2:$I$100, AS64)))), """")"),"")</f>
        <v/>
      </c>
      <c r="AU64" s="16" t="str">
        <f t="array" ref="AU64">IFERROR(INDEX(Validations!$J$2:$J$100, MATCH(TRUE, ISNUMBER(SEARCH(Validations!$I$2:$I$100, AT64)), 0)), "")</f>
        <v/>
      </c>
      <c r="AV64" s="12" t="str">
        <f>IFERROR(__xludf.DUMMYFUNCTION("IFERROR(VALUE(REGEXEXTRACT(AS64, ""\d+"")), """")"),"")</f>
        <v/>
      </c>
      <c r="AW64" s="12" t="str">
        <f>IFERROR(__xludf.DUMMYFUNCTION("IFERROR(TEXTJOIN("", "", TRUE, FILTER(Validations!$Q$2:$Q$100, ISNUMBER(SEARCH(Validations!$Q$2:$Q$100, AS64)))), """")"),"")</f>
        <v/>
      </c>
      <c r="AX64" s="28" t="s">
        <v>152</v>
      </c>
      <c r="AY64" s="28" t="str">
        <f>IFERROR(__xludf.DUMMYFUNCTION("TEXTJOIN("", "", TRUE, FILTER(Validations!$Y$2:$Y$100, ISNUMBER(SEARCH(Validations!$X$2:$X$100, AX64))))"),"V, S, R")</f>
        <v>V, S, R</v>
      </c>
      <c r="AZ64" s="20" t="s">
        <v>349</v>
      </c>
      <c r="BA64" s="22"/>
      <c r="BB64" s="22"/>
      <c r="BC64" s="22"/>
      <c r="BD64" s="22"/>
      <c r="BE64" s="27"/>
      <c r="BF64" s="22"/>
      <c r="BG64" s="27"/>
      <c r="BH64" s="27"/>
      <c r="BI64" s="12" t="str">
        <f>IFERROR(__xludf.DUMMYFUNCTION("IFERROR(TEXTJOIN("", "", TRUE, FILTER(SRD!$A$2:$A$1000, EXACT(SRD!$A$2:$A$1000, J64))), """")"),"")</f>
        <v/>
      </c>
      <c r="BJ64" s="29"/>
      <c r="BK64" s="29"/>
    </row>
    <row r="65" ht="15.75" customHeight="1">
      <c r="A65" s="30" t="s">
        <v>350</v>
      </c>
      <c r="B65" s="22"/>
      <c r="C65" s="31"/>
      <c r="D65" s="31" t="s">
        <v>74</v>
      </c>
      <c r="E65" s="31"/>
      <c r="F65" s="32" t="s">
        <v>123</v>
      </c>
      <c r="G65" s="15" t="s">
        <v>64</v>
      </c>
      <c r="H65" s="31" t="s">
        <v>183</v>
      </c>
      <c r="I65" s="16" t="str">
        <f t="array" ref="I65">INDEX(Validations!$C$2:$C$100, MATCH(TRUE, ISNUMBER(SEARCH(Validations!$B$2:$B$100, H65)), 0))</f>
        <v>E</v>
      </c>
      <c r="J65" s="33" t="s">
        <v>351</v>
      </c>
      <c r="K65" s="34"/>
      <c r="L65" s="33"/>
      <c r="M65" s="33"/>
      <c r="N65" s="27"/>
      <c r="O65" s="33"/>
      <c r="P65" s="35"/>
      <c r="Q65" s="35"/>
      <c r="R65" s="22"/>
      <c r="S65" s="17" t="str">
        <f>IFERROR(__xludf.DUMMYFUNCTION("IFERROR(REGEXEXTRACT(J65, ""(\d{1,3}[dD]\d{1,3})""), """")"),"")</f>
        <v/>
      </c>
      <c r="T65" s="17" t="str">
        <f>IFERROR(__xludf.DUMMYFUNCTION("IF(COUNTIF(ARRAYFORMULA(LOWER(Validations!$O$2:$O$100)), LOWER(REGEXEXTRACT(J65, ""\d{1,3}[dD]\d{1,3}\s+(\w+)"")))&gt;0, REGEXEXTRACT(J65, ""\d{1,3}[dD]\d{1,3}\s+(\w+)""), """")"),"")</f>
        <v/>
      </c>
      <c r="U65" s="17" t="str">
        <f>IFERROR(__xludf.DUMMYFUNCTION("IF(COUNTIF(ARRAYFORMULA(LOWER(Validations!$P$2:$P$100)), LOWER(REGEXEXTRACT(J65, ""\d{1,3}[dD]\d{1,3}\s+(\w+)"")))&gt;0, REGEXEXTRACT(J65, ""\d{1,3}[dD]\d{1,3}\s+(\w+)""), """")"),"")</f>
        <v/>
      </c>
      <c r="V65" s="12" t="str">
        <f>IFERROR(__xludf.DUMMYFUNCTION("TEXTJOIN("", "", TRUE, FILTER(Validations!$L$2:$L$100, ISNUMBER(SEARCH(Validations!$L$2:$L$100, J65))))"),"")</f>
        <v/>
      </c>
      <c r="W65" s="12" t="str">
        <f>IFERROR(__xludf.DUMMYFUNCTION("IFERROR(TEXTJOIN("", "", TRUE, FILTER(Validations!$M$2:$M$100, ISNUMBER(SEARCH(Validations!$M$2:$M$100 &amp; "" saving throw"", J65)))), """")"),"Wisdom")</f>
        <v>Wisdom</v>
      </c>
      <c r="X65" s="12"/>
      <c r="Y65" s="12"/>
      <c r="Z65" s="12" t="str">
        <f>IFERROR(__xludf.DUMMYFUNCTION("IFERROR(TEXTJOIN("", "", TRUE, FILTER(Validations!$N$2:$N$100, ISNUMBER(SEARCH(Validations!$N$2:$N$100 &amp; "" check"", J65)))), """")"),"")</f>
        <v/>
      </c>
      <c r="AA65" s="12" t="str">
        <f>IFERROR(__xludf.DUMMYFUNCTION("IFERROR(TEXTJOIN("", "", TRUE, FILTER(Validations!$N$2:$N$100, ISNUMBER(SEARCH(Validations!$N$2:$N$100 &amp; "" check"", W65)))), """")"),"")</f>
        <v/>
      </c>
      <c r="AB65" s="23" t="str">
        <f>IFERROR(__xludf.DUMMYFUNCTION("IFERROR(CONCATENATE(IF(ISNUMBER(SEARCH(Validations!$M$2:$M$100 &amp; "" spell save"", J65)),""Spell Save"",""""), REGEXEXTRACT(J65, ""DC (\d+)"")), """")"),"")</f>
        <v/>
      </c>
      <c r="AC65" s="24" t="b">
        <v>0</v>
      </c>
      <c r="AD65" s="24" t="b">
        <v>0</v>
      </c>
      <c r="AE65" s="36" t="s">
        <v>69</v>
      </c>
      <c r="AF65" s="25">
        <f>IFERROR(__xludf.DUMMYFUNCTION("IFERROR(VALUE(REGEXEXTRACT(AE65, ""\d+"")), 1)"),1.0)</f>
        <v>1</v>
      </c>
      <c r="AG65" s="12" t="str">
        <f>IFERROR(__xludf.DUMMYFUNCTION("IF(
  ISNUMBER(SEARCH(""Bonus Action"", AE65)),
  ""Bonus Action"",
  IF(
    ISNUMBER(SEARCH(""Reaction"", AE65)),
    ""Reaction"",
    IF(
      ISNUMBER(SEARCH(""Action"", AE65)),
      ""Action"",
      TEXTJOIN("", "", TRUE, FILTER(Validations!$S$2:"&amp;"$S$100, ISNUMBER(SEARCH(Validations!$S$2:$S$100, AE65))))
    )
  )
)"),"Action")</f>
        <v>Action</v>
      </c>
      <c r="AH65" s="36"/>
      <c r="AI65" s="27" t="s">
        <v>70</v>
      </c>
      <c r="AJ65" s="26" t="str">
        <f>IFERROR(__xludf.DUMMYFUNCTION("TEXTJOIN("", "", TRUE, FILTER(Validations!$T$2:$T$100, ISNUMBER(SEARCH(Validations!$T$2:$T$100, AI65))))"),"Instantaneous")</f>
        <v>Instantaneous</v>
      </c>
      <c r="AK65" s="26" t="str">
        <f>IFERROR(__xludf.DUMMYFUNCTION("IFERROR(VALUE(REGEXEXTRACT(AI65, ""\d+"")), """")"),"")</f>
        <v/>
      </c>
      <c r="AL65" s="26" t="str">
        <f>IFERROR(__xludf.DUMMYFUNCTION("TEXTJOIN("", "", TRUE, FILTER(Validations!$U$2:$U$100, ISNUMBER(SEARCH(Validations!$U$2:$U$100, AI65))))"),"")</f>
        <v/>
      </c>
      <c r="AM65" s="24" t="b">
        <f t="shared" si="1"/>
        <v>0</v>
      </c>
      <c r="AN65" s="24" t="b">
        <v>0</v>
      </c>
      <c r="AO65" s="22" t="s">
        <v>112</v>
      </c>
      <c r="AP65" s="12" t="str">
        <f>IFERROR(__xludf.DUMMYFUNCTION("IF(TEXTJOIN("", "", TRUE, FILTER(Validations!$Q$2:$Q$100, ISNUMBER(SEARCH(Validations!$Q$2:$Q$100, AO65)))) = """", Validations!$Q$2, TEXTJOIN("", "", TRUE, FILTER(Validations!$Q$2:$Q$100, ISNUMBER(SEARCH(Validations!$Q$2:$Q$100, AO65)))))"),"Point")</f>
        <v>Point</v>
      </c>
      <c r="AQ65" s="12">
        <f>IFERROR(__xludf.DUMMYFUNCTION("IFERROR(VALUE(REGEXEXTRACT(AO65, ""\d+"")), """")"),30.0)</f>
        <v>30</v>
      </c>
      <c r="AR65" s="12" t="str">
        <f>IFERROR(__xludf.DUMMYFUNCTION("TEXTJOIN("", "", TRUE, FILTER(Validations!$R$2:$R$100, ISNUMBER(SEARCH(Validations!$R$2:$R$100, AO65))))"),"Feet")</f>
        <v>Feet</v>
      </c>
      <c r="AS65" s="27"/>
      <c r="AT65" s="12" t="str">
        <f>IFERROR(__xludf.DUMMYFUNCTION("IFERROR(TEXTJOIN("", "", TRUE, FILTER(Validations!$I$2:$I$100, ISNUMBER(SEARCH(Validations!$I$2:$I$100, AS65)))), """")"),"")</f>
        <v/>
      </c>
      <c r="AU65" s="16" t="str">
        <f t="array" ref="AU65">IFERROR(INDEX(Validations!$J$2:$J$100, MATCH(TRUE, ISNUMBER(SEARCH(Validations!$I$2:$I$100, AT65)), 0)), "")</f>
        <v/>
      </c>
      <c r="AV65" s="12" t="str">
        <f>IFERROR(__xludf.DUMMYFUNCTION("IFERROR(VALUE(REGEXEXTRACT(AS65, ""\d+"")), """")"),"")</f>
        <v/>
      </c>
      <c r="AW65" s="12" t="str">
        <f>IFERROR(__xludf.DUMMYFUNCTION("IFERROR(TEXTJOIN("", "", TRUE, FILTER(Validations!$Q$2:$Q$100, ISNUMBER(SEARCH(Validations!$Q$2:$Q$100, AS65)))), """")"),"")</f>
        <v/>
      </c>
      <c r="AX65" s="28" t="s">
        <v>248</v>
      </c>
      <c r="AY65" s="28" t="str">
        <f>IFERROR(__xludf.DUMMYFUNCTION("TEXTJOIN("", "", TRUE, FILTER(Validations!$Y$2:$Y$100, ISNUMBER(SEARCH(Validations!$X$2:$X$100, AX65))))"),"V")</f>
        <v>V</v>
      </c>
      <c r="AZ65" s="27"/>
      <c r="BA65" s="22"/>
      <c r="BB65" s="22"/>
      <c r="BC65" s="22"/>
      <c r="BD65" s="22"/>
      <c r="BE65" s="27"/>
      <c r="BF65" s="28" t="s">
        <v>352</v>
      </c>
      <c r="BG65" s="27"/>
      <c r="BH65" s="27"/>
      <c r="BI65" s="12" t="str">
        <f>IFERROR(__xludf.DUMMYFUNCTION("IFERROR(TEXTJOIN("", "", TRUE, FILTER(SRD!$A$2:$A$1000, EXACT(SRD!$A$2:$A$1000, J65))), """")"),"")</f>
        <v/>
      </c>
      <c r="BJ65" s="29"/>
      <c r="BK65" s="29"/>
    </row>
    <row r="66" ht="15.75" customHeight="1">
      <c r="A66" s="30" t="s">
        <v>353</v>
      </c>
      <c r="B66" s="22"/>
      <c r="C66" s="31"/>
      <c r="D66" s="31" t="s">
        <v>74</v>
      </c>
      <c r="E66" s="31"/>
      <c r="F66" s="32" t="s">
        <v>123</v>
      </c>
      <c r="G66" s="15" t="s">
        <v>64</v>
      </c>
      <c r="H66" s="16" t="s">
        <v>65</v>
      </c>
      <c r="I66" s="16" t="str">
        <f t="array" ref="I66">INDEX(Validations!$C$2:$C$100, MATCH(TRUE, ISNUMBER(SEARCH(Validations!$B$2:$B$100, H66)), 0))</f>
        <v>I</v>
      </c>
      <c r="J66" s="33" t="s">
        <v>354</v>
      </c>
      <c r="K66" s="34"/>
      <c r="L66" s="33"/>
      <c r="M66" s="33"/>
      <c r="N66" s="27"/>
      <c r="O66" s="33"/>
      <c r="P66" s="35"/>
      <c r="Q66" s="35"/>
      <c r="R66" s="22"/>
      <c r="S66" s="17" t="str">
        <f>IFERROR(__xludf.DUMMYFUNCTION("IFERROR(REGEXEXTRACT(J66, ""(\d{1,3}[dD]\d{1,3})""), """")"),"")</f>
        <v/>
      </c>
      <c r="T66" s="17" t="str">
        <f>IFERROR(__xludf.DUMMYFUNCTION("IF(COUNTIF(ARRAYFORMULA(LOWER(Validations!$O$2:$O$100)), LOWER(REGEXEXTRACT(J66, ""\d{1,3}[dD]\d{1,3}\s+(\w+)"")))&gt;0, REGEXEXTRACT(J66, ""\d{1,3}[dD]\d{1,3}\s+(\w+)""), """")"),"")</f>
        <v/>
      </c>
      <c r="U66" s="17" t="str">
        <f>IFERROR(__xludf.DUMMYFUNCTION("IF(COUNTIF(ARRAYFORMULA(LOWER(Validations!$P$2:$P$100)), LOWER(REGEXEXTRACT(J66, ""\d{1,3}[dD]\d{1,3}\s+(\w+)"")))&gt;0, REGEXEXTRACT(J66, ""\d{1,3}[dD]\d{1,3}\s+(\w+)""), """")"),"")</f>
        <v/>
      </c>
      <c r="V66" s="12" t="str">
        <f>IFERROR(__xludf.DUMMYFUNCTION("TEXTJOIN("", "", TRUE, FILTER(Validations!$L$2:$L$100, ISNUMBER(SEARCH(Validations!$L$2:$L$100, J66))))"),"")</f>
        <v/>
      </c>
      <c r="W66" s="12" t="str">
        <f>IFERROR(__xludf.DUMMYFUNCTION("IFERROR(TEXTJOIN("", "", TRUE, FILTER(Validations!$M$2:$M$100, ISNUMBER(SEARCH(Validations!$M$2:$M$100 &amp; "" saving throw"", J66)))), """")"),"")</f>
        <v/>
      </c>
      <c r="X66" s="12"/>
      <c r="Y66" s="12"/>
      <c r="Z66" s="12" t="str">
        <f>IFERROR(__xludf.DUMMYFUNCTION("IFERROR(TEXTJOIN("", "", TRUE, FILTER(Validations!$N$2:$N$100, ISNUMBER(SEARCH(Validations!$N$2:$N$100 &amp; "" check"", J66)))), """")"),"")</f>
        <v/>
      </c>
      <c r="AA66" s="12" t="str">
        <f>IFERROR(__xludf.DUMMYFUNCTION("IFERROR(TEXTJOIN("", "", TRUE, FILTER(Validations!$N$2:$N$100, ISNUMBER(SEARCH(Validations!$N$2:$N$100 &amp; "" check"", W66)))), """")"),"")</f>
        <v/>
      </c>
      <c r="AB66" s="23" t="str">
        <f>IFERROR(__xludf.DUMMYFUNCTION("IFERROR(CONCATENATE(IF(ISNUMBER(SEARCH(Validations!$M$2:$M$100 &amp; "" spell save"", J66)),""Spell Save"",""""), REGEXEXTRACT(J66, ""DC (\d+)"")), """")"),"")</f>
        <v/>
      </c>
      <c r="AC66" s="24" t="b">
        <v>0</v>
      </c>
      <c r="AD66" s="24" t="b">
        <v>0</v>
      </c>
      <c r="AE66" s="36" t="s">
        <v>69</v>
      </c>
      <c r="AF66" s="25">
        <f>IFERROR(__xludf.DUMMYFUNCTION("IFERROR(VALUE(REGEXEXTRACT(AE66, ""\d+"")), 1)"),1.0)</f>
        <v>1</v>
      </c>
      <c r="AG66" s="12" t="str">
        <f>IFERROR(__xludf.DUMMYFUNCTION("IF(
  ISNUMBER(SEARCH(""Bonus Action"", AE66)),
  ""Bonus Action"",
  IF(
    ISNUMBER(SEARCH(""Reaction"", AE66)),
    ""Reaction"",
    IF(
      ISNUMBER(SEARCH(""Action"", AE66)),
      ""Action"",
      TEXTJOIN("", "", TRUE, FILTER(Validations!$S$2:"&amp;"$S$100, ISNUMBER(SEARCH(Validations!$S$2:$S$100, AE66))))
    )
  )
)"),"Action")</f>
        <v>Action</v>
      </c>
      <c r="AH66" s="36"/>
      <c r="AI66" s="20" t="s">
        <v>134</v>
      </c>
      <c r="AJ66" s="26" t="str">
        <f>IFERROR(__xludf.DUMMYFUNCTION("TEXTJOIN("", "", TRUE, FILTER(Validations!$T$2:$T$100, ISNUMBER(SEARCH(Validations!$T$2:$T$100, AI66))))"),"")</f>
        <v/>
      </c>
      <c r="AK66" s="26">
        <f>IFERROR(__xludf.DUMMYFUNCTION("IFERROR(VALUE(REGEXEXTRACT(AI66, ""\d+"")), """")"),10.0)</f>
        <v>10</v>
      </c>
      <c r="AL66" s="26" t="str">
        <f>IFERROR(__xludf.DUMMYFUNCTION("TEXTJOIN("", "", TRUE, FILTER(Validations!$U$2:$U$100, ISNUMBER(SEARCH(Validations!$U$2:$U$100, AI66))))"),"Minutes")</f>
        <v>Minutes</v>
      </c>
      <c r="AM66" s="24" t="b">
        <f t="shared" si="1"/>
        <v>0</v>
      </c>
      <c r="AN66" s="24" t="b">
        <v>0</v>
      </c>
      <c r="AO66" s="22" t="s">
        <v>78</v>
      </c>
      <c r="AP66" s="12" t="str">
        <f>IFERROR(__xludf.DUMMYFUNCTION("IF(TEXTJOIN("", "", TRUE, FILTER(Validations!$Q$2:$Q$100, ISNUMBER(SEARCH(Validations!$Q$2:$Q$100, AO66)))) = """", Validations!$Q$2, TEXTJOIN("", "", TRUE, FILTER(Validations!$Q$2:$Q$100, ISNUMBER(SEARCH(Validations!$Q$2:$Q$100, AO66)))))"),"Point")</f>
        <v>Point</v>
      </c>
      <c r="AQ66" s="12" t="str">
        <f>IFERROR(__xludf.DUMMYFUNCTION("IFERROR(VALUE(REGEXEXTRACT(AO66, ""\d+"")), """")"),"")</f>
        <v/>
      </c>
      <c r="AR66" s="12" t="str">
        <f>IFERROR(__xludf.DUMMYFUNCTION("TEXTJOIN("", "", TRUE, FILTER(Validations!$R$2:$R$100, ISNUMBER(SEARCH(Validations!$R$2:$R$100, AO66))))"),"Self")</f>
        <v>Self</v>
      </c>
      <c r="AS66" s="27"/>
      <c r="AT66" s="12" t="str">
        <f>IFERROR(__xludf.DUMMYFUNCTION("IFERROR(TEXTJOIN("", "", TRUE, FILTER(Validations!$I$2:$I$100, ISNUMBER(SEARCH(Validations!$I$2:$I$100, AS66)))), """")"),"")</f>
        <v/>
      </c>
      <c r="AU66" s="16" t="str">
        <f t="array" ref="AU66">IFERROR(INDEX(Validations!$J$2:$J$100, MATCH(TRUE, ISNUMBER(SEARCH(Validations!$I$2:$I$100, AT66)), 0)), "")</f>
        <v/>
      </c>
      <c r="AV66" s="12" t="str">
        <f>IFERROR(__xludf.DUMMYFUNCTION("IFERROR(VALUE(REGEXEXTRACT(AS66, ""\d+"")), """")"),"")</f>
        <v/>
      </c>
      <c r="AW66" s="12" t="str">
        <f>IFERROR(__xludf.DUMMYFUNCTION("IFERROR(TEXTJOIN("", "", TRUE, FILTER(Validations!$Q$2:$Q$100, ISNUMBER(SEARCH(Validations!$Q$2:$Q$100, AS66)))), """")"),"")</f>
        <v/>
      </c>
      <c r="AX66" s="28" t="s">
        <v>80</v>
      </c>
      <c r="AY66" s="28" t="str">
        <f>IFERROR(__xludf.DUMMYFUNCTION("TEXTJOIN("", "", TRUE, FILTER(Validations!$Y$2:$Y$100, ISNUMBER(SEARCH(Validations!$X$2:$X$100, AX66))))"),"S, R")</f>
        <v>S, R</v>
      </c>
      <c r="AZ66" s="20" t="s">
        <v>355</v>
      </c>
      <c r="BA66" s="22"/>
      <c r="BB66" s="22"/>
      <c r="BC66" s="22"/>
      <c r="BD66" s="22"/>
      <c r="BE66" s="27"/>
      <c r="BF66" s="22"/>
      <c r="BG66" s="27"/>
      <c r="BH66" s="27"/>
      <c r="BI66" s="12" t="str">
        <f>IFERROR(__xludf.DUMMYFUNCTION("IFERROR(TEXTJOIN("", "", TRUE, FILTER(SRD!$A$2:$A$1000, EXACT(SRD!$A$2:$A$1000, J66))), """")"),"")</f>
        <v/>
      </c>
      <c r="BJ66" s="29"/>
      <c r="BK66" s="29"/>
    </row>
    <row r="67" ht="15.75" customHeight="1">
      <c r="A67" s="38" t="s">
        <v>356</v>
      </c>
      <c r="B67" s="12"/>
      <c r="C67" s="16"/>
      <c r="D67" s="16" t="s">
        <v>170</v>
      </c>
      <c r="E67" s="16"/>
      <c r="F67" s="40" t="s">
        <v>130</v>
      </c>
      <c r="G67" s="15" t="s">
        <v>64</v>
      </c>
      <c r="H67" s="31" t="s">
        <v>76</v>
      </c>
      <c r="I67" s="16" t="str">
        <f t="array" ref="I67">INDEX(Validations!$C$2:$C$100, MATCH(TRUE, ISNUMBER(SEARCH(Validations!$B$2:$B$100, H67)), 0))</f>
        <v>V</v>
      </c>
      <c r="J67" s="17" t="s">
        <v>357</v>
      </c>
      <c r="K67" s="34"/>
      <c r="L67" s="17"/>
      <c r="M67" s="33"/>
      <c r="N67" s="20" t="s">
        <v>358</v>
      </c>
      <c r="O67" s="17" t="s">
        <v>359</v>
      </c>
      <c r="P67" s="21"/>
      <c r="Q67" s="21"/>
      <c r="R67" s="22"/>
      <c r="S67" s="17" t="str">
        <f>IFERROR(__xludf.DUMMYFUNCTION("IFERROR(REGEXEXTRACT(J67, ""(\d{1,3}[dD]\d{1,3})""), """")"),"1d6")</f>
        <v>1d6</v>
      </c>
      <c r="T67" s="17" t="str">
        <f>IFERROR(__xludf.DUMMYFUNCTION("IF(COUNTIF(ARRAYFORMULA(LOWER(Validations!$O$2:$O$100)), LOWER(REGEXEXTRACT(J67, ""\d{1,3}[dD]\d{1,3}\s+(\w+)"")))&gt;0, REGEXEXTRACT(J67, ""\d{1,3}[dD]\d{1,3}\s+(\w+)""), """")"),"sonic")</f>
        <v>sonic</v>
      </c>
      <c r="U67" s="17" t="str">
        <f>IFERROR(__xludf.DUMMYFUNCTION("IF(COUNTIF(ARRAYFORMULA(LOWER(Validations!$P$2:$P$100)), LOWER(REGEXEXTRACT(J67, ""\d{1,3}[dD]\d{1,3}\s+(\w+)"")))&gt;0, REGEXEXTRACT(J67, ""\d{1,3}[dD]\d{1,3}\s+(\w+)""), """")"),"")</f>
        <v/>
      </c>
      <c r="V67" s="12" t="str">
        <f>IFERROR(__xludf.DUMMYFUNCTION("TEXTJOIN("", "", TRUE, FILTER(Validations!$L$2:$L$100, ISNUMBER(SEARCH(Validations!$L$2:$L$100, J67))))"),"Deafened")</f>
        <v>Deafened</v>
      </c>
      <c r="W67" s="12" t="str">
        <f>IFERROR(__xludf.DUMMYFUNCTION("IFERROR(TEXTJOIN("", "", TRUE, FILTER(Validations!$M$2:$M$100, ISNUMBER(SEARCH(Validations!$M$2:$M$100 &amp; "" saving throw"", J67)))), """")"),"Constitution")</f>
        <v>Constitution</v>
      </c>
      <c r="X67" s="12"/>
      <c r="Y67" s="12"/>
      <c r="Z67" s="12" t="str">
        <f>IFERROR(__xludf.DUMMYFUNCTION("IFERROR(TEXTJOIN("", "", TRUE, FILTER(Validations!$N$2:$N$100, ISNUMBER(SEARCH(Validations!$N$2:$N$100 &amp; "" check"", J67)))), """")"),"")</f>
        <v/>
      </c>
      <c r="AA67" s="12" t="str">
        <f>IFERROR(__xludf.DUMMYFUNCTION("IFERROR(TEXTJOIN("", "", TRUE, FILTER(Validations!$N$2:$N$100, ISNUMBER(SEARCH(Validations!$N$2:$N$100 &amp; "" check"", W67)))), """")"),"")</f>
        <v/>
      </c>
      <c r="AB67" s="23" t="str">
        <f>IFERROR(__xludf.DUMMYFUNCTION("IFERROR(CONCATENATE(IF(ISNUMBER(SEARCH(Validations!$M$2:$M$100 &amp; "" spell save"", J67)),""Spell Save"",""""), REGEXEXTRACT(J67, ""DC (\d+)"")), """")"),"")</f>
        <v/>
      </c>
      <c r="AC67" s="24" t="b">
        <v>0</v>
      </c>
      <c r="AD67" s="24" t="b">
        <v>0</v>
      </c>
      <c r="AE67" s="12" t="s">
        <v>69</v>
      </c>
      <c r="AF67" s="25">
        <f>IFERROR(__xludf.DUMMYFUNCTION("IFERROR(VALUE(REGEXEXTRACT(AE67, ""\d+"")), 1)"),1.0)</f>
        <v>1</v>
      </c>
      <c r="AG67" s="12" t="str">
        <f>IFERROR(__xludf.DUMMYFUNCTION("IF(
  ISNUMBER(SEARCH(""Bonus Action"", AE67)),
  ""Bonus Action"",
  IF(
    ISNUMBER(SEARCH(""Reaction"", AE67)),
    ""Reaction"",
    IF(
      ISNUMBER(SEARCH(""Action"", AE67)),
      ""Action"",
      TEXTJOIN("", "", TRUE, FILTER(Validations!$S$2:"&amp;"$S$100, ISNUMBER(SEARCH(Validations!$S$2:$S$100, AE67))))
    )
  )
)"),"Action")</f>
        <v>Action</v>
      </c>
      <c r="AH67" s="12"/>
      <c r="AI67" s="27" t="s">
        <v>70</v>
      </c>
      <c r="AJ67" s="26" t="str">
        <f>IFERROR(__xludf.DUMMYFUNCTION("TEXTJOIN("", "", TRUE, FILTER(Validations!$T$2:$T$100, ISNUMBER(SEARCH(Validations!$T$2:$T$100, AI67))))"),"Instantaneous")</f>
        <v>Instantaneous</v>
      </c>
      <c r="AK67" s="26" t="str">
        <f>IFERROR(__xludf.DUMMYFUNCTION("IFERROR(VALUE(REGEXEXTRACT(AI67, ""\d+"")), """")"),"")</f>
        <v/>
      </c>
      <c r="AL67" s="26" t="str">
        <f>IFERROR(__xludf.DUMMYFUNCTION("TEXTJOIN("", "", TRUE, FILTER(Validations!$U$2:$U$100, ISNUMBER(SEARCH(Validations!$U$2:$U$100, AI67))))"),"")</f>
        <v/>
      </c>
      <c r="AM67" s="24" t="b">
        <f t="shared" si="1"/>
        <v>0</v>
      </c>
      <c r="AN67" s="41" t="b">
        <v>0</v>
      </c>
      <c r="AO67" s="36" t="s">
        <v>238</v>
      </c>
      <c r="AP67" s="12" t="str">
        <f>IFERROR(__xludf.DUMMYFUNCTION("IF(TEXTJOIN("", "", TRUE, FILTER(Validations!$Q$2:$Q$100, ISNUMBER(SEARCH(Validations!$Q$2:$Q$100, AO67)))) = """", Validations!$Q$2, TEXTJOIN("", "", TRUE, FILTER(Validations!$Q$2:$Q$100, ISNUMBER(SEARCH(Validations!$Q$2:$Q$100, AO67)))))"),"Point")</f>
        <v>Point</v>
      </c>
      <c r="AQ67" s="12">
        <f>IFERROR(__xludf.DUMMYFUNCTION("IFERROR(VALUE(REGEXEXTRACT(AO67, ""\d+"")), """")"),5.0)</f>
        <v>5</v>
      </c>
      <c r="AR67" s="12" t="str">
        <f>IFERROR(__xludf.DUMMYFUNCTION("TEXTJOIN("", "", TRUE, FILTER(Validations!$R$2:$R$100, ISNUMBER(SEARCH(Validations!$R$2:$R$100, AO67))))"),"Feet")</f>
        <v>Feet</v>
      </c>
      <c r="AS67" s="27"/>
      <c r="AT67" s="12" t="str">
        <f>IFERROR(__xludf.DUMMYFUNCTION("IFERROR(TEXTJOIN("", "", TRUE, FILTER(Validations!$I$2:$I$100, ISNUMBER(SEARCH(Validations!$I$2:$I$100, AS67)))), """")"),"")</f>
        <v/>
      </c>
      <c r="AU67" s="16" t="str">
        <f t="array" ref="AU67">IFERROR(INDEX(Validations!$J$2:$J$100, MATCH(TRUE, ISNUMBER(SEARCH(Validations!$I$2:$I$100, AT67)), 0)), "")</f>
        <v/>
      </c>
      <c r="AV67" s="12" t="str">
        <f>IFERROR(__xludf.DUMMYFUNCTION("IFERROR(VALUE(REGEXEXTRACT(AS67, ""\d+"")), """")"),"")</f>
        <v/>
      </c>
      <c r="AW67" s="12" t="str">
        <f>IFERROR(__xludf.DUMMYFUNCTION("IFERROR(TEXTJOIN("", "", TRUE, FILTER(Validations!$Q$2:$Q$100, ISNUMBER(SEARCH(Validations!$Q$2:$Q$100, AS67)))), """")"),"")</f>
        <v/>
      </c>
      <c r="AX67" s="36" t="s">
        <v>135</v>
      </c>
      <c r="AY67" s="28" t="str">
        <f>IFERROR(__xludf.DUMMYFUNCTION("TEXTJOIN("", "", TRUE, FILTER(Validations!$Y$2:$Y$100, ISNUMBER(SEARCH(Validations!$X$2:$X$100, AX67))))"),"V, S, T")</f>
        <v>V, S, T</v>
      </c>
      <c r="AZ67" s="26"/>
      <c r="BA67" s="22" t="s">
        <v>360</v>
      </c>
      <c r="BB67" s="22"/>
      <c r="BC67" s="22"/>
      <c r="BD67" s="22"/>
      <c r="BE67" s="27"/>
      <c r="BF67" s="22"/>
      <c r="BG67" s="27"/>
      <c r="BH67" s="27"/>
      <c r="BI67" s="12" t="str">
        <f>IFERROR(__xludf.DUMMYFUNCTION("IFERROR(TEXTJOIN("", "", TRUE, FILTER(SRD!$A$2:$A$1000, EXACT(SRD!$A$2:$A$1000, J67))), """")"),"")</f>
        <v/>
      </c>
      <c r="BJ67" s="29"/>
      <c r="BK67" s="29"/>
    </row>
    <row r="68" ht="15.75" customHeight="1">
      <c r="A68" s="30" t="s">
        <v>361</v>
      </c>
      <c r="B68" s="22"/>
      <c r="C68" s="31"/>
      <c r="D68" s="31" t="s">
        <v>74</v>
      </c>
      <c r="E68" s="31"/>
      <c r="F68" s="32" t="s">
        <v>139</v>
      </c>
      <c r="G68" s="15" t="s">
        <v>64</v>
      </c>
      <c r="H68" s="16" t="s">
        <v>65</v>
      </c>
      <c r="I68" s="16" t="str">
        <f t="array" ref="I68">INDEX(Validations!$C$2:$C$100, MATCH(TRUE, ISNUMBER(SEARCH(Validations!$B$2:$B$100, H68)), 0))</f>
        <v>I</v>
      </c>
      <c r="J68" s="33" t="s">
        <v>362</v>
      </c>
      <c r="K68" s="34"/>
      <c r="L68" s="33"/>
      <c r="M68" s="33"/>
      <c r="N68" s="27"/>
      <c r="O68" s="33"/>
      <c r="P68" s="35"/>
      <c r="Q68" s="35"/>
      <c r="R68" s="22"/>
      <c r="S68" s="17" t="str">
        <f>IFERROR(__xludf.DUMMYFUNCTION("IFERROR(REGEXEXTRACT(J68, ""(\d{1,3}[dD]\d{1,3})""), """")"),"")</f>
        <v/>
      </c>
      <c r="T68" s="17" t="str">
        <f>IFERROR(__xludf.DUMMYFUNCTION("IF(COUNTIF(ARRAYFORMULA(LOWER(Validations!$O$2:$O$100)), LOWER(REGEXEXTRACT(J68, ""\d{1,3}[dD]\d{1,3}\s+(\w+)"")))&gt;0, REGEXEXTRACT(J68, ""\d{1,3}[dD]\d{1,3}\s+(\w+)""), """")"),"")</f>
        <v/>
      </c>
      <c r="U68" s="17" t="str">
        <f>IFERROR(__xludf.DUMMYFUNCTION("IF(COUNTIF(ARRAYFORMULA(LOWER(Validations!$P$2:$P$100)), LOWER(REGEXEXTRACT(J68, ""\d{1,3}[dD]\d{1,3}\s+(\w+)"")))&gt;0, REGEXEXTRACT(J68, ""\d{1,3}[dD]\d{1,3}\s+(\w+)""), """")"),"")</f>
        <v/>
      </c>
      <c r="V68" s="12" t="str">
        <f>IFERROR(__xludf.DUMMYFUNCTION("TEXTJOIN("", "", TRUE, FILTER(Validations!$L$2:$L$100, ISNUMBER(SEARCH(Validations!$L$2:$L$100, J68))))"),"")</f>
        <v/>
      </c>
      <c r="W68" s="12" t="str">
        <f>IFERROR(__xludf.DUMMYFUNCTION("IFERROR(TEXTJOIN("", "", TRUE, FILTER(Validations!$M$2:$M$100, ISNUMBER(SEARCH(Validations!$M$2:$M$100 &amp; "" saving throw"", J68)))), """")"),"")</f>
        <v/>
      </c>
      <c r="X68" s="12"/>
      <c r="Y68" s="12"/>
      <c r="Z68" s="12" t="str">
        <f>IFERROR(__xludf.DUMMYFUNCTION("IFERROR(TEXTJOIN("", "", TRUE, FILTER(Validations!$N$2:$N$100, ISNUMBER(SEARCH(Validations!$N$2:$N$100 &amp; "" check"", J68)))), """")"),"")</f>
        <v/>
      </c>
      <c r="AA68" s="12" t="str">
        <f>IFERROR(__xludf.DUMMYFUNCTION("IFERROR(TEXTJOIN("", "", TRUE, FILTER(Validations!$N$2:$N$100, ISNUMBER(SEARCH(Validations!$N$2:$N$100 &amp; "" check"", W68)))), """")"),"")</f>
        <v/>
      </c>
      <c r="AB68" s="23" t="str">
        <f>IFERROR(__xludf.DUMMYFUNCTION("IFERROR(CONCATENATE(IF(ISNUMBER(SEARCH(Validations!$M$2:$M$100 &amp; "" spell save"", J68)),""Spell Save"",""""), REGEXEXTRACT(J68, ""DC (\d+)"")), """")"),"")</f>
        <v/>
      </c>
      <c r="AC68" s="24" t="b">
        <v>0</v>
      </c>
      <c r="AD68" s="24" t="b">
        <v>0</v>
      </c>
      <c r="AE68" s="36" t="s">
        <v>69</v>
      </c>
      <c r="AF68" s="25">
        <f>IFERROR(__xludf.DUMMYFUNCTION("IFERROR(VALUE(REGEXEXTRACT(AE68, ""\d+"")), 1)"),1.0)</f>
        <v>1</v>
      </c>
      <c r="AG68" s="12" t="str">
        <f>IFERROR(__xludf.DUMMYFUNCTION("IF(
  ISNUMBER(SEARCH(""Bonus Action"", AE68)),
  ""Bonus Action"",
  IF(
    ISNUMBER(SEARCH(""Reaction"", AE68)),
    ""Reaction"",
    IF(
      ISNUMBER(SEARCH(""Action"", AE68)),
      ""Action"",
      TEXTJOIN("", "", TRUE, FILTER(Validations!$S$2:"&amp;"$S$100, ISNUMBER(SEARCH(Validations!$S$2:$S$100, AE68))))
    )
  )
)"),"Action")</f>
        <v>Action</v>
      </c>
      <c r="AH68" s="36"/>
      <c r="AI68" s="20" t="s">
        <v>92</v>
      </c>
      <c r="AJ68" s="26" t="str">
        <f>IFERROR(__xludf.DUMMYFUNCTION("TEXTJOIN("", "", TRUE, FILTER(Validations!$T$2:$T$100, ISNUMBER(SEARCH(Validations!$T$2:$T$100, AI68))))"),"")</f>
        <v/>
      </c>
      <c r="AK68" s="26">
        <f>IFERROR(__xludf.DUMMYFUNCTION("IFERROR(VALUE(REGEXEXTRACT(AI68, ""\d+"")), """")"),1.0)</f>
        <v>1</v>
      </c>
      <c r="AL68" s="26" t="str">
        <f>IFERROR(__xludf.DUMMYFUNCTION("TEXTJOIN("", "", TRUE, FILTER(Validations!$U$2:$U$100, ISNUMBER(SEARCH(Validations!$U$2:$U$100, AI68))))"),"Minutes")</f>
        <v>Minutes</v>
      </c>
      <c r="AM68" s="24" t="b">
        <f t="shared" si="1"/>
        <v>0</v>
      </c>
      <c r="AN68" s="24" t="b">
        <v>0</v>
      </c>
      <c r="AO68" s="22" t="s">
        <v>112</v>
      </c>
      <c r="AP68" s="12" t="str">
        <f>IFERROR(__xludf.DUMMYFUNCTION("IF(TEXTJOIN("", "", TRUE, FILTER(Validations!$Q$2:$Q$100, ISNUMBER(SEARCH(Validations!$Q$2:$Q$100, AO68)))) = """", Validations!$Q$2, TEXTJOIN("", "", TRUE, FILTER(Validations!$Q$2:$Q$100, ISNUMBER(SEARCH(Validations!$Q$2:$Q$100, AO68)))))"),"Point")</f>
        <v>Point</v>
      </c>
      <c r="AQ68" s="12">
        <f>IFERROR(__xludf.DUMMYFUNCTION("IFERROR(VALUE(REGEXEXTRACT(AO68, ""\d+"")), """")"),30.0)</f>
        <v>30</v>
      </c>
      <c r="AR68" s="12" t="str">
        <f>IFERROR(__xludf.DUMMYFUNCTION("TEXTJOIN("", "", TRUE, FILTER(Validations!$R$2:$R$100, ISNUMBER(SEARCH(Validations!$R$2:$R$100, AO68))))"),"Feet")</f>
        <v>Feet</v>
      </c>
      <c r="AS68" s="27"/>
      <c r="AT68" s="12" t="str">
        <f>IFERROR(__xludf.DUMMYFUNCTION("IFERROR(TEXTJOIN("", "", TRUE, FILTER(Validations!$I$2:$I$100, ISNUMBER(SEARCH(Validations!$I$2:$I$100, AS68)))), """")"),"")</f>
        <v/>
      </c>
      <c r="AU68" s="16" t="str">
        <f t="array" ref="AU68">IFERROR(INDEX(Validations!$J$2:$J$100, MATCH(TRUE, ISNUMBER(SEARCH(Validations!$I$2:$I$100, AT68)), 0)), "")</f>
        <v/>
      </c>
      <c r="AV68" s="12" t="str">
        <f>IFERROR(__xludf.DUMMYFUNCTION("IFERROR(VALUE(REGEXEXTRACT(AS68, ""\d+"")), """")"),"")</f>
        <v/>
      </c>
      <c r="AW68" s="12" t="str">
        <f>IFERROR(__xludf.DUMMYFUNCTION("IFERROR(TEXTJOIN("", "", TRUE, FILTER(Validations!$Q$2:$Q$100, ISNUMBER(SEARCH(Validations!$Q$2:$Q$100, AS68)))), """")"),"")</f>
        <v/>
      </c>
      <c r="AX68" s="28" t="s">
        <v>80</v>
      </c>
      <c r="AY68" s="28" t="str">
        <f>IFERROR(__xludf.DUMMYFUNCTION("TEXTJOIN("", "", TRUE, FILTER(Validations!$Y$2:$Y$100, ISNUMBER(SEARCH(Validations!$X$2:$X$100, AX68))))"),"S, R")</f>
        <v>S, R</v>
      </c>
      <c r="AZ68" s="20" t="s">
        <v>363</v>
      </c>
      <c r="BA68" s="22"/>
      <c r="BB68" s="22"/>
      <c r="BC68" s="22"/>
      <c r="BD68" s="22"/>
      <c r="BE68" s="27"/>
      <c r="BF68" s="22"/>
      <c r="BG68" s="27"/>
      <c r="BH68" s="27"/>
      <c r="BI68" s="12" t="str">
        <f>IFERROR(__xludf.DUMMYFUNCTION("IFERROR(TEXTJOIN("", "", TRUE, FILTER(SRD!$A$2:$A$1000, EXACT(SRD!$A$2:$A$1000, J68))), """")"),"")</f>
        <v/>
      </c>
      <c r="BJ68" s="29"/>
      <c r="BK68" s="29"/>
    </row>
    <row r="69" ht="15.75" customHeight="1">
      <c r="A69" s="30" t="s">
        <v>364</v>
      </c>
      <c r="B69" s="22"/>
      <c r="C69" s="31"/>
      <c r="D69" s="31" t="s">
        <v>74</v>
      </c>
      <c r="E69" s="31"/>
      <c r="F69" s="32" t="s">
        <v>365</v>
      </c>
      <c r="G69" s="15" t="s">
        <v>64</v>
      </c>
      <c r="H69" s="16" t="s">
        <v>144</v>
      </c>
      <c r="I69" s="16" t="str">
        <f t="array" ref="I69">INDEX(Validations!$C$2:$C$100, MATCH(TRUE, ISNUMBER(SEARCH(Validations!$B$2:$B$100, H69)), 0))</f>
        <v>D</v>
      </c>
      <c r="J69" s="33" t="s">
        <v>366</v>
      </c>
      <c r="K69" s="34"/>
      <c r="L69" s="33"/>
      <c r="M69" s="33"/>
      <c r="N69" s="27"/>
      <c r="O69" s="33"/>
      <c r="P69" s="35"/>
      <c r="Q69" s="35"/>
      <c r="R69" s="22"/>
      <c r="S69" s="17" t="str">
        <f>IFERROR(__xludf.DUMMYFUNCTION("IFERROR(REGEXEXTRACT(J69, ""(\d{1,3}[dD]\d{1,3})""), """")"),"")</f>
        <v/>
      </c>
      <c r="T69" s="17" t="str">
        <f>IFERROR(__xludf.DUMMYFUNCTION("IF(COUNTIF(ARRAYFORMULA(LOWER(Validations!$O$2:$O$100)), LOWER(REGEXEXTRACT(J69, ""\d{1,3}[dD]\d{1,3}\s+(\w+)"")))&gt;0, REGEXEXTRACT(J69, ""\d{1,3}[dD]\d{1,3}\s+(\w+)""), """")"),"")</f>
        <v/>
      </c>
      <c r="U69" s="17" t="str">
        <f>IFERROR(__xludf.DUMMYFUNCTION("IF(COUNTIF(ARRAYFORMULA(LOWER(Validations!$P$2:$P$100)), LOWER(REGEXEXTRACT(J69, ""\d{1,3}[dD]\d{1,3}\s+(\w+)"")))&gt;0, REGEXEXTRACT(J69, ""\d{1,3}[dD]\d{1,3}\s+(\w+)""), """")"),"")</f>
        <v/>
      </c>
      <c r="V69" s="12" t="str">
        <f>IFERROR(__xludf.DUMMYFUNCTION("TEXTJOIN("", "", TRUE, FILTER(Validations!$L$2:$L$100, ISNUMBER(SEARCH(Validations!$L$2:$L$100, J69))))"),"")</f>
        <v/>
      </c>
      <c r="W69" s="12" t="str">
        <f>IFERROR(__xludf.DUMMYFUNCTION("IFERROR(TEXTJOIN("", "", TRUE, FILTER(Validations!$M$2:$M$100, ISNUMBER(SEARCH(Validations!$M$2:$M$100 &amp; "" saving throw"", J69)))), """")"),"Wisdom")</f>
        <v>Wisdom</v>
      </c>
      <c r="X69" s="12"/>
      <c r="Y69" s="12"/>
      <c r="Z69" s="12" t="str">
        <f>IFERROR(__xludf.DUMMYFUNCTION("IFERROR(TEXTJOIN("", "", TRUE, FILTER(Validations!$N$2:$N$100, ISNUMBER(SEARCH(Validations!$N$2:$N$100 &amp; "" check"", J69)))), """")"),"")</f>
        <v/>
      </c>
      <c r="AA69" s="12" t="str">
        <f>IFERROR(__xludf.DUMMYFUNCTION("IFERROR(TEXTJOIN("", "", TRUE, FILTER(Validations!$N$2:$N$100, ISNUMBER(SEARCH(Validations!$N$2:$N$100 &amp; "" check"", W69)))), """")"),"")</f>
        <v/>
      </c>
      <c r="AB69" s="23" t="str">
        <f>IFERROR(__xludf.DUMMYFUNCTION("IFERROR(CONCATENATE(IF(ISNUMBER(SEARCH(Validations!$M$2:$M$100 &amp; "" spell save"", J69)),""Spell Save"",""""), REGEXEXTRACT(J69, ""DC (\d+)"")), """")"),"")</f>
        <v/>
      </c>
      <c r="AC69" s="24" t="b">
        <v>0</v>
      </c>
      <c r="AD69" s="24" t="b">
        <v>0</v>
      </c>
      <c r="AE69" s="36" t="s">
        <v>69</v>
      </c>
      <c r="AF69" s="25">
        <f>IFERROR(__xludf.DUMMYFUNCTION("IFERROR(VALUE(REGEXEXTRACT(AE69, ""\d+"")), 1)"),1.0)</f>
        <v>1</v>
      </c>
      <c r="AG69" s="12" t="str">
        <f>IFERROR(__xludf.DUMMYFUNCTION("IF(
  ISNUMBER(SEARCH(""Bonus Action"", AE69)),
  ""Bonus Action"",
  IF(
    ISNUMBER(SEARCH(""Reaction"", AE69)),
    ""Reaction"",
    IF(
      ISNUMBER(SEARCH(""Action"", AE69)),
      ""Action"",
      TEXTJOIN("", "", TRUE, FILTER(Validations!$S$2:"&amp;"$S$100, ISNUMBER(SEARCH(Validations!$S$2:$S$100, AE69))))
    )
  )
)"),"Action")</f>
        <v>Action</v>
      </c>
      <c r="AH69" s="36"/>
      <c r="AI69" s="20" t="s">
        <v>87</v>
      </c>
      <c r="AJ69" s="26" t="str">
        <f>IFERROR(__xludf.DUMMYFUNCTION("TEXTJOIN("", "", TRUE, FILTER(Validations!$T$2:$T$100, ISNUMBER(SEARCH(Validations!$T$2:$T$100, AI69))))"),"")</f>
        <v/>
      </c>
      <c r="AK69" s="26">
        <f>IFERROR(__xludf.DUMMYFUNCTION("IFERROR(VALUE(REGEXEXTRACT(AI69, ""\d+"")), """")"),1.0)</f>
        <v>1</v>
      </c>
      <c r="AL69" s="26" t="str">
        <f>IFERROR(__xludf.DUMMYFUNCTION("TEXTJOIN("", "", TRUE, FILTER(Validations!$U$2:$U$100, ISNUMBER(SEARCH(Validations!$U$2:$U$100, AI69))))"),"Rounds")</f>
        <v>Rounds</v>
      </c>
      <c r="AM69" s="24" t="b">
        <f t="shared" si="1"/>
        <v>0</v>
      </c>
      <c r="AN69" s="24" t="b">
        <v>0</v>
      </c>
      <c r="AO69" s="22" t="s">
        <v>112</v>
      </c>
      <c r="AP69" s="12" t="str">
        <f>IFERROR(__xludf.DUMMYFUNCTION("IF(TEXTJOIN("", "", TRUE, FILTER(Validations!$Q$2:$Q$100, ISNUMBER(SEARCH(Validations!$Q$2:$Q$100, AO69)))) = """", Validations!$Q$2, TEXTJOIN("", "", TRUE, FILTER(Validations!$Q$2:$Q$100, ISNUMBER(SEARCH(Validations!$Q$2:$Q$100, AO69)))))"),"Point")</f>
        <v>Point</v>
      </c>
      <c r="AQ69" s="12">
        <f>IFERROR(__xludf.DUMMYFUNCTION("IFERROR(VALUE(REGEXEXTRACT(AO69, ""\d+"")), """")"),30.0)</f>
        <v>30</v>
      </c>
      <c r="AR69" s="12" t="str">
        <f>IFERROR(__xludf.DUMMYFUNCTION("TEXTJOIN("", "", TRUE, FILTER(Validations!$R$2:$R$100, ISNUMBER(SEARCH(Validations!$R$2:$R$100, AO69))))"),"Feet")</f>
        <v>Feet</v>
      </c>
      <c r="AS69" s="27"/>
      <c r="AT69" s="12" t="str">
        <f>IFERROR(__xludf.DUMMYFUNCTION("IFERROR(TEXTJOIN("", "", TRUE, FILTER(Validations!$I$2:$I$100, ISNUMBER(SEARCH(Validations!$I$2:$I$100, AS69)))), """")"),"")</f>
        <v/>
      </c>
      <c r="AU69" s="16" t="str">
        <f t="array" ref="AU69">IFERROR(INDEX(Validations!$J$2:$J$100, MATCH(TRUE, ISNUMBER(SEARCH(Validations!$I$2:$I$100, AT69)), 0)), "")</f>
        <v/>
      </c>
      <c r="AV69" s="12" t="str">
        <f>IFERROR(__xludf.DUMMYFUNCTION("IFERROR(VALUE(REGEXEXTRACT(AS69, ""\d+"")), """")"),"")</f>
        <v/>
      </c>
      <c r="AW69" s="12" t="str">
        <f>IFERROR(__xludf.DUMMYFUNCTION("IFERROR(TEXTJOIN("", "", TRUE, FILTER(Validations!$Q$2:$Q$100, ISNUMBER(SEARCH(Validations!$Q$2:$Q$100, AS69)))), """")"),"")</f>
        <v/>
      </c>
      <c r="AX69" s="28" t="s">
        <v>119</v>
      </c>
      <c r="AY69" s="28" t="str">
        <f>IFERROR(__xludf.DUMMYFUNCTION("TEXTJOIN("", "", TRUE, FILTER(Validations!$Y$2:$Y$100, ISNUMBER(SEARCH(Validations!$X$2:$X$100, AX69))))"),"V, R")</f>
        <v>V, R</v>
      </c>
      <c r="AZ69" s="20" t="s">
        <v>367</v>
      </c>
      <c r="BA69" s="22"/>
      <c r="BB69" s="22"/>
      <c r="BC69" s="22"/>
      <c r="BD69" s="22"/>
      <c r="BE69" s="27"/>
      <c r="BF69" s="22"/>
      <c r="BG69" s="27"/>
      <c r="BH69" s="27"/>
      <c r="BI69" s="12" t="str">
        <f>IFERROR(__xludf.DUMMYFUNCTION("IFERROR(TEXTJOIN("", "", TRUE, FILTER(SRD!$A$2:$A$1000, EXACT(SRD!$A$2:$A$1000, J69))), """")"),"")</f>
        <v/>
      </c>
      <c r="BJ69" s="29"/>
      <c r="BK69" s="29"/>
    </row>
    <row r="70" ht="15.75" customHeight="1">
      <c r="A70" s="38" t="s">
        <v>368</v>
      </c>
      <c r="B70" s="12"/>
      <c r="C70" s="16"/>
      <c r="D70" s="16" t="s">
        <v>129</v>
      </c>
      <c r="E70" s="16"/>
      <c r="F70" s="40" t="s">
        <v>130</v>
      </c>
      <c r="G70" s="15" t="s">
        <v>64</v>
      </c>
      <c r="H70" s="31" t="s">
        <v>85</v>
      </c>
      <c r="I70" s="16" t="str">
        <f t="array" ref="I70">INDEX(Validations!$C$2:$C$100, MATCH(TRUE, ISNUMBER(SEARCH(Validations!$B$2:$B$100, H70)), 0))</f>
        <v>T</v>
      </c>
      <c r="J70" s="17" t="s">
        <v>369</v>
      </c>
      <c r="K70" s="34"/>
      <c r="L70" s="17"/>
      <c r="M70" s="33"/>
      <c r="N70" s="20" t="s">
        <v>370</v>
      </c>
      <c r="O70" s="17" t="s">
        <v>371</v>
      </c>
      <c r="P70" s="21"/>
      <c r="Q70" s="21"/>
      <c r="R70" s="22"/>
      <c r="S70" s="17" t="str">
        <f>IFERROR(__xludf.DUMMYFUNCTION("IFERROR(REGEXEXTRACT(J70, ""(\d{1,3}[dD]\d{1,3})""), """")"),"")</f>
        <v/>
      </c>
      <c r="T70" s="17" t="str">
        <f>IFERROR(__xludf.DUMMYFUNCTION("IF(COUNTIF(ARRAYFORMULA(LOWER(Validations!$O$2:$O$100)), LOWER(REGEXEXTRACT(J70, ""\d{1,3}[dD]\d{1,3}\s+(\w+)"")))&gt;0, REGEXEXTRACT(J70, ""\d{1,3}[dD]\d{1,3}\s+(\w+)""), """")"),"")</f>
        <v/>
      </c>
      <c r="U70" s="17" t="str">
        <f>IFERROR(__xludf.DUMMYFUNCTION("IF(COUNTIF(ARRAYFORMULA(LOWER(Validations!$P$2:$P$100)), LOWER(REGEXEXTRACT(J70, ""\d{1,3}[dD]\d{1,3}\s+(\w+)"")))&gt;0, REGEXEXTRACT(J70, ""\d{1,3}[dD]\d{1,3}\s+(\w+)""), """")"),"")</f>
        <v/>
      </c>
      <c r="V70" s="12" t="str">
        <f>IFERROR(__xludf.DUMMYFUNCTION("TEXTJOIN("", "", TRUE, FILTER(Validations!$L$2:$L$100, ISNUMBER(SEARCH(Validations!$L$2:$L$100, J70))))"),"")</f>
        <v/>
      </c>
      <c r="W70" s="12" t="str">
        <f>IFERROR(__xludf.DUMMYFUNCTION("IFERROR(TEXTJOIN("", "", TRUE, FILTER(Validations!$M$2:$M$100, ISNUMBER(SEARCH(Validations!$M$2:$M$100 &amp; "" saving throw"", J70)))), """")"),"")</f>
        <v/>
      </c>
      <c r="X70" s="12"/>
      <c r="Y70" s="12"/>
      <c r="Z70" s="12" t="str">
        <f>IFERROR(__xludf.DUMMYFUNCTION("IFERROR(TEXTJOIN("", "", TRUE, FILTER(Validations!$N$2:$N$100, ISNUMBER(SEARCH(Validations!$N$2:$N$100 &amp; "" check"", J70)))), """")"),"")</f>
        <v/>
      </c>
      <c r="AA70" s="12" t="str">
        <f>IFERROR(__xludf.DUMMYFUNCTION("IFERROR(TEXTJOIN("", "", TRUE, FILTER(Validations!$N$2:$N$100, ISNUMBER(SEARCH(Validations!$N$2:$N$100 &amp; "" check"", W70)))), """")"),"")</f>
        <v/>
      </c>
      <c r="AB70" s="23" t="str">
        <f>IFERROR(__xludf.DUMMYFUNCTION("IFERROR(CONCATENATE(IF(ISNUMBER(SEARCH(Validations!$M$2:$M$100 &amp; "" spell save"", J70)),""Spell Save"",""""), REGEXEXTRACT(J70, ""DC (\d+)"")), """")"),"")</f>
        <v/>
      </c>
      <c r="AC70" s="24" t="b">
        <v>0</v>
      </c>
      <c r="AD70" s="24" t="b">
        <v>0</v>
      </c>
      <c r="AE70" s="12" t="s">
        <v>69</v>
      </c>
      <c r="AF70" s="25">
        <f>IFERROR(__xludf.DUMMYFUNCTION("IFERROR(VALUE(REGEXEXTRACT(AE70, ""\d+"")), 1)"),1.0)</f>
        <v>1</v>
      </c>
      <c r="AG70" s="12" t="str">
        <f>IFERROR(__xludf.DUMMYFUNCTION("IF(
  ISNUMBER(SEARCH(""Bonus Action"", AE70)),
  ""Bonus Action"",
  IF(
    ISNUMBER(SEARCH(""Reaction"", AE70)),
    ""Reaction"",
    IF(
      ISNUMBER(SEARCH(""Action"", AE70)),
      ""Action"",
      TEXTJOIN("", "", TRUE, FILTER(Validations!$S$2:"&amp;"$S$100, ISNUMBER(SEARCH(Validations!$S$2:$S$100, AE70))))
    )
  )
)"),"Action")</f>
        <v>Action</v>
      </c>
      <c r="AH70" s="12"/>
      <c r="AI70" s="20" t="s">
        <v>87</v>
      </c>
      <c r="AJ70" s="26" t="str">
        <f>IFERROR(__xludf.DUMMYFUNCTION("TEXTJOIN("", "", TRUE, FILTER(Validations!$T$2:$T$100, ISNUMBER(SEARCH(Validations!$T$2:$T$100, AI70))))"),"")</f>
        <v/>
      </c>
      <c r="AK70" s="26">
        <f>IFERROR(__xludf.DUMMYFUNCTION("IFERROR(VALUE(REGEXEXTRACT(AI70, ""\d+"")), """")"),1.0)</f>
        <v>1</v>
      </c>
      <c r="AL70" s="26" t="str">
        <f>IFERROR(__xludf.DUMMYFUNCTION("TEXTJOIN("", "", TRUE, FILTER(Validations!$U$2:$U$100, ISNUMBER(SEARCH(Validations!$U$2:$U$100, AI70))))"),"Rounds")</f>
        <v>Rounds</v>
      </c>
      <c r="AM70" s="24" t="b">
        <f t="shared" si="1"/>
        <v>0</v>
      </c>
      <c r="AN70" s="41" t="b">
        <v>0</v>
      </c>
      <c r="AO70" s="22" t="s">
        <v>78</v>
      </c>
      <c r="AP70" s="12" t="str">
        <f>IFERROR(__xludf.DUMMYFUNCTION("IF(TEXTJOIN("", "", TRUE, FILTER(Validations!$Q$2:$Q$100, ISNUMBER(SEARCH(Validations!$Q$2:$Q$100, AO70)))) = """", Validations!$Q$2, TEXTJOIN("", "", TRUE, FILTER(Validations!$Q$2:$Q$100, ISNUMBER(SEARCH(Validations!$Q$2:$Q$100, AO70)))))"),"Point")</f>
        <v>Point</v>
      </c>
      <c r="AQ70" s="12" t="str">
        <f>IFERROR(__xludf.DUMMYFUNCTION("IFERROR(VALUE(REGEXEXTRACT(AO70, ""\d+"")), """")"),"")</f>
        <v/>
      </c>
      <c r="AR70" s="12" t="str">
        <f>IFERROR(__xludf.DUMMYFUNCTION("TEXTJOIN("", "", TRUE, FILTER(Validations!$R$2:$R$100, ISNUMBER(SEARCH(Validations!$R$2:$R$100, AO70))))"),"Self")</f>
        <v>Self</v>
      </c>
      <c r="AS70" s="27"/>
      <c r="AT70" s="12" t="str">
        <f>IFERROR(__xludf.DUMMYFUNCTION("IFERROR(TEXTJOIN("", "", TRUE, FILTER(Validations!$I$2:$I$100, ISNUMBER(SEARCH(Validations!$I$2:$I$100, AS70)))), """")"),"")</f>
        <v/>
      </c>
      <c r="AU70" s="16" t="str">
        <f t="array" ref="AU70">IFERROR(INDEX(Validations!$J$2:$J$100, MATCH(TRUE, ISNUMBER(SEARCH(Validations!$I$2:$I$100, AT70)), 0)), "")</f>
        <v/>
      </c>
      <c r="AV70" s="12" t="str">
        <f>IFERROR(__xludf.DUMMYFUNCTION("IFERROR(VALUE(REGEXEXTRACT(AS70, ""\d+"")), """")"),"")</f>
        <v/>
      </c>
      <c r="AW70" s="12" t="str">
        <f>IFERROR(__xludf.DUMMYFUNCTION("IFERROR(TEXTJOIN("", "", TRUE, FILTER(Validations!$Q$2:$Q$100, ISNUMBER(SEARCH(Validations!$Q$2:$Q$100, AS70)))), """")"),"")</f>
        <v/>
      </c>
      <c r="AX70" s="36" t="s">
        <v>135</v>
      </c>
      <c r="AY70" s="28" t="str">
        <f>IFERROR(__xludf.DUMMYFUNCTION("TEXTJOIN("", "", TRUE, FILTER(Validations!$Y$2:$Y$100, ISNUMBER(SEARCH(Validations!$X$2:$X$100, AX70))))"),"V, S, T")</f>
        <v>V, S, T</v>
      </c>
      <c r="AZ70" s="26"/>
      <c r="BA70" s="22" t="s">
        <v>372</v>
      </c>
      <c r="BB70" s="22"/>
      <c r="BC70" s="22"/>
      <c r="BD70" s="22"/>
      <c r="BE70" s="27"/>
      <c r="BF70" s="22"/>
      <c r="BG70" s="27"/>
      <c r="BH70" s="27"/>
      <c r="BI70" s="12" t="str">
        <f>IFERROR(__xludf.DUMMYFUNCTION("IFERROR(TEXTJOIN("", "", TRUE, FILTER(SRD!$A$2:$A$1000, EXACT(SRD!$A$2:$A$1000, J70))), """")"),"")</f>
        <v/>
      </c>
      <c r="BJ70" s="29"/>
      <c r="BK70" s="29"/>
    </row>
    <row r="71" ht="15.75" customHeight="1">
      <c r="A71" s="30" t="s">
        <v>373</v>
      </c>
      <c r="B71" s="22"/>
      <c r="C71" s="31"/>
      <c r="D71" s="31" t="s">
        <v>74</v>
      </c>
      <c r="E71" s="31"/>
      <c r="F71" s="32" t="s">
        <v>365</v>
      </c>
      <c r="G71" s="15" t="s">
        <v>64</v>
      </c>
      <c r="H71" s="31" t="s">
        <v>183</v>
      </c>
      <c r="I71" s="16" t="str">
        <f t="array" ref="I71">INDEX(Validations!$C$2:$C$100, MATCH(TRUE, ISNUMBER(SEARCH(Validations!$B$2:$B$100, H71)), 0))</f>
        <v>E</v>
      </c>
      <c r="J71" s="17" t="s">
        <v>374</v>
      </c>
      <c r="K71" s="18"/>
      <c r="L71" s="17"/>
      <c r="M71" s="17"/>
      <c r="N71" s="27"/>
      <c r="O71" s="17"/>
      <c r="P71" s="21"/>
      <c r="Q71" s="21"/>
      <c r="R71" s="22"/>
      <c r="S71" s="17" t="str">
        <f>IFERROR(__xludf.DUMMYFUNCTION("IFERROR(REGEXEXTRACT(J71, ""(\d{1,3}[dD]\d{1,3})""), """")"),"")</f>
        <v/>
      </c>
      <c r="T71" s="17" t="str">
        <f>IFERROR(__xludf.DUMMYFUNCTION("IF(COUNTIF(ARRAYFORMULA(LOWER(Validations!$O$2:$O$100)), LOWER(REGEXEXTRACT(J71, ""\d{1,3}[dD]\d{1,3}\s+(\w+)"")))&gt;0, REGEXEXTRACT(J71, ""\d{1,3}[dD]\d{1,3}\s+(\w+)""), """")"),"")</f>
        <v/>
      </c>
      <c r="U71" s="17" t="str">
        <f>IFERROR(__xludf.DUMMYFUNCTION("IF(COUNTIF(ARRAYFORMULA(LOWER(Validations!$P$2:$P$100)), LOWER(REGEXEXTRACT(J71, ""\d{1,3}[dD]\d{1,3}\s+(\w+)"")))&gt;0, REGEXEXTRACT(J71, ""\d{1,3}[dD]\d{1,3}\s+(\w+)""), """")"),"")</f>
        <v/>
      </c>
      <c r="V71" s="12" t="str">
        <f>IFERROR(__xludf.DUMMYFUNCTION("TEXTJOIN("", "", TRUE, FILTER(Validations!$L$2:$L$100, ISNUMBER(SEARCH(Validations!$L$2:$L$100, J71))))"),"")</f>
        <v/>
      </c>
      <c r="W71" s="12" t="str">
        <f>IFERROR(__xludf.DUMMYFUNCTION("IFERROR(TEXTJOIN("", "", TRUE, FILTER(Validations!$M$2:$M$100, ISNUMBER(SEARCH(Validations!$M$2:$M$100 &amp; "" saving throw"", J71)))), """")"),"Wisdom")</f>
        <v>Wisdom</v>
      </c>
      <c r="X71" s="12"/>
      <c r="Y71" s="12"/>
      <c r="Z71" s="12" t="str">
        <f>IFERROR(__xludf.DUMMYFUNCTION("IFERROR(TEXTJOIN("", "", TRUE, FILTER(Validations!$N$2:$N$100, ISNUMBER(SEARCH(Validations!$N$2:$N$100 &amp; "" check"", J71)))), """")"),"")</f>
        <v/>
      </c>
      <c r="AA71" s="12" t="str">
        <f>IFERROR(__xludf.DUMMYFUNCTION("IFERROR(TEXTJOIN("", "", TRUE, FILTER(Validations!$N$2:$N$100, ISNUMBER(SEARCH(Validations!$N$2:$N$100 &amp; "" check"", W71)))), """")"),"")</f>
        <v/>
      </c>
      <c r="AB71" s="23" t="str">
        <f>IFERROR(__xludf.DUMMYFUNCTION("IFERROR(CONCATENATE(IF(ISNUMBER(SEARCH(Validations!$M$2:$M$100 &amp; "" spell save"", J71)),""Spell Save"",""""), REGEXEXTRACT(J71, ""DC (\d+)"")), """")"),"")</f>
        <v/>
      </c>
      <c r="AC71" s="24" t="b">
        <v>0</v>
      </c>
      <c r="AD71" s="24" t="b">
        <v>0</v>
      </c>
      <c r="AE71" s="36" t="s">
        <v>69</v>
      </c>
      <c r="AF71" s="25">
        <f>IFERROR(__xludf.DUMMYFUNCTION("IFERROR(VALUE(REGEXEXTRACT(AE71, ""\d+"")), 1)"),1.0)</f>
        <v>1</v>
      </c>
      <c r="AG71" s="12" t="str">
        <f>IFERROR(__xludf.DUMMYFUNCTION("IF(
  ISNUMBER(SEARCH(""Bonus Action"", AE71)),
  ""Bonus Action"",
  IF(
    ISNUMBER(SEARCH(""Reaction"", AE71)),
    ""Reaction"",
    IF(
      ISNUMBER(SEARCH(""Action"", AE71)),
      ""Action"",
      TEXTJOIN("", "", TRUE, FILTER(Validations!$S$2:"&amp;"$S$100, ISNUMBER(SEARCH(Validations!$S$2:$S$100, AE71))))
    )
  )
)"),"Action")</f>
        <v>Action</v>
      </c>
      <c r="AH71" s="36"/>
      <c r="AI71" s="20" t="s">
        <v>87</v>
      </c>
      <c r="AJ71" s="26" t="str">
        <f>IFERROR(__xludf.DUMMYFUNCTION("TEXTJOIN("", "", TRUE, FILTER(Validations!$T$2:$T$100, ISNUMBER(SEARCH(Validations!$T$2:$T$100, AI71))))"),"")</f>
        <v/>
      </c>
      <c r="AK71" s="26">
        <f>IFERROR(__xludf.DUMMYFUNCTION("IFERROR(VALUE(REGEXEXTRACT(AI71, ""\d+"")), """")"),1.0)</f>
        <v>1</v>
      </c>
      <c r="AL71" s="26" t="str">
        <f>IFERROR(__xludf.DUMMYFUNCTION("TEXTJOIN("", "", TRUE, FILTER(Validations!$U$2:$U$100, ISNUMBER(SEARCH(Validations!$U$2:$U$100, AI71))))"),"Rounds")</f>
        <v>Rounds</v>
      </c>
      <c r="AM71" s="24" t="b">
        <f t="shared" si="1"/>
        <v>0</v>
      </c>
      <c r="AN71" s="24" t="b">
        <v>0</v>
      </c>
      <c r="AO71" s="22" t="s">
        <v>112</v>
      </c>
      <c r="AP71" s="12" t="str">
        <f>IFERROR(__xludf.DUMMYFUNCTION("IF(TEXTJOIN("", "", TRUE, FILTER(Validations!$Q$2:$Q$100, ISNUMBER(SEARCH(Validations!$Q$2:$Q$100, AO71)))) = """", Validations!$Q$2, TEXTJOIN("", "", TRUE, FILTER(Validations!$Q$2:$Q$100, ISNUMBER(SEARCH(Validations!$Q$2:$Q$100, AO71)))))"),"Point")</f>
        <v>Point</v>
      </c>
      <c r="AQ71" s="12">
        <f>IFERROR(__xludf.DUMMYFUNCTION("IFERROR(VALUE(REGEXEXTRACT(AO71, ""\d+"")), """")"),30.0)</f>
        <v>30</v>
      </c>
      <c r="AR71" s="12" t="str">
        <f>IFERROR(__xludf.DUMMYFUNCTION("TEXTJOIN("", "", TRUE, FILTER(Validations!$R$2:$R$100, ISNUMBER(SEARCH(Validations!$R$2:$R$100, AO71))))"),"Feet")</f>
        <v>Feet</v>
      </c>
      <c r="AS71" s="27"/>
      <c r="AT71" s="12" t="str">
        <f>IFERROR(__xludf.DUMMYFUNCTION("IFERROR(TEXTJOIN("", "", TRUE, FILTER(Validations!$I$2:$I$100, ISNUMBER(SEARCH(Validations!$I$2:$I$100, AS71)))), """")"),"")</f>
        <v/>
      </c>
      <c r="AU71" s="16" t="str">
        <f t="array" ref="AU71">IFERROR(INDEX(Validations!$J$2:$J$100, MATCH(TRUE, ISNUMBER(SEARCH(Validations!$I$2:$I$100, AT71)), 0)), "")</f>
        <v/>
      </c>
      <c r="AV71" s="12" t="str">
        <f>IFERROR(__xludf.DUMMYFUNCTION("IFERROR(VALUE(REGEXEXTRACT(AS71, ""\d+"")), """")"),"")</f>
        <v/>
      </c>
      <c r="AW71" s="12" t="str">
        <f>IFERROR(__xludf.DUMMYFUNCTION("IFERROR(TEXTJOIN("", "", TRUE, FILTER(Validations!$Q$2:$Q$100, ISNUMBER(SEARCH(Validations!$Q$2:$Q$100, AS71)))), """")"),"")</f>
        <v/>
      </c>
      <c r="AX71" s="28" t="s">
        <v>72</v>
      </c>
      <c r="AY71" s="28" t="str">
        <f>IFERROR(__xludf.DUMMYFUNCTION("TEXTJOIN("", "", TRUE, FILTER(Validations!$Y$2:$Y$100, ISNUMBER(SEARCH(Validations!$X$2:$X$100, AX71))))"),"V, S")</f>
        <v>V, S</v>
      </c>
      <c r="AZ71" s="27"/>
      <c r="BA71" s="22"/>
      <c r="BB71" s="22"/>
      <c r="BC71" s="22"/>
      <c r="BD71" s="22"/>
      <c r="BE71" s="27"/>
      <c r="BF71" s="22"/>
      <c r="BG71" s="27"/>
      <c r="BH71" s="27"/>
      <c r="BI71" s="12" t="str">
        <f>IFERROR(__xludf.DUMMYFUNCTION("IFERROR(TEXTJOIN("", "", TRUE, FILTER(SRD!$A$2:$A$1000, EXACT(SRD!$A$2:$A$1000, J71))), """")"),"")</f>
        <v/>
      </c>
      <c r="BJ71" s="29"/>
      <c r="BK71" s="29"/>
    </row>
    <row r="72" ht="15.75" customHeight="1">
      <c r="A72" s="38" t="s">
        <v>375</v>
      </c>
      <c r="B72" s="12"/>
      <c r="C72" s="16"/>
      <c r="D72" s="16" t="s">
        <v>229</v>
      </c>
      <c r="E72" s="16"/>
      <c r="F72" s="40" t="s">
        <v>130</v>
      </c>
      <c r="G72" s="15" t="s">
        <v>64</v>
      </c>
      <c r="H72" s="31" t="s">
        <v>178</v>
      </c>
      <c r="I72" s="16" t="str">
        <f t="array" ref="I72">INDEX(Validations!$C$2:$C$100, MATCH(TRUE, ISNUMBER(SEARCH(Validations!$B$2:$B$100, H72)), 0))</f>
        <v>A</v>
      </c>
      <c r="J72" s="17" t="s">
        <v>376</v>
      </c>
      <c r="K72" s="34"/>
      <c r="L72" s="17"/>
      <c r="M72" s="33"/>
      <c r="N72" s="20" t="s">
        <v>377</v>
      </c>
      <c r="O72" s="17" t="s">
        <v>378</v>
      </c>
      <c r="P72" s="21"/>
      <c r="Q72" s="21"/>
      <c r="R72" s="22"/>
      <c r="S72" s="17" t="str">
        <f>IFERROR(__xludf.DUMMYFUNCTION("IFERROR(REGEXEXTRACT(J72, ""(\d{1,3}[dD]\d{1,3})""), """")"),"")</f>
        <v/>
      </c>
      <c r="T72" s="17" t="str">
        <f>IFERROR(__xludf.DUMMYFUNCTION("IF(COUNTIF(ARRAYFORMULA(LOWER(Validations!$O$2:$O$100)), LOWER(REGEXEXTRACT(J72, ""\d{1,3}[dD]\d{1,3}\s+(\w+)"")))&gt;0, REGEXEXTRACT(J72, ""\d{1,3}[dD]\d{1,3}\s+(\w+)""), """")"),"")</f>
        <v/>
      </c>
      <c r="U72" s="17" t="str">
        <f>IFERROR(__xludf.DUMMYFUNCTION("IF(COUNTIF(ARRAYFORMULA(LOWER(Validations!$P$2:$P$100)), LOWER(REGEXEXTRACT(J72, ""\d{1,3}[dD]\d{1,3}\s+(\w+)"")))&gt;0, REGEXEXTRACT(J72, ""\d{1,3}[dD]\d{1,3}\s+(\w+)""), """")"),"")</f>
        <v/>
      </c>
      <c r="V72" s="12" t="str">
        <f>IFERROR(__xludf.DUMMYFUNCTION("TEXTJOIN("", "", TRUE, FILTER(Validations!$L$2:$L$100, ISNUMBER(SEARCH(Validations!$L$2:$L$100, J72))))"),"")</f>
        <v/>
      </c>
      <c r="W72" s="12" t="str">
        <f>IFERROR(__xludf.DUMMYFUNCTION("IFERROR(TEXTJOIN("", "", TRUE, FILTER(Validations!$M$2:$M$100, ISNUMBER(SEARCH(Validations!$M$2:$M$100 &amp; "" saving throw"", J72)))), """")"),"Dexterity")</f>
        <v>Dexterity</v>
      </c>
      <c r="X72" s="12"/>
      <c r="Y72" s="12"/>
      <c r="Z72" s="12" t="str">
        <f>IFERROR(__xludf.DUMMYFUNCTION("IFERROR(TEXTJOIN("", "", TRUE, FILTER(Validations!$N$2:$N$100, ISNUMBER(SEARCH(Validations!$N$2:$N$100 &amp; "" check"", J72)))), """")"),"")</f>
        <v/>
      </c>
      <c r="AA72" s="12" t="str">
        <f>IFERROR(__xludf.DUMMYFUNCTION("IFERROR(TEXTJOIN("", "", TRUE, FILTER(Validations!$N$2:$N$100, ISNUMBER(SEARCH(Validations!$N$2:$N$100 &amp; "" check"", W72)))), """")"),"")</f>
        <v/>
      </c>
      <c r="AB72" s="23" t="str">
        <f>IFERROR(__xludf.DUMMYFUNCTION("IFERROR(CONCATENATE(IF(ISNUMBER(SEARCH(Validations!$M$2:$M$100 &amp; "" spell save"", J72)),""Spell Save"",""""), REGEXEXTRACT(J72, ""DC (\d+)"")), """")"),"")</f>
        <v/>
      </c>
      <c r="AC72" s="24" t="b">
        <v>0</v>
      </c>
      <c r="AD72" s="24" t="b">
        <v>0</v>
      </c>
      <c r="AE72" s="12" t="s">
        <v>69</v>
      </c>
      <c r="AF72" s="25">
        <f>IFERROR(__xludf.DUMMYFUNCTION("IFERROR(VALUE(REGEXEXTRACT(AE72, ""\d+"")), 1)"),1.0)</f>
        <v>1</v>
      </c>
      <c r="AG72" s="12" t="str">
        <f>IFERROR(__xludf.DUMMYFUNCTION("IF(
  ISNUMBER(SEARCH(""Bonus Action"", AE72)),
  ""Bonus Action"",
  IF(
    ISNUMBER(SEARCH(""Reaction"", AE72)),
    ""Reaction"",
    IF(
      ISNUMBER(SEARCH(""Action"", AE72)),
      ""Action"",
      TEXTJOIN("", "", TRUE, FILTER(Validations!$S$2:"&amp;"$S$100, ISNUMBER(SEARCH(Validations!$S$2:$S$100, AE72))))
    )
  )
)"),"Action")</f>
        <v>Action</v>
      </c>
      <c r="AH72" s="12"/>
      <c r="AI72" s="20" t="s">
        <v>87</v>
      </c>
      <c r="AJ72" s="26" t="str">
        <f>IFERROR(__xludf.DUMMYFUNCTION("TEXTJOIN("", "", TRUE, FILTER(Validations!$T$2:$T$100, ISNUMBER(SEARCH(Validations!$T$2:$T$100, AI72))))"),"")</f>
        <v/>
      </c>
      <c r="AK72" s="26">
        <f>IFERROR(__xludf.DUMMYFUNCTION("IFERROR(VALUE(REGEXEXTRACT(AI72, ""\d+"")), """")"),1.0)</f>
        <v>1</v>
      </c>
      <c r="AL72" s="26" t="str">
        <f>IFERROR(__xludf.DUMMYFUNCTION("TEXTJOIN("", "", TRUE, FILTER(Validations!$U$2:$U$100, ISNUMBER(SEARCH(Validations!$U$2:$U$100, AI72))))"),"Rounds")</f>
        <v>Rounds</v>
      </c>
      <c r="AM72" s="24" t="b">
        <f t="shared" si="1"/>
        <v>0</v>
      </c>
      <c r="AN72" s="41" t="b">
        <v>0</v>
      </c>
      <c r="AO72" s="22" t="s">
        <v>78</v>
      </c>
      <c r="AP72" s="12" t="str">
        <f>IFERROR(__xludf.DUMMYFUNCTION("IF(TEXTJOIN("", "", TRUE, FILTER(Validations!$Q$2:$Q$100, ISNUMBER(SEARCH(Validations!$Q$2:$Q$100, AO72)))) = """", Validations!$Q$2, TEXTJOIN("", "", TRUE, FILTER(Validations!$Q$2:$Q$100, ISNUMBER(SEARCH(Validations!$Q$2:$Q$100, AO72)))))"),"Point")</f>
        <v>Point</v>
      </c>
      <c r="AQ72" s="12" t="str">
        <f>IFERROR(__xludf.DUMMYFUNCTION("IFERROR(VALUE(REGEXEXTRACT(AO72, ""\d+"")), """")"),"")</f>
        <v/>
      </c>
      <c r="AR72" s="12" t="str">
        <f>IFERROR(__xludf.DUMMYFUNCTION("TEXTJOIN("", "", TRUE, FILTER(Validations!$R$2:$R$100, ISNUMBER(SEARCH(Validations!$R$2:$R$100, AO72))))"),"Self")</f>
        <v>Self</v>
      </c>
      <c r="AS72" s="27"/>
      <c r="AT72" s="12" t="str">
        <f>IFERROR(__xludf.DUMMYFUNCTION("IFERROR(TEXTJOIN("", "", TRUE, FILTER(Validations!$I$2:$I$100, ISNUMBER(SEARCH(Validations!$I$2:$I$100, AS72)))), """")"),"")</f>
        <v/>
      </c>
      <c r="AU72" s="16" t="str">
        <f t="array" ref="AU72">IFERROR(INDEX(Validations!$J$2:$J$100, MATCH(TRUE, ISNUMBER(SEARCH(Validations!$I$2:$I$100, AT72)), 0)), "")</f>
        <v/>
      </c>
      <c r="AV72" s="12" t="str">
        <f>IFERROR(__xludf.DUMMYFUNCTION("IFERROR(VALUE(REGEXEXTRACT(AS72, ""\d+"")), """")"),"")</f>
        <v/>
      </c>
      <c r="AW72" s="12" t="str">
        <f>IFERROR(__xludf.DUMMYFUNCTION("IFERROR(TEXTJOIN("", "", TRUE, FILTER(Validations!$Q$2:$Q$100, ISNUMBER(SEARCH(Validations!$Q$2:$Q$100, AS72)))), """")"),"")</f>
        <v/>
      </c>
      <c r="AX72" s="36" t="s">
        <v>135</v>
      </c>
      <c r="AY72" s="28" t="str">
        <f>IFERROR(__xludf.DUMMYFUNCTION("TEXTJOIN("", "", TRUE, FILTER(Validations!$Y$2:$Y$100, ISNUMBER(SEARCH(Validations!$X$2:$X$100, AX72))))"),"V, S, T")</f>
        <v>V, S, T</v>
      </c>
      <c r="AZ72" s="26"/>
      <c r="BA72" s="22" t="s">
        <v>379</v>
      </c>
      <c r="BB72" s="22"/>
      <c r="BC72" s="22"/>
      <c r="BD72" s="22"/>
      <c r="BE72" s="27"/>
      <c r="BF72" s="22"/>
      <c r="BG72" s="27"/>
      <c r="BH72" s="27"/>
      <c r="BI72" s="12" t="str">
        <f>IFERROR(__xludf.DUMMYFUNCTION("IFERROR(TEXTJOIN("", "", TRUE, FILTER(SRD!$A$2:$A$1000, EXACT(SRD!$A$2:$A$1000, J72))), """")"),"")</f>
        <v/>
      </c>
      <c r="BJ72" s="29"/>
      <c r="BK72" s="29"/>
    </row>
    <row r="73" ht="15.75" customHeight="1">
      <c r="A73" s="38" t="s">
        <v>380</v>
      </c>
      <c r="B73" s="12"/>
      <c r="C73" s="16"/>
      <c r="D73" s="16" t="s">
        <v>229</v>
      </c>
      <c r="E73" s="16"/>
      <c r="F73" s="40" t="s">
        <v>130</v>
      </c>
      <c r="G73" s="15" t="s">
        <v>64</v>
      </c>
      <c r="H73" s="31" t="s">
        <v>178</v>
      </c>
      <c r="I73" s="16" t="str">
        <f t="array" ref="I73">INDEX(Validations!$C$2:$C$100, MATCH(TRUE, ISNUMBER(SEARCH(Validations!$B$2:$B$100, H73)), 0))</f>
        <v>A</v>
      </c>
      <c r="J73" s="17" t="s">
        <v>381</v>
      </c>
      <c r="K73" s="34"/>
      <c r="L73" s="17"/>
      <c r="M73" s="33"/>
      <c r="N73" s="20" t="s">
        <v>382</v>
      </c>
      <c r="O73" s="17" t="s">
        <v>383</v>
      </c>
      <c r="P73" s="21"/>
      <c r="Q73" s="21"/>
      <c r="R73" s="22"/>
      <c r="S73" s="17" t="str">
        <f>IFERROR(__xludf.DUMMYFUNCTION("IFERROR(REGEXEXTRACT(J73, ""(\d{1,3}[dD]\d{1,3})""), """")"),"1d4")</f>
        <v>1d4</v>
      </c>
      <c r="T73" s="17" t="str">
        <f>IFERROR(__xludf.DUMMYFUNCTION("IF(COUNTIF(ARRAYFORMULA(LOWER(Validations!$O$2:$O$100)), LOWER(REGEXEXTRACT(J73, ""\d{1,3}[dD]\d{1,3}\s+(\w+)"")))&gt;0, REGEXEXTRACT(J73, ""\d{1,3}[dD]\d{1,3}\s+(\w+)""), """")"),"")</f>
        <v/>
      </c>
      <c r="U73" s="17" t="str">
        <f>IFERROR(__xludf.DUMMYFUNCTION("IF(COUNTIF(ARRAYFORMULA(LOWER(Validations!$P$2:$P$100)), LOWER(REGEXEXTRACT(J73, ""\d{1,3}[dD]\d{1,3}\s+(\w+)"")))&gt;0, REGEXEXTRACT(J73, ""\d{1,3}[dD]\d{1,3}\s+(\w+)""), """")"),"")</f>
        <v/>
      </c>
      <c r="V73" s="12" t="str">
        <f>IFERROR(__xludf.DUMMYFUNCTION("TEXTJOIN("", "", TRUE, FILTER(Validations!$L$2:$L$100, ISNUMBER(SEARCH(Validations!$L$2:$L$100, J73))))"),"")</f>
        <v/>
      </c>
      <c r="W73" s="12" t="str">
        <f>IFERROR(__xludf.DUMMYFUNCTION("IFERROR(TEXTJOIN("", "", TRUE, FILTER(Validations!$M$2:$M$100, ISNUMBER(SEARCH(Validations!$M$2:$M$100 &amp; "" saving throw"", J73)))), """")"),"")</f>
        <v/>
      </c>
      <c r="X73" s="12"/>
      <c r="Y73" s="12"/>
      <c r="Z73" s="12" t="str">
        <f>IFERROR(__xludf.DUMMYFUNCTION("IFERROR(TEXTJOIN("", "", TRUE, FILTER(Validations!$N$2:$N$100, ISNUMBER(SEARCH(Validations!$N$2:$N$100 &amp; "" check"", J73)))), """")"),"")</f>
        <v/>
      </c>
      <c r="AA73" s="12" t="str">
        <f>IFERROR(__xludf.DUMMYFUNCTION("IFERROR(TEXTJOIN("", "", TRUE, FILTER(Validations!$N$2:$N$100, ISNUMBER(SEARCH(Validations!$N$2:$N$100 &amp; "" check"", W73)))), """")"),"")</f>
        <v/>
      </c>
      <c r="AB73" s="23" t="str">
        <f>IFERROR(__xludf.DUMMYFUNCTION("IFERROR(CONCATENATE(IF(ISNUMBER(SEARCH(Validations!$M$2:$M$100 &amp; "" spell save"", J73)),""Spell Save"",""""), REGEXEXTRACT(J73, ""DC (\d+)"")), """")"),"")</f>
        <v/>
      </c>
      <c r="AC73" s="24" t="b">
        <v>0</v>
      </c>
      <c r="AD73" s="24" t="b">
        <v>0</v>
      </c>
      <c r="AE73" s="12" t="s">
        <v>69</v>
      </c>
      <c r="AF73" s="25">
        <f>IFERROR(__xludf.DUMMYFUNCTION("IFERROR(VALUE(REGEXEXTRACT(AE73, ""\d+"")), 1)"),1.0)</f>
        <v>1</v>
      </c>
      <c r="AG73" s="12" t="str">
        <f>IFERROR(__xludf.DUMMYFUNCTION("IF(
  ISNUMBER(SEARCH(""Bonus Action"", AE73)),
  ""Bonus Action"",
  IF(
    ISNUMBER(SEARCH(""Reaction"", AE73)),
    ""Reaction"",
    IF(
      ISNUMBER(SEARCH(""Action"", AE73)),
      ""Action"",
      TEXTJOIN("", "", TRUE, FILTER(Validations!$S$2:"&amp;"$S$100, ISNUMBER(SEARCH(Validations!$S$2:$S$100, AE73))))
    )
  )
)"),"Action")</f>
        <v>Action</v>
      </c>
      <c r="AH73" s="12"/>
      <c r="AI73" s="26" t="s">
        <v>174</v>
      </c>
      <c r="AJ73" s="26" t="str">
        <f>IFERROR(__xludf.DUMMYFUNCTION("TEXTJOIN("", "", TRUE, FILTER(Validations!$T$2:$T$100, ISNUMBER(SEARCH(Validations!$T$2:$T$100, AI73))))"),"")</f>
        <v/>
      </c>
      <c r="AK73" s="26" t="str">
        <f>IFERROR(__xludf.DUMMYFUNCTION("IFERROR(VALUE(REGEXEXTRACT(AI73, ""\d+"")), """")"),"")</f>
        <v/>
      </c>
      <c r="AL73" s="26" t="str">
        <f>IFERROR(__xludf.DUMMYFUNCTION("TEXTJOIN("", "", TRUE, FILTER(Validations!$U$2:$U$100, ISNUMBER(SEARCH(Validations!$U$2:$U$100, AI73))))"),"")</f>
        <v/>
      </c>
      <c r="AM73" s="24" t="b">
        <f t="shared" si="1"/>
        <v>0</v>
      </c>
      <c r="AN73" s="41" t="b">
        <v>0</v>
      </c>
      <c r="AO73" s="22" t="s">
        <v>78</v>
      </c>
      <c r="AP73" s="12" t="str">
        <f>IFERROR(__xludf.DUMMYFUNCTION("IF(TEXTJOIN("", "", TRUE, FILTER(Validations!$Q$2:$Q$100, ISNUMBER(SEARCH(Validations!$Q$2:$Q$100, AO73)))) = """", Validations!$Q$2, TEXTJOIN("", "", TRUE, FILTER(Validations!$Q$2:$Q$100, ISNUMBER(SEARCH(Validations!$Q$2:$Q$100, AO73)))))"),"Point")</f>
        <v>Point</v>
      </c>
      <c r="AQ73" s="12" t="str">
        <f>IFERROR(__xludf.DUMMYFUNCTION("IFERROR(VALUE(REGEXEXTRACT(AO73, ""\d+"")), """")"),"")</f>
        <v/>
      </c>
      <c r="AR73" s="12" t="str">
        <f>IFERROR(__xludf.DUMMYFUNCTION("TEXTJOIN("", "", TRUE, FILTER(Validations!$R$2:$R$100, ISNUMBER(SEARCH(Validations!$R$2:$R$100, AO73))))"),"Self")</f>
        <v>Self</v>
      </c>
      <c r="AS73" s="27"/>
      <c r="AT73" s="12" t="str">
        <f>IFERROR(__xludf.DUMMYFUNCTION("IFERROR(TEXTJOIN("", "", TRUE, FILTER(Validations!$I$2:$I$100, ISNUMBER(SEARCH(Validations!$I$2:$I$100, AS73)))), """")"),"")</f>
        <v/>
      </c>
      <c r="AU73" s="16" t="str">
        <f t="array" ref="AU73">IFERROR(INDEX(Validations!$J$2:$J$100, MATCH(TRUE, ISNUMBER(SEARCH(Validations!$I$2:$I$100, AT73)), 0)), "")</f>
        <v/>
      </c>
      <c r="AV73" s="12" t="str">
        <f>IFERROR(__xludf.DUMMYFUNCTION("IFERROR(VALUE(REGEXEXTRACT(AS73, ""\d+"")), """")"),"")</f>
        <v/>
      </c>
      <c r="AW73" s="12" t="str">
        <f>IFERROR(__xludf.DUMMYFUNCTION("IFERROR(TEXTJOIN("", "", TRUE, FILTER(Validations!$Q$2:$Q$100, ISNUMBER(SEARCH(Validations!$Q$2:$Q$100, AS73)))), """")"),"")</f>
        <v/>
      </c>
      <c r="AX73" s="36" t="s">
        <v>135</v>
      </c>
      <c r="AY73" s="28" t="str">
        <f>IFERROR(__xludf.DUMMYFUNCTION("TEXTJOIN("", "", TRUE, FILTER(Validations!$Y$2:$Y$100, ISNUMBER(SEARCH(Validations!$X$2:$X$100, AX73))))"),"V, S, T")</f>
        <v>V, S, T</v>
      </c>
      <c r="AZ73" s="26"/>
      <c r="BA73" s="22" t="s">
        <v>384</v>
      </c>
      <c r="BB73" s="22"/>
      <c r="BC73" s="22"/>
      <c r="BD73" s="22"/>
      <c r="BE73" s="27"/>
      <c r="BF73" s="22"/>
      <c r="BG73" s="27"/>
      <c r="BH73" s="27"/>
      <c r="BI73" s="12" t="str">
        <f>IFERROR(__xludf.DUMMYFUNCTION("IFERROR(TEXTJOIN("", "", TRUE, FILTER(SRD!$A$2:$A$1000, EXACT(SRD!$A$2:$A$1000, J73))), """")"),"")</f>
        <v/>
      </c>
      <c r="BJ73" s="29"/>
      <c r="BK73" s="29"/>
    </row>
    <row r="74" ht="15.75" customHeight="1">
      <c r="A74" s="38" t="s">
        <v>385</v>
      </c>
      <c r="B74" s="12"/>
      <c r="C74" s="16"/>
      <c r="D74" s="16" t="s">
        <v>170</v>
      </c>
      <c r="E74" s="16"/>
      <c r="F74" s="40" t="s">
        <v>130</v>
      </c>
      <c r="G74" s="15" t="s">
        <v>64</v>
      </c>
      <c r="H74" s="31" t="s">
        <v>85</v>
      </c>
      <c r="I74" s="16" t="str">
        <f t="array" ref="I74">INDEX(Validations!$C$2:$C$100, MATCH(TRUE, ISNUMBER(SEARCH(Validations!$B$2:$B$100, H74)), 0))</f>
        <v>T</v>
      </c>
      <c r="J74" s="17" t="s">
        <v>386</v>
      </c>
      <c r="K74" s="34"/>
      <c r="L74" s="17"/>
      <c r="M74" s="33"/>
      <c r="N74" s="20" t="s">
        <v>387</v>
      </c>
      <c r="O74" s="17" t="s">
        <v>388</v>
      </c>
      <c r="P74" s="21"/>
      <c r="Q74" s="21"/>
      <c r="R74" s="22"/>
      <c r="S74" s="17" t="str">
        <f>IFERROR(__xludf.DUMMYFUNCTION("IFERROR(REGEXEXTRACT(J74, ""(\d{1,3}[dD]\d{1,3})""), """")"),"1d6")</f>
        <v>1d6</v>
      </c>
      <c r="T74" s="17" t="str">
        <f>IFERROR(__xludf.DUMMYFUNCTION("IF(COUNTIF(ARRAYFORMULA(LOWER(Validations!$O$2:$O$100)), LOWER(REGEXEXTRACT(J74, ""\d{1,3}[dD]\d{1,3}\s+(\w+)"")))&gt;0, REGEXEXTRACT(J74, ""\d{1,3}[dD]\d{1,3}\s+(\w+)""), """")"),"tearing")</f>
        <v>tearing</v>
      </c>
      <c r="U74" s="17" t="str">
        <f>IFERROR(__xludf.DUMMYFUNCTION("IF(COUNTIF(ARRAYFORMULA(LOWER(Validations!$P$2:$P$100)), LOWER(REGEXEXTRACT(J74, ""\d{1,3}[dD]\d{1,3}\s+(\w+)"")))&gt;0, REGEXEXTRACT(J74, ""\d{1,3}[dD]\d{1,3}\s+(\w+)""), """")"),"")</f>
        <v/>
      </c>
      <c r="V74" s="12" t="str">
        <f>IFERROR(__xludf.DUMMYFUNCTION("TEXTJOIN("", "", TRUE, FILTER(Validations!$L$2:$L$100, ISNUMBER(SEARCH(Validations!$L$2:$L$100, J74))))"),"")</f>
        <v/>
      </c>
      <c r="W74" s="12" t="str">
        <f>IFERROR(__xludf.DUMMYFUNCTION("IFERROR(TEXTJOIN("", "", TRUE, FILTER(Validations!$M$2:$M$100, ISNUMBER(SEARCH(Validations!$M$2:$M$100 &amp; "" saving throw"", J74)))), """")"),"")</f>
        <v/>
      </c>
      <c r="X74" s="12"/>
      <c r="Y74" s="12"/>
      <c r="Z74" s="12" t="str">
        <f>IFERROR(__xludf.DUMMYFUNCTION("IFERROR(TEXTJOIN("", "", TRUE, FILTER(Validations!$N$2:$N$100, ISNUMBER(SEARCH(Validations!$N$2:$N$100 &amp; "" check"", J74)))), """")"),"")</f>
        <v/>
      </c>
      <c r="AA74" s="12" t="str">
        <f>IFERROR(__xludf.DUMMYFUNCTION("IFERROR(TEXTJOIN("", "", TRUE, FILTER(Validations!$N$2:$N$100, ISNUMBER(SEARCH(Validations!$N$2:$N$100 &amp; "" check"", W74)))), """")"),"")</f>
        <v/>
      </c>
      <c r="AB74" s="23" t="str">
        <f>IFERROR(__xludf.DUMMYFUNCTION("IFERROR(CONCATENATE(IF(ISNUMBER(SEARCH(Validations!$M$2:$M$100 &amp; "" spell save"", J74)),""Spell Save"",""""), REGEXEXTRACT(J74, ""DC (\d+)"")), """")"),"")</f>
        <v/>
      </c>
      <c r="AC74" s="24" t="b">
        <v>0</v>
      </c>
      <c r="AD74" s="24" t="b">
        <v>0</v>
      </c>
      <c r="AE74" s="12" t="s">
        <v>69</v>
      </c>
      <c r="AF74" s="25">
        <f>IFERROR(__xludf.DUMMYFUNCTION("IFERROR(VALUE(REGEXEXTRACT(AE74, ""\d+"")), 1)"),1.0)</f>
        <v>1</v>
      </c>
      <c r="AG74" s="12" t="str">
        <f>IFERROR(__xludf.DUMMYFUNCTION("IF(
  ISNUMBER(SEARCH(""Bonus Action"", AE74)),
  ""Bonus Action"",
  IF(
    ISNUMBER(SEARCH(""Reaction"", AE74)),
    ""Reaction"",
    IF(
      ISNUMBER(SEARCH(""Action"", AE74)),
      ""Action"",
      TEXTJOIN("", "", TRUE, FILTER(Validations!$S$2:"&amp;"$S$100, ISNUMBER(SEARCH(Validations!$S$2:$S$100, AE74))))
    )
  )
)"),"Action")</f>
        <v>Action</v>
      </c>
      <c r="AH74" s="12"/>
      <c r="AI74" s="26" t="s">
        <v>174</v>
      </c>
      <c r="AJ74" s="26" t="str">
        <f>IFERROR(__xludf.DUMMYFUNCTION("TEXTJOIN("", "", TRUE, FILTER(Validations!$T$2:$T$100, ISNUMBER(SEARCH(Validations!$T$2:$T$100, AI74))))"),"")</f>
        <v/>
      </c>
      <c r="AK74" s="26" t="str">
        <f>IFERROR(__xludf.DUMMYFUNCTION("IFERROR(VALUE(REGEXEXTRACT(AI74, ""\d+"")), """")"),"")</f>
        <v/>
      </c>
      <c r="AL74" s="26" t="str">
        <f>IFERROR(__xludf.DUMMYFUNCTION("TEXTJOIN("", "", TRUE, FILTER(Validations!$U$2:$U$100, ISNUMBER(SEARCH(Validations!$U$2:$U$100, AI74))))"),"")</f>
        <v/>
      </c>
      <c r="AM74" s="24" t="b">
        <f t="shared" si="1"/>
        <v>0</v>
      </c>
      <c r="AN74" s="41" t="b">
        <v>0</v>
      </c>
      <c r="AO74" s="36" t="s">
        <v>389</v>
      </c>
      <c r="AP74" s="12" t="str">
        <f>IFERROR(__xludf.DUMMYFUNCTION("IF(TEXTJOIN("", "", TRUE, FILTER(Validations!$Q$2:$Q$100, ISNUMBER(SEARCH(Validations!$Q$2:$Q$100, AO74)))) = """", Validations!$Q$2, TEXTJOIN("", "", TRUE, FILTER(Validations!$Q$2:$Q$100, ISNUMBER(SEARCH(Validations!$Q$2:$Q$100, AO74)))))"),"Point")</f>
        <v>Point</v>
      </c>
      <c r="AQ74" s="12">
        <f>IFERROR(__xludf.DUMMYFUNCTION("IFERROR(VALUE(REGEXEXTRACT(AO74, ""\d+"")), """")"),20.0)</f>
        <v>20</v>
      </c>
      <c r="AR74" s="12" t="str">
        <f>IFERROR(__xludf.DUMMYFUNCTION("TEXTJOIN("", "", TRUE, FILTER(Validations!$R$2:$R$100, ISNUMBER(SEARCH(Validations!$R$2:$R$100, AO74))))"),"Feet")</f>
        <v>Feet</v>
      </c>
      <c r="AS74" s="27"/>
      <c r="AT74" s="12" t="str">
        <f>IFERROR(__xludf.DUMMYFUNCTION("IFERROR(TEXTJOIN("", "", TRUE, FILTER(Validations!$I$2:$I$100, ISNUMBER(SEARCH(Validations!$I$2:$I$100, AS74)))), """")"),"")</f>
        <v/>
      </c>
      <c r="AU74" s="16" t="str">
        <f t="array" ref="AU74">IFERROR(INDEX(Validations!$J$2:$J$100, MATCH(TRUE, ISNUMBER(SEARCH(Validations!$I$2:$I$100, AT74)), 0)), "")</f>
        <v/>
      </c>
      <c r="AV74" s="12" t="str">
        <f>IFERROR(__xludf.DUMMYFUNCTION("IFERROR(VALUE(REGEXEXTRACT(AS74, ""\d+"")), """")"),"")</f>
        <v/>
      </c>
      <c r="AW74" s="12" t="str">
        <f>IFERROR(__xludf.DUMMYFUNCTION("IFERROR(TEXTJOIN("", "", TRUE, FILTER(Validations!$Q$2:$Q$100, ISNUMBER(SEARCH(Validations!$Q$2:$Q$100, AS74)))), """")"),"")</f>
        <v/>
      </c>
      <c r="AX74" s="36" t="s">
        <v>135</v>
      </c>
      <c r="AY74" s="28" t="str">
        <f>IFERROR(__xludf.DUMMYFUNCTION("TEXTJOIN("", "", TRUE, FILTER(Validations!$Y$2:$Y$100, ISNUMBER(SEARCH(Validations!$X$2:$X$100, AX74))))"),"V, S, T")</f>
        <v>V, S, T</v>
      </c>
      <c r="AZ74" s="26"/>
      <c r="BA74" s="22" t="s">
        <v>390</v>
      </c>
      <c r="BB74" s="22"/>
      <c r="BC74" s="22"/>
      <c r="BD74" s="22"/>
      <c r="BE74" s="27"/>
      <c r="BF74" s="22"/>
      <c r="BG74" s="27"/>
      <c r="BH74" s="27"/>
      <c r="BI74" s="12" t="str">
        <f>IFERROR(__xludf.DUMMYFUNCTION("IFERROR(TEXTJOIN("", "", TRUE, FILTER(SRD!$A$2:$A$1000, EXACT(SRD!$A$2:$A$1000, J74))), """")"),"")</f>
        <v/>
      </c>
      <c r="BJ74" s="29"/>
      <c r="BK74" s="29"/>
    </row>
    <row r="75" ht="15.75" customHeight="1">
      <c r="A75" s="11" t="s">
        <v>391</v>
      </c>
      <c r="B75" s="12"/>
      <c r="C75" s="31"/>
      <c r="D75" s="31" t="s">
        <v>74</v>
      </c>
      <c r="E75" s="31"/>
      <c r="F75" s="32" t="s">
        <v>392</v>
      </c>
      <c r="G75" s="15" t="s">
        <v>64</v>
      </c>
      <c r="H75" s="16" t="s">
        <v>76</v>
      </c>
      <c r="I75" s="16" t="str">
        <f t="array" ref="I75">INDEX(Validations!$C$2:$C$100, MATCH(TRUE, ISNUMBER(SEARCH(Validations!$B$2:$B$100, H75)), 0))</f>
        <v>V</v>
      </c>
      <c r="J75" s="17" t="s">
        <v>393</v>
      </c>
      <c r="K75" s="34"/>
      <c r="L75" s="33"/>
      <c r="M75" s="33"/>
      <c r="N75" s="27"/>
      <c r="O75" s="17" t="s">
        <v>394</v>
      </c>
      <c r="P75" s="21"/>
      <c r="Q75" s="21"/>
      <c r="R75" s="22"/>
      <c r="S75" s="17" t="str">
        <f>IFERROR(__xludf.DUMMYFUNCTION("IFERROR(REGEXEXTRACT(J75, ""(\d{1,3}[dD]\d{1,3})""), """")"),"1d6")</f>
        <v>1d6</v>
      </c>
      <c r="T75" s="17" t="str">
        <f>IFERROR(__xludf.DUMMYFUNCTION("IF(COUNTIF(ARRAYFORMULA(LOWER(Validations!$O$2:$O$100)), LOWER(REGEXEXTRACT(J75, ""\d{1,3}[dD]\d{1,3}\s+(\w+)"")))&gt;0, REGEXEXTRACT(J75, ""\d{1,3}[dD]\d{1,3}\s+(\w+)""), """")"),"pyric")</f>
        <v>pyric</v>
      </c>
      <c r="U75" s="17" t="str">
        <f>IFERROR(__xludf.DUMMYFUNCTION("IF(COUNTIF(ARRAYFORMULA(LOWER(Validations!$P$2:$P$100)), LOWER(REGEXEXTRACT(J75, ""\d{1,3}[dD]\d{1,3}\s+(\w+)"")))&gt;0, REGEXEXTRACT(J75, ""\d{1,3}[dD]\d{1,3}\s+(\w+)""), """")"),"")</f>
        <v/>
      </c>
      <c r="V75" s="12" t="str">
        <f>IFERROR(__xludf.DUMMYFUNCTION("TEXTJOIN("", "", TRUE, FILTER(Validations!$L$2:$L$100, ISNUMBER(SEARCH(Validations!$L$2:$L$100, J75))))"),"")</f>
        <v/>
      </c>
      <c r="W75" s="12" t="str">
        <f>IFERROR(__xludf.DUMMYFUNCTION("IFERROR(TEXTJOIN("", "", TRUE, FILTER(Validations!$M$2:$M$100, ISNUMBER(SEARCH(Validations!$M$2:$M$100 &amp; "" saving throw"", J75)))), """")"),"Constitution")</f>
        <v>Constitution</v>
      </c>
      <c r="X75" s="12"/>
      <c r="Y75" s="12"/>
      <c r="Z75" s="12" t="str">
        <f>IFERROR(__xludf.DUMMYFUNCTION("IFERROR(TEXTJOIN("", "", TRUE, FILTER(Validations!$N$2:$N$100, ISNUMBER(SEARCH(Validations!$N$2:$N$100 &amp; "" check"", J75)))), """")"),"")</f>
        <v/>
      </c>
      <c r="AA75" s="12" t="str">
        <f>IFERROR(__xludf.DUMMYFUNCTION("IFERROR(TEXTJOIN("", "", TRUE, FILTER(Validations!$N$2:$N$100, ISNUMBER(SEARCH(Validations!$N$2:$N$100 &amp; "" check"", W75)))), """")"),"")</f>
        <v/>
      </c>
      <c r="AB75" s="23" t="str">
        <f>IFERROR(__xludf.DUMMYFUNCTION("IFERROR(CONCATENATE(IF(ISNUMBER(SEARCH(Validations!$M$2:$M$100 &amp; "" spell save"", J75)),""Spell Save"",""""), REGEXEXTRACT(J75, ""DC (\d+)"")), """")"),"")</f>
        <v/>
      </c>
      <c r="AC75" s="24" t="b">
        <v>0</v>
      </c>
      <c r="AD75" s="24" t="b">
        <v>0</v>
      </c>
      <c r="AE75" s="36" t="s">
        <v>69</v>
      </c>
      <c r="AF75" s="25">
        <f>IFERROR(__xludf.DUMMYFUNCTION("IFERROR(VALUE(REGEXEXTRACT(AE75, ""\d+"")), 1)"),1.0)</f>
        <v>1</v>
      </c>
      <c r="AG75" s="12" t="str">
        <f>IFERROR(__xludf.DUMMYFUNCTION("IF(
  ISNUMBER(SEARCH(""Bonus Action"", AE75)),
  ""Bonus Action"",
  IF(
    ISNUMBER(SEARCH(""Reaction"", AE75)),
    ""Reaction"",
    IF(
      ISNUMBER(SEARCH(""Action"", AE75)),
      ""Action"",
      TEXTJOIN("", "", TRUE, FILTER(Validations!$S$2:"&amp;"$S$100, ISNUMBER(SEARCH(Validations!$S$2:$S$100, AE75))))
    )
  )
)"),"Action")</f>
        <v>Action</v>
      </c>
      <c r="AH75" s="36"/>
      <c r="AI75" s="20" t="s">
        <v>87</v>
      </c>
      <c r="AJ75" s="26" t="str">
        <f>IFERROR(__xludf.DUMMYFUNCTION("TEXTJOIN("", "", TRUE, FILTER(Validations!$T$2:$T$100, ISNUMBER(SEARCH(Validations!$T$2:$T$100, AI75))))"),"")</f>
        <v/>
      </c>
      <c r="AK75" s="26">
        <f>IFERROR(__xludf.DUMMYFUNCTION("IFERROR(VALUE(REGEXEXTRACT(AI75, ""\d+"")), """")"),1.0)</f>
        <v>1</v>
      </c>
      <c r="AL75" s="26" t="str">
        <f>IFERROR(__xludf.DUMMYFUNCTION("TEXTJOIN("", "", TRUE, FILTER(Validations!$U$2:$U$100, ISNUMBER(SEARCH(Validations!$U$2:$U$100, AI75))))"),"Rounds")</f>
        <v>Rounds</v>
      </c>
      <c r="AM75" s="24" t="b">
        <f t="shared" si="1"/>
        <v>0</v>
      </c>
      <c r="AN75" s="24" t="b">
        <v>0</v>
      </c>
      <c r="AO75" s="36" t="s">
        <v>112</v>
      </c>
      <c r="AP75" s="12" t="str">
        <f>IFERROR(__xludf.DUMMYFUNCTION("IF(TEXTJOIN("", "", TRUE, FILTER(Validations!$Q$2:$Q$100, ISNUMBER(SEARCH(Validations!$Q$2:$Q$100, AO75)))) = """", Validations!$Q$2, TEXTJOIN("", "", TRUE, FILTER(Validations!$Q$2:$Q$100, ISNUMBER(SEARCH(Validations!$Q$2:$Q$100, AO75)))))"),"Point")</f>
        <v>Point</v>
      </c>
      <c r="AQ75" s="12">
        <f>IFERROR(__xludf.DUMMYFUNCTION("IFERROR(VALUE(REGEXEXTRACT(AO75, ""\d+"")), """")"),30.0)</f>
        <v>30</v>
      </c>
      <c r="AR75" s="12" t="str">
        <f>IFERROR(__xludf.DUMMYFUNCTION("TEXTJOIN("", "", TRUE, FILTER(Validations!$R$2:$R$100, ISNUMBER(SEARCH(Validations!$R$2:$R$100, AO75))))"),"Feet")</f>
        <v>Feet</v>
      </c>
      <c r="AS75" s="27"/>
      <c r="AT75" s="12" t="str">
        <f>IFERROR(__xludf.DUMMYFUNCTION("IFERROR(TEXTJOIN("", "", TRUE, FILTER(Validations!$I$2:$I$100, ISNUMBER(SEARCH(Validations!$I$2:$I$100, AS75)))), """")"),"")</f>
        <v/>
      </c>
      <c r="AU75" s="16" t="str">
        <f t="array" ref="AU75">IFERROR(INDEX(Validations!$J$2:$J$100, MATCH(TRUE, ISNUMBER(SEARCH(Validations!$I$2:$I$100, AT75)), 0)), "")</f>
        <v/>
      </c>
      <c r="AV75" s="12" t="str">
        <f>IFERROR(__xludf.DUMMYFUNCTION("IFERROR(VALUE(REGEXEXTRACT(AS75, ""\d+"")), """")"),"")</f>
        <v/>
      </c>
      <c r="AW75" s="12" t="str">
        <f>IFERROR(__xludf.DUMMYFUNCTION("IFERROR(TEXTJOIN("", "", TRUE, FILTER(Validations!$Q$2:$Q$100, ISNUMBER(SEARCH(Validations!$Q$2:$Q$100, AS75)))), """")"),"")</f>
        <v/>
      </c>
      <c r="AX75" s="28" t="s">
        <v>106</v>
      </c>
      <c r="AY75" s="28" t="str">
        <f>IFERROR(__xludf.DUMMYFUNCTION("TEXTJOIN("", "", TRUE, FILTER(Validations!$Y$2:$Y$100, ISNUMBER(SEARCH(Validations!$X$2:$X$100, AX75))))"),"S")</f>
        <v>S</v>
      </c>
      <c r="AZ75" s="27"/>
      <c r="BA75" s="22"/>
      <c r="BB75" s="22"/>
      <c r="BC75" s="22"/>
      <c r="BD75" s="22"/>
      <c r="BE75" s="27"/>
      <c r="BF75" s="22"/>
      <c r="BG75" s="27"/>
      <c r="BH75" s="27"/>
      <c r="BI75" s="12" t="str">
        <f>IFERROR(__xludf.DUMMYFUNCTION("IFERROR(TEXTJOIN("", "", TRUE, FILTER(SRD!$A$2:$A$1000, EXACT(SRD!$A$2:$A$1000, J75))), """")"),"")</f>
        <v/>
      </c>
      <c r="BJ75" s="29"/>
      <c r="BK75" s="29"/>
    </row>
    <row r="76" ht="15.75" customHeight="1">
      <c r="A76" s="30" t="s">
        <v>395</v>
      </c>
      <c r="B76" s="22"/>
      <c r="C76" s="31"/>
      <c r="D76" s="31" t="s">
        <v>74</v>
      </c>
      <c r="E76" s="31"/>
      <c r="F76" s="32" t="s">
        <v>84</v>
      </c>
      <c r="G76" s="15" t="s">
        <v>64</v>
      </c>
      <c r="H76" s="16" t="s">
        <v>65</v>
      </c>
      <c r="I76" s="16" t="str">
        <f t="array" ref="I76">INDEX(Validations!$C$2:$C$100, MATCH(TRUE, ISNUMBER(SEARCH(Validations!$B$2:$B$100, H76)), 0))</f>
        <v>I</v>
      </c>
      <c r="J76" s="33" t="s">
        <v>396</v>
      </c>
      <c r="K76" s="34"/>
      <c r="L76" s="33"/>
      <c r="M76" s="33"/>
      <c r="N76" s="27"/>
      <c r="O76" s="33"/>
      <c r="P76" s="35"/>
      <c r="Q76" s="35"/>
      <c r="R76" s="22"/>
      <c r="S76" s="17" t="str">
        <f>IFERROR(__xludf.DUMMYFUNCTION("IFERROR(REGEXEXTRACT(J76, ""(\d{1,3}[dD]\d{1,3})""), """")"),"")</f>
        <v/>
      </c>
      <c r="T76" s="17" t="str">
        <f>IFERROR(__xludf.DUMMYFUNCTION("IF(COUNTIF(ARRAYFORMULA(LOWER(Validations!$O$2:$O$100)), LOWER(REGEXEXTRACT(J76, ""\d{1,3}[dD]\d{1,3}\s+(\w+)"")))&gt;0, REGEXEXTRACT(J76, ""\d{1,3}[dD]\d{1,3}\s+(\w+)""), """")"),"")</f>
        <v/>
      </c>
      <c r="U76" s="17" t="str">
        <f>IFERROR(__xludf.DUMMYFUNCTION("IF(COUNTIF(ARRAYFORMULA(LOWER(Validations!$P$2:$P$100)), LOWER(REGEXEXTRACT(J76, ""\d{1,3}[dD]\d{1,3}\s+(\w+)"")))&gt;0, REGEXEXTRACT(J76, ""\d{1,3}[dD]\d{1,3}\s+(\w+)""), """")"),"")</f>
        <v/>
      </c>
      <c r="V76" s="12" t="str">
        <f>IFERROR(__xludf.DUMMYFUNCTION("TEXTJOIN("", "", TRUE, FILTER(Validations!$L$2:$L$100, ISNUMBER(SEARCH(Validations!$L$2:$L$100, J76))))"),"")</f>
        <v/>
      </c>
      <c r="W76" s="12" t="str">
        <f>IFERROR(__xludf.DUMMYFUNCTION("IFERROR(TEXTJOIN("", "", TRUE, FILTER(Validations!$M$2:$M$100, ISNUMBER(SEARCH(Validations!$M$2:$M$100 &amp; "" saving throw"", J76)))), """")"),"")</f>
        <v/>
      </c>
      <c r="X76" s="12"/>
      <c r="Y76" s="12"/>
      <c r="Z76" s="12" t="str">
        <f>IFERROR(__xludf.DUMMYFUNCTION("IFERROR(TEXTJOIN("", "", TRUE, FILTER(Validations!$N$2:$N$100, ISNUMBER(SEARCH(Validations!$N$2:$N$100 &amp; "" check"", J76)))), """")"),"")</f>
        <v/>
      </c>
      <c r="AA76" s="12" t="str">
        <f>IFERROR(__xludf.DUMMYFUNCTION("IFERROR(TEXTJOIN("", "", TRUE, FILTER(Validations!$N$2:$N$100, ISNUMBER(SEARCH(Validations!$N$2:$N$100 &amp; "" check"", W76)))), """")"),"")</f>
        <v/>
      </c>
      <c r="AB76" s="23" t="str">
        <f>IFERROR(__xludf.DUMMYFUNCTION("IFERROR(CONCATENATE(IF(ISNUMBER(SEARCH(Validations!$M$2:$M$100 &amp; "" spell save"", J76)),""Spell Save"",""""), REGEXEXTRACT(J76, ""DC (\d+)"")), """")"),"")</f>
        <v/>
      </c>
      <c r="AC76" s="24" t="b">
        <v>0</v>
      </c>
      <c r="AD76" s="24" t="b">
        <v>0</v>
      </c>
      <c r="AE76" s="36" t="s">
        <v>69</v>
      </c>
      <c r="AF76" s="25">
        <f>IFERROR(__xludf.DUMMYFUNCTION("IFERROR(VALUE(REGEXEXTRACT(AE76, ""\d+"")), 1)"),1.0)</f>
        <v>1</v>
      </c>
      <c r="AG76" s="12" t="str">
        <f>IFERROR(__xludf.DUMMYFUNCTION("IF(
  ISNUMBER(SEARCH(""Bonus Action"", AE76)),
  ""Bonus Action"",
  IF(
    ISNUMBER(SEARCH(""Reaction"", AE76)),
    ""Reaction"",
    IF(
      ISNUMBER(SEARCH(""Action"", AE76)),
      ""Action"",
      TEXTJOIN("", "", TRUE, FILTER(Validations!$S$2:"&amp;"$S$100, ISNUMBER(SEARCH(Validations!$S$2:$S$100, AE76))))
    )
  )
)"),"Action")</f>
        <v>Action</v>
      </c>
      <c r="AH76" s="36"/>
      <c r="AI76" s="20" t="s">
        <v>87</v>
      </c>
      <c r="AJ76" s="26" t="str">
        <f>IFERROR(__xludf.DUMMYFUNCTION("TEXTJOIN("", "", TRUE, FILTER(Validations!$T$2:$T$100, ISNUMBER(SEARCH(Validations!$T$2:$T$100, AI76))))"),"")</f>
        <v/>
      </c>
      <c r="AK76" s="26">
        <f>IFERROR(__xludf.DUMMYFUNCTION("IFERROR(VALUE(REGEXEXTRACT(AI76, ""\d+"")), """")"),1.0)</f>
        <v>1</v>
      </c>
      <c r="AL76" s="26" t="str">
        <f>IFERROR(__xludf.DUMMYFUNCTION("TEXTJOIN("", "", TRUE, FILTER(Validations!$U$2:$U$100, ISNUMBER(SEARCH(Validations!$U$2:$U$100, AI76))))"),"Rounds")</f>
        <v>Rounds</v>
      </c>
      <c r="AM76" s="24" t="b">
        <f t="shared" si="1"/>
        <v>0</v>
      </c>
      <c r="AN76" s="24" t="b">
        <v>0</v>
      </c>
      <c r="AO76" s="22" t="s">
        <v>78</v>
      </c>
      <c r="AP76" s="12" t="str">
        <f>IFERROR(__xludf.DUMMYFUNCTION("IF(TEXTJOIN("", "", TRUE, FILTER(Validations!$Q$2:$Q$100, ISNUMBER(SEARCH(Validations!$Q$2:$Q$100, AO76)))) = """", Validations!$Q$2, TEXTJOIN("", "", TRUE, FILTER(Validations!$Q$2:$Q$100, ISNUMBER(SEARCH(Validations!$Q$2:$Q$100, AO76)))))"),"Point")</f>
        <v>Point</v>
      </c>
      <c r="AQ76" s="12" t="str">
        <f>IFERROR(__xludf.DUMMYFUNCTION("IFERROR(VALUE(REGEXEXTRACT(AO76, ""\d+"")), """")"),"")</f>
        <v/>
      </c>
      <c r="AR76" s="12" t="str">
        <f>IFERROR(__xludf.DUMMYFUNCTION("TEXTJOIN("", "", TRUE, FILTER(Validations!$R$2:$R$100, ISNUMBER(SEARCH(Validations!$R$2:$R$100, AO76))))"),"Self")</f>
        <v>Self</v>
      </c>
      <c r="AS76" s="27"/>
      <c r="AT76" s="12" t="str">
        <f>IFERROR(__xludf.DUMMYFUNCTION("IFERROR(TEXTJOIN("", "", TRUE, FILTER(Validations!$I$2:$I$100, ISNUMBER(SEARCH(Validations!$I$2:$I$100, AS76)))), """")"),"")</f>
        <v/>
      </c>
      <c r="AU76" s="16" t="str">
        <f t="array" ref="AU76">IFERROR(INDEX(Validations!$J$2:$J$100, MATCH(TRUE, ISNUMBER(SEARCH(Validations!$I$2:$I$100, AT76)), 0)), "")</f>
        <v/>
      </c>
      <c r="AV76" s="12" t="str">
        <f>IFERROR(__xludf.DUMMYFUNCTION("IFERROR(VALUE(REGEXEXTRACT(AS76, ""\d+"")), """")"),"")</f>
        <v/>
      </c>
      <c r="AW76" s="12" t="str">
        <f>IFERROR(__xludf.DUMMYFUNCTION("IFERROR(TEXTJOIN("", "", TRUE, FILTER(Validations!$Q$2:$Q$100, ISNUMBER(SEARCH(Validations!$Q$2:$Q$100, AS76)))), """")"),"")</f>
        <v/>
      </c>
      <c r="AX76" s="28" t="s">
        <v>142</v>
      </c>
      <c r="AY76" s="28" t="str">
        <f>IFERROR(__xludf.DUMMYFUNCTION("TEXTJOIN("", "", TRUE, FILTER(Validations!$Y$2:$Y$100, ISNUMBER(SEARCH(Validations!$X$2:$X$100, AX76))))"),"V, S")</f>
        <v>V, S</v>
      </c>
      <c r="AZ76" s="27"/>
      <c r="BA76" s="22"/>
      <c r="BB76" s="22"/>
      <c r="BC76" s="22"/>
      <c r="BD76" s="22"/>
      <c r="BE76" s="27"/>
      <c r="BF76" s="22"/>
      <c r="BG76" s="27"/>
      <c r="BH76" s="27"/>
      <c r="BI76" s="12" t="str">
        <f>IFERROR(__xludf.DUMMYFUNCTION("IFERROR(TEXTJOIN("", "", TRUE, FILTER(SRD!$A$2:$A$1000, EXACT(SRD!$A$2:$A$1000, J76))), """")"),"")</f>
        <v/>
      </c>
      <c r="BJ76" s="29"/>
      <c r="BK76" s="29"/>
    </row>
    <row r="77" ht="15.75" customHeight="1">
      <c r="A77" s="38" t="s">
        <v>397</v>
      </c>
      <c r="B77" s="12"/>
      <c r="C77" s="16"/>
      <c r="D77" s="16" t="s">
        <v>170</v>
      </c>
      <c r="E77" s="16"/>
      <c r="F77" s="40" t="s">
        <v>130</v>
      </c>
      <c r="G77" s="15" t="s">
        <v>64</v>
      </c>
      <c r="H77" s="31" t="s">
        <v>76</v>
      </c>
      <c r="I77" s="16" t="str">
        <f t="array" ref="I77">INDEX(Validations!$C$2:$C$100, MATCH(TRUE, ISNUMBER(SEARCH(Validations!$B$2:$B$100, H77)), 0))</f>
        <v>V</v>
      </c>
      <c r="J77" s="17" t="s">
        <v>398</v>
      </c>
      <c r="K77" s="34"/>
      <c r="L77" s="17"/>
      <c r="M77" s="33"/>
      <c r="N77" s="20" t="s">
        <v>399</v>
      </c>
      <c r="O77" s="17" t="s">
        <v>400</v>
      </c>
      <c r="P77" s="21"/>
      <c r="Q77" s="21"/>
      <c r="R77" s="22"/>
      <c r="S77" s="17" t="str">
        <f>IFERROR(__xludf.DUMMYFUNCTION("IFERROR(REGEXEXTRACT(J77, ""(\d{1,3}[dD]\d{1,3})""), """")"),"1d6")</f>
        <v>1d6</v>
      </c>
      <c r="T77" s="17" t="str">
        <f>IFERROR(__xludf.DUMMYFUNCTION("IF(COUNTIF(ARRAYFORMULA(LOWER(Validations!$O$2:$O$100)), LOWER(REGEXEXTRACT(J77, ""\d{1,3}[dD]\d{1,3}\s+(\w+)"")))&gt;0, REGEXEXTRACT(J77, ""\d{1,3}[dD]\d{1,3}\s+(\w+)""), """")"),"electric")</f>
        <v>electric</v>
      </c>
      <c r="U77" s="17" t="str">
        <f>IFERROR(__xludf.DUMMYFUNCTION("IF(COUNTIF(ARRAYFORMULA(LOWER(Validations!$P$2:$P$100)), LOWER(REGEXEXTRACT(J77, ""\d{1,3}[dD]\d{1,3}\s+(\w+)"")))&gt;0, REGEXEXTRACT(J77, ""\d{1,3}[dD]\d{1,3}\s+(\w+)""), """")"),"")</f>
        <v/>
      </c>
      <c r="V77" s="12" t="str">
        <f>IFERROR(__xludf.DUMMYFUNCTION("TEXTJOIN("", "", TRUE, FILTER(Validations!$L$2:$L$100, ISNUMBER(SEARCH(Validations!$L$2:$L$100, J77))))"),"")</f>
        <v/>
      </c>
      <c r="W77" s="12" t="str">
        <f>IFERROR(__xludf.DUMMYFUNCTION("IFERROR(TEXTJOIN("", "", TRUE, FILTER(Validations!$M$2:$M$100, ISNUMBER(SEARCH(Validations!$M$2:$M$100 &amp; "" saving throw"", J77)))), """")"),"Dexterity")</f>
        <v>Dexterity</v>
      </c>
      <c r="X77" s="12"/>
      <c r="Y77" s="12"/>
      <c r="Z77" s="12" t="str">
        <f>IFERROR(__xludf.DUMMYFUNCTION("IFERROR(TEXTJOIN("", "", TRUE, FILTER(Validations!$N$2:$N$100, ISNUMBER(SEARCH(Validations!$N$2:$N$100 &amp; "" check"", J77)))), """")"),"")</f>
        <v/>
      </c>
      <c r="AA77" s="12" t="str">
        <f>IFERROR(__xludf.DUMMYFUNCTION("IFERROR(TEXTJOIN("", "", TRUE, FILTER(Validations!$N$2:$N$100, ISNUMBER(SEARCH(Validations!$N$2:$N$100 &amp; "" check"", W77)))), """")"),"")</f>
        <v/>
      </c>
      <c r="AB77" s="23" t="str">
        <f>IFERROR(__xludf.DUMMYFUNCTION("IFERROR(CONCATENATE(IF(ISNUMBER(SEARCH(Validations!$M$2:$M$100 &amp; "" spell save"", J77)),""Spell Save"",""""), REGEXEXTRACT(J77, ""DC (\d+)"")), """")"),"")</f>
        <v/>
      </c>
      <c r="AC77" s="24" t="b">
        <v>0</v>
      </c>
      <c r="AD77" s="24" t="b">
        <v>0</v>
      </c>
      <c r="AE77" s="12" t="s">
        <v>69</v>
      </c>
      <c r="AF77" s="25">
        <f>IFERROR(__xludf.DUMMYFUNCTION("IFERROR(VALUE(REGEXEXTRACT(AE77, ""\d+"")), 1)"),1.0)</f>
        <v>1</v>
      </c>
      <c r="AG77" s="12" t="str">
        <f>IFERROR(__xludf.DUMMYFUNCTION("IF(
  ISNUMBER(SEARCH(""Bonus Action"", AE77)),
  ""Bonus Action"",
  IF(
    ISNUMBER(SEARCH(""Reaction"", AE77)),
    ""Reaction"",
    IF(
      ISNUMBER(SEARCH(""Action"", AE77)),
      ""Action"",
      TEXTJOIN("", "", TRUE, FILTER(Validations!$S$2:"&amp;"$S$100, ISNUMBER(SEARCH(Validations!$S$2:$S$100, AE77))))
    )
  )
)"),"Action")</f>
        <v>Action</v>
      </c>
      <c r="AH77" s="12"/>
      <c r="AI77" s="26" t="s">
        <v>174</v>
      </c>
      <c r="AJ77" s="26" t="str">
        <f>IFERROR(__xludf.DUMMYFUNCTION("TEXTJOIN("", "", TRUE, FILTER(Validations!$T$2:$T$100, ISNUMBER(SEARCH(Validations!$T$2:$T$100, AI77))))"),"")</f>
        <v/>
      </c>
      <c r="AK77" s="26" t="str">
        <f>IFERROR(__xludf.DUMMYFUNCTION("IFERROR(VALUE(REGEXEXTRACT(AI77, ""\d+"")), """")"),"")</f>
        <v/>
      </c>
      <c r="AL77" s="26" t="str">
        <f>IFERROR(__xludf.DUMMYFUNCTION("TEXTJOIN("", "", TRUE, FILTER(Validations!$U$2:$U$100, ISNUMBER(SEARCH(Validations!$U$2:$U$100, AI77))))"),"")</f>
        <v/>
      </c>
      <c r="AM77" s="24" t="b">
        <f t="shared" si="1"/>
        <v>0</v>
      </c>
      <c r="AN77" s="41" t="b">
        <v>0</v>
      </c>
      <c r="AO77" s="36" t="s">
        <v>286</v>
      </c>
      <c r="AP77" s="12" t="str">
        <f>IFERROR(__xludf.DUMMYFUNCTION("IF(TEXTJOIN("", "", TRUE, FILTER(Validations!$Q$2:$Q$100, ISNUMBER(SEARCH(Validations!$Q$2:$Q$100, AO77)))) = """", Validations!$Q$2, TEXTJOIN("", "", TRUE, FILTER(Validations!$Q$2:$Q$100, ISNUMBER(SEARCH(Validations!$Q$2:$Q$100, AO77)))))"),"Point")</f>
        <v>Point</v>
      </c>
      <c r="AQ77" s="12">
        <f>IFERROR(__xludf.DUMMYFUNCTION("IFERROR(VALUE(REGEXEXTRACT(AO77, ""\d+"")), """")"),30.0)</f>
        <v>30</v>
      </c>
      <c r="AR77" s="12" t="str">
        <f>IFERROR(__xludf.DUMMYFUNCTION("TEXTJOIN("", "", TRUE, FILTER(Validations!$R$2:$R$100, ISNUMBER(SEARCH(Validations!$R$2:$R$100, AO77))))"),"Feet")</f>
        <v>Feet</v>
      </c>
      <c r="AS77" s="27"/>
      <c r="AT77" s="12" t="str">
        <f>IFERROR(__xludf.DUMMYFUNCTION("IFERROR(TEXTJOIN("", "", TRUE, FILTER(Validations!$I$2:$I$100, ISNUMBER(SEARCH(Validations!$I$2:$I$100, AS77)))), """")"),"")</f>
        <v/>
      </c>
      <c r="AU77" s="16" t="str">
        <f t="array" ref="AU77">IFERROR(INDEX(Validations!$J$2:$J$100, MATCH(TRUE, ISNUMBER(SEARCH(Validations!$I$2:$I$100, AT77)), 0)), "")</f>
        <v/>
      </c>
      <c r="AV77" s="12" t="str">
        <f>IFERROR(__xludf.DUMMYFUNCTION("IFERROR(VALUE(REGEXEXTRACT(AS77, ""\d+"")), """")"),"")</f>
        <v/>
      </c>
      <c r="AW77" s="12" t="str">
        <f>IFERROR(__xludf.DUMMYFUNCTION("IFERROR(TEXTJOIN("", "", TRUE, FILTER(Validations!$Q$2:$Q$100, ISNUMBER(SEARCH(Validations!$Q$2:$Q$100, AS77)))), """")"),"")</f>
        <v/>
      </c>
      <c r="AX77" s="36" t="s">
        <v>135</v>
      </c>
      <c r="AY77" s="28" t="str">
        <f>IFERROR(__xludf.DUMMYFUNCTION("TEXTJOIN("", "", TRUE, FILTER(Validations!$Y$2:$Y$100, ISNUMBER(SEARCH(Validations!$X$2:$X$100, AX77))))"),"V, S, T")</f>
        <v>V, S, T</v>
      </c>
      <c r="AZ77" s="26"/>
      <c r="BA77" s="22" t="s">
        <v>401</v>
      </c>
      <c r="BB77" s="22"/>
      <c r="BC77" s="22"/>
      <c r="BD77" s="22"/>
      <c r="BE77" s="27"/>
      <c r="BF77" s="22"/>
      <c r="BG77" s="27"/>
      <c r="BH77" s="27"/>
      <c r="BI77" s="12" t="str">
        <f>IFERROR(__xludf.DUMMYFUNCTION("IFERROR(TEXTJOIN("", "", TRUE, FILTER(SRD!$A$2:$A$1000, EXACT(SRD!$A$2:$A$1000, J77))), """")"),"")</f>
        <v/>
      </c>
      <c r="BJ77" s="29"/>
      <c r="BK77" s="29"/>
    </row>
    <row r="78" ht="15.75" customHeight="1">
      <c r="A78" s="38" t="s">
        <v>402</v>
      </c>
      <c r="B78" s="12"/>
      <c r="C78" s="16"/>
      <c r="D78" s="16" t="s">
        <v>170</v>
      </c>
      <c r="E78" s="16"/>
      <c r="F78" s="40" t="s">
        <v>130</v>
      </c>
      <c r="G78" s="15" t="s">
        <v>64</v>
      </c>
      <c r="H78" s="31" t="s">
        <v>76</v>
      </c>
      <c r="I78" s="16" t="str">
        <f t="array" ref="I78">INDEX(Validations!$C$2:$C$100, MATCH(TRUE, ISNUMBER(SEARCH(Validations!$B$2:$B$100, H78)), 0))</f>
        <v>V</v>
      </c>
      <c r="J78" s="17" t="s">
        <v>403</v>
      </c>
      <c r="K78" s="34"/>
      <c r="L78" s="17"/>
      <c r="M78" s="33"/>
      <c r="N78" s="20" t="s">
        <v>404</v>
      </c>
      <c r="O78" s="17" t="s">
        <v>405</v>
      </c>
      <c r="P78" s="21"/>
      <c r="Q78" s="21"/>
      <c r="R78" s="22"/>
      <c r="S78" s="17" t="str">
        <f>IFERROR(__xludf.DUMMYFUNCTION("IFERROR(REGEXEXTRACT(J78, ""(\d{1,3}[dD]\d{1,3})""), """")"),"1d4")</f>
        <v>1d4</v>
      </c>
      <c r="T78" s="17" t="str">
        <f>IFERROR(__xludf.DUMMYFUNCTION("IF(COUNTIF(ARRAYFORMULA(LOWER(Validations!$O$2:$O$100)), LOWER(REGEXEXTRACT(J78, ""\d{1,3}[dD]\d{1,3}\s+(\w+)"")))&gt;0, REGEXEXTRACT(J78, ""\d{1,3}[dD]\d{1,3}\s+(\w+)""), """")"),"electric")</f>
        <v>electric</v>
      </c>
      <c r="U78" s="17" t="str">
        <f>IFERROR(__xludf.DUMMYFUNCTION("IF(COUNTIF(ARRAYFORMULA(LOWER(Validations!$P$2:$P$100)), LOWER(REGEXEXTRACT(J78, ""\d{1,3}[dD]\d{1,3}\s+(\w+)"")))&gt;0, REGEXEXTRACT(J78, ""\d{1,3}[dD]\d{1,3}\s+(\w+)""), """")"),"")</f>
        <v/>
      </c>
      <c r="V78" s="12" t="str">
        <f>IFERROR(__xludf.DUMMYFUNCTION("TEXTJOIN("", "", TRUE, FILTER(Validations!$L$2:$L$100, ISNUMBER(SEARCH(Validations!$L$2:$L$100, J78))))"),"")</f>
        <v/>
      </c>
      <c r="W78" s="12" t="str">
        <f>IFERROR(__xludf.DUMMYFUNCTION("IFERROR(TEXTJOIN("", "", TRUE, FILTER(Validations!$M$2:$M$100, ISNUMBER(SEARCH(Validations!$M$2:$M$100 &amp; "" saving throw"", J78)))), """")"),"Constitution")</f>
        <v>Constitution</v>
      </c>
      <c r="X78" s="12"/>
      <c r="Y78" s="12"/>
      <c r="Z78" s="12" t="str">
        <f>IFERROR(__xludf.DUMMYFUNCTION("IFERROR(TEXTJOIN("", "", TRUE, FILTER(Validations!$N$2:$N$100, ISNUMBER(SEARCH(Validations!$N$2:$N$100 &amp; "" check"", J78)))), """")"),"")</f>
        <v/>
      </c>
      <c r="AA78" s="12" t="str">
        <f>IFERROR(__xludf.DUMMYFUNCTION("IFERROR(TEXTJOIN("", "", TRUE, FILTER(Validations!$N$2:$N$100, ISNUMBER(SEARCH(Validations!$N$2:$N$100 &amp; "" check"", W78)))), """")"),"")</f>
        <v/>
      </c>
      <c r="AB78" s="23" t="str">
        <f>IFERROR(__xludf.DUMMYFUNCTION("IFERROR(CONCATENATE(IF(ISNUMBER(SEARCH(Validations!$M$2:$M$100 &amp; "" spell save"", J78)),""Spell Save"",""""), REGEXEXTRACT(J78, ""DC (\d+)"")), """")"),"")</f>
        <v/>
      </c>
      <c r="AC78" s="24" t="b">
        <v>0</v>
      </c>
      <c r="AD78" s="24" t="b">
        <v>0</v>
      </c>
      <c r="AE78" s="12" t="s">
        <v>69</v>
      </c>
      <c r="AF78" s="25">
        <f>IFERROR(__xludf.DUMMYFUNCTION("IFERROR(VALUE(REGEXEXTRACT(AE78, ""\d+"")), 1)"),1.0)</f>
        <v>1</v>
      </c>
      <c r="AG78" s="12" t="str">
        <f>IFERROR(__xludf.DUMMYFUNCTION("IF(
  ISNUMBER(SEARCH(""Bonus Action"", AE78)),
  ""Bonus Action"",
  IF(
    ISNUMBER(SEARCH(""Reaction"", AE78)),
    ""Reaction"",
    IF(
      ISNUMBER(SEARCH(""Action"", AE78)),
      ""Action"",
      TEXTJOIN("", "", TRUE, FILTER(Validations!$S$2:"&amp;"$S$100, ISNUMBER(SEARCH(Validations!$S$2:$S$100, AE78))))
    )
  )
)"),"Action")</f>
        <v>Action</v>
      </c>
      <c r="AH78" s="12"/>
      <c r="AI78" s="26" t="s">
        <v>174</v>
      </c>
      <c r="AJ78" s="26" t="str">
        <f>IFERROR(__xludf.DUMMYFUNCTION("TEXTJOIN("", "", TRUE, FILTER(Validations!$T$2:$T$100, ISNUMBER(SEARCH(Validations!$T$2:$T$100, AI78))))"),"")</f>
        <v/>
      </c>
      <c r="AK78" s="26" t="str">
        <f>IFERROR(__xludf.DUMMYFUNCTION("IFERROR(VALUE(REGEXEXTRACT(AI78, ""\d+"")), """")"),"")</f>
        <v/>
      </c>
      <c r="AL78" s="26" t="str">
        <f>IFERROR(__xludf.DUMMYFUNCTION("TEXTJOIN("", "", TRUE, FILTER(Validations!$U$2:$U$100, ISNUMBER(SEARCH(Validations!$U$2:$U$100, AI78))))"),"")</f>
        <v/>
      </c>
      <c r="AM78" s="24" t="b">
        <f t="shared" si="1"/>
        <v>0</v>
      </c>
      <c r="AN78" s="41" t="b">
        <v>0</v>
      </c>
      <c r="AO78" s="36" t="s">
        <v>406</v>
      </c>
      <c r="AP78" s="12" t="str">
        <f>IFERROR(__xludf.DUMMYFUNCTION("IF(TEXTJOIN("", "", TRUE, FILTER(Validations!$Q$2:$Q$100, ISNUMBER(SEARCH(Validations!$Q$2:$Q$100, AO78)))) = """", Validations!$Q$2, TEXTJOIN("", "", TRUE, FILTER(Validations!$Q$2:$Q$100, ISNUMBER(SEARCH(Validations!$Q$2:$Q$100, AO78)))))"),"Point")</f>
        <v>Point</v>
      </c>
      <c r="AQ78" s="12">
        <f>IFERROR(__xludf.DUMMYFUNCTION("IFERROR(VALUE(REGEXEXTRACT(AO78, ""\d+"")), """")"),10.0)</f>
        <v>10</v>
      </c>
      <c r="AR78" s="12" t="str">
        <f>IFERROR(__xludf.DUMMYFUNCTION("TEXTJOIN("", "", TRUE, FILTER(Validations!$R$2:$R$100, ISNUMBER(SEARCH(Validations!$R$2:$R$100, AO78))))"),"Feet")</f>
        <v>Feet</v>
      </c>
      <c r="AS78" s="27"/>
      <c r="AT78" s="12" t="str">
        <f>IFERROR(__xludf.DUMMYFUNCTION("IFERROR(TEXTJOIN("", "", TRUE, FILTER(Validations!$I$2:$I$100, ISNUMBER(SEARCH(Validations!$I$2:$I$100, AS78)))), """")"),"")</f>
        <v/>
      </c>
      <c r="AU78" s="16" t="str">
        <f t="array" ref="AU78">IFERROR(INDEX(Validations!$J$2:$J$100, MATCH(TRUE, ISNUMBER(SEARCH(Validations!$I$2:$I$100, AT78)), 0)), "")</f>
        <v/>
      </c>
      <c r="AV78" s="12" t="str">
        <f>IFERROR(__xludf.DUMMYFUNCTION("IFERROR(VALUE(REGEXEXTRACT(AS78, ""\d+"")), """")"),"")</f>
        <v/>
      </c>
      <c r="AW78" s="12" t="str">
        <f>IFERROR(__xludf.DUMMYFUNCTION("IFERROR(TEXTJOIN("", "", TRUE, FILTER(Validations!$Q$2:$Q$100, ISNUMBER(SEARCH(Validations!$Q$2:$Q$100, AS78)))), """")"),"")</f>
        <v/>
      </c>
      <c r="AX78" s="36" t="s">
        <v>135</v>
      </c>
      <c r="AY78" s="28" t="str">
        <f>IFERROR(__xludf.DUMMYFUNCTION("TEXTJOIN("", "", TRUE, FILTER(Validations!$Y$2:$Y$100, ISNUMBER(SEARCH(Validations!$X$2:$X$100, AX78))))"),"V, S, T")</f>
        <v>V, S, T</v>
      </c>
      <c r="AZ78" s="26"/>
      <c r="BA78" s="22" t="s">
        <v>407</v>
      </c>
      <c r="BB78" s="22"/>
      <c r="BC78" s="22"/>
      <c r="BD78" s="22"/>
      <c r="BE78" s="27"/>
      <c r="BF78" s="22"/>
      <c r="BG78" s="27"/>
      <c r="BH78" s="27"/>
      <c r="BI78" s="12" t="str">
        <f>IFERROR(__xludf.DUMMYFUNCTION("IFERROR(TEXTJOIN("", "", TRUE, FILTER(SRD!$A$2:$A$1000, EXACT(SRD!$A$2:$A$1000, J78))), """")"),"")</f>
        <v/>
      </c>
      <c r="BJ78" s="29"/>
      <c r="BK78" s="29"/>
    </row>
    <row r="79" ht="15.75" customHeight="1">
      <c r="A79" s="30" t="s">
        <v>408</v>
      </c>
      <c r="B79" s="22"/>
      <c r="C79" s="31"/>
      <c r="D79" s="31" t="s">
        <v>74</v>
      </c>
      <c r="E79" s="31"/>
      <c r="F79" s="32" t="s">
        <v>199</v>
      </c>
      <c r="G79" s="15" t="s">
        <v>64</v>
      </c>
      <c r="H79" s="16" t="s">
        <v>178</v>
      </c>
      <c r="I79" s="16" t="str">
        <f t="array" ref="I79">INDEX(Validations!$C$2:$C$100, MATCH(TRUE, ISNUMBER(SEARCH(Validations!$B$2:$B$100, H79)), 0))</f>
        <v>A</v>
      </c>
      <c r="J79" s="33" t="s">
        <v>409</v>
      </c>
      <c r="K79" s="34"/>
      <c r="L79" s="33"/>
      <c r="M79" s="33"/>
      <c r="N79" s="27"/>
      <c r="O79" s="33"/>
      <c r="P79" s="35"/>
      <c r="Q79" s="35"/>
      <c r="R79" s="22"/>
      <c r="S79" s="17" t="str">
        <f>IFERROR(__xludf.DUMMYFUNCTION("IFERROR(REGEXEXTRACT(J79, ""(\d{1,3}[dD]\d{1,3})""), """")"),"")</f>
        <v/>
      </c>
      <c r="T79" s="17" t="str">
        <f>IFERROR(__xludf.DUMMYFUNCTION("IF(COUNTIF(ARRAYFORMULA(LOWER(Validations!$O$2:$O$100)), LOWER(REGEXEXTRACT(J79, ""\d{1,3}[dD]\d{1,3}\s+(\w+)"")))&gt;0, REGEXEXTRACT(J79, ""\d{1,3}[dD]\d{1,3}\s+(\w+)""), """")"),"")</f>
        <v/>
      </c>
      <c r="U79" s="17" t="str">
        <f>IFERROR(__xludf.DUMMYFUNCTION("IF(COUNTIF(ARRAYFORMULA(LOWER(Validations!$P$2:$P$100)), LOWER(REGEXEXTRACT(J79, ""\d{1,3}[dD]\d{1,3}\s+(\w+)"")))&gt;0, REGEXEXTRACT(J79, ""\d{1,3}[dD]\d{1,3}\s+(\w+)""), """")"),"")</f>
        <v/>
      </c>
      <c r="V79" s="12" t="str">
        <f>IFERROR(__xludf.DUMMYFUNCTION("TEXTJOIN("", "", TRUE, FILTER(Validations!$L$2:$L$100, ISNUMBER(SEARCH(Validations!$L$2:$L$100, J79))))"),"")</f>
        <v/>
      </c>
      <c r="W79" s="12" t="str">
        <f>IFERROR(__xludf.DUMMYFUNCTION("IFERROR(TEXTJOIN("", "", TRUE, FILTER(Validations!$M$2:$M$100, ISNUMBER(SEARCH(Validations!$M$2:$M$100 &amp; "" saving throw"", J79)))), """")"),"")</f>
        <v/>
      </c>
      <c r="X79" s="12"/>
      <c r="Y79" s="12"/>
      <c r="Z79" s="12" t="str">
        <f>IFERROR(__xludf.DUMMYFUNCTION("IFERROR(TEXTJOIN("", "", TRUE, FILTER(Validations!$N$2:$N$100, ISNUMBER(SEARCH(Validations!$N$2:$N$100 &amp; "" check"", J79)))), """")"),"")</f>
        <v/>
      </c>
      <c r="AA79" s="12" t="str">
        <f>IFERROR(__xludf.DUMMYFUNCTION("IFERROR(TEXTJOIN("", "", TRUE, FILTER(Validations!$N$2:$N$100, ISNUMBER(SEARCH(Validations!$N$2:$N$100 &amp; "" check"", W79)))), """")"),"")</f>
        <v/>
      </c>
      <c r="AB79" s="23" t="str">
        <f>IFERROR(__xludf.DUMMYFUNCTION("IFERROR(CONCATENATE(IF(ISNUMBER(SEARCH(Validations!$M$2:$M$100 &amp; "" spell save"", J79)),""Spell Save"",""""), REGEXEXTRACT(J79, ""DC (\d+)"")), """")"),"")</f>
        <v/>
      </c>
      <c r="AC79" s="24" t="b">
        <v>0</v>
      </c>
      <c r="AD79" s="24" t="b">
        <v>0</v>
      </c>
      <c r="AE79" s="36" t="s">
        <v>69</v>
      </c>
      <c r="AF79" s="25">
        <f>IFERROR(__xludf.DUMMYFUNCTION("IFERROR(VALUE(REGEXEXTRACT(AE79, ""\d+"")), 1)"),1.0)</f>
        <v>1</v>
      </c>
      <c r="AG79" s="12" t="str">
        <f>IFERROR(__xludf.DUMMYFUNCTION("IF(
  ISNUMBER(SEARCH(""Bonus Action"", AE79)),
  ""Bonus Action"",
  IF(
    ISNUMBER(SEARCH(""Reaction"", AE79)),
    ""Reaction"",
    IF(
      ISNUMBER(SEARCH(""Action"", AE79)),
      ""Action"",
      TEXTJOIN("", "", TRUE, FILTER(Validations!$S$2:"&amp;"$S$100, ISNUMBER(SEARCH(Validations!$S$2:$S$100, AE79))))
    )
  )
)"),"Action")</f>
        <v>Action</v>
      </c>
      <c r="AH79" s="36"/>
      <c r="AI79" s="20" t="s">
        <v>87</v>
      </c>
      <c r="AJ79" s="26" t="str">
        <f>IFERROR(__xludf.DUMMYFUNCTION("TEXTJOIN("", "", TRUE, FILTER(Validations!$T$2:$T$100, ISNUMBER(SEARCH(Validations!$T$2:$T$100, AI79))))"),"")</f>
        <v/>
      </c>
      <c r="AK79" s="26">
        <f>IFERROR(__xludf.DUMMYFUNCTION("IFERROR(VALUE(REGEXEXTRACT(AI79, ""\d+"")), """")"),1.0)</f>
        <v>1</v>
      </c>
      <c r="AL79" s="26" t="str">
        <f>IFERROR(__xludf.DUMMYFUNCTION("TEXTJOIN("", "", TRUE, FILTER(Validations!$U$2:$U$100, ISNUMBER(SEARCH(Validations!$U$2:$U$100, AI79))))"),"Rounds")</f>
        <v>Rounds</v>
      </c>
      <c r="AM79" s="24" t="b">
        <f t="shared" si="1"/>
        <v>0</v>
      </c>
      <c r="AN79" s="24" t="b">
        <v>0</v>
      </c>
      <c r="AO79" s="22" t="s">
        <v>78</v>
      </c>
      <c r="AP79" s="12" t="str">
        <f>IFERROR(__xludf.DUMMYFUNCTION("IF(TEXTJOIN("", "", TRUE, FILTER(Validations!$Q$2:$Q$100, ISNUMBER(SEARCH(Validations!$Q$2:$Q$100, AO79)))) = """", Validations!$Q$2, TEXTJOIN("", "", TRUE, FILTER(Validations!$Q$2:$Q$100, ISNUMBER(SEARCH(Validations!$Q$2:$Q$100, AO79)))))"),"Point")</f>
        <v>Point</v>
      </c>
      <c r="AQ79" s="12" t="str">
        <f>IFERROR(__xludf.DUMMYFUNCTION("IFERROR(VALUE(REGEXEXTRACT(AO79, ""\d+"")), """")"),"")</f>
        <v/>
      </c>
      <c r="AR79" s="12" t="str">
        <f>IFERROR(__xludf.DUMMYFUNCTION("TEXTJOIN("", "", TRUE, FILTER(Validations!$R$2:$R$100, ISNUMBER(SEARCH(Validations!$R$2:$R$100, AO79))))"),"Self")</f>
        <v>Self</v>
      </c>
      <c r="AS79" s="27"/>
      <c r="AT79" s="12" t="str">
        <f>IFERROR(__xludf.DUMMYFUNCTION("IFERROR(TEXTJOIN("", "", TRUE, FILTER(Validations!$I$2:$I$100, ISNUMBER(SEARCH(Validations!$I$2:$I$100, AS79)))), """")"),"")</f>
        <v/>
      </c>
      <c r="AU79" s="16" t="str">
        <f t="array" ref="AU79">IFERROR(INDEX(Validations!$J$2:$J$100, MATCH(TRUE, ISNUMBER(SEARCH(Validations!$I$2:$I$100, AT79)), 0)), "")</f>
        <v/>
      </c>
      <c r="AV79" s="12" t="str">
        <f>IFERROR(__xludf.DUMMYFUNCTION("IFERROR(VALUE(REGEXEXTRACT(AS79, ""\d+"")), """")"),"")</f>
        <v/>
      </c>
      <c r="AW79" s="12" t="str">
        <f>IFERROR(__xludf.DUMMYFUNCTION("IFERROR(TEXTJOIN("", "", TRUE, FILTER(Validations!$Q$2:$Q$100, ISNUMBER(SEARCH(Validations!$Q$2:$Q$100, AS79)))), """")"),"")</f>
        <v/>
      </c>
      <c r="AX79" s="28" t="s">
        <v>72</v>
      </c>
      <c r="AY79" s="28" t="str">
        <f>IFERROR(__xludf.DUMMYFUNCTION("TEXTJOIN("", "", TRUE, FILTER(Validations!$Y$2:$Y$100, ISNUMBER(SEARCH(Validations!$X$2:$X$100, AX79))))"),"V, S")</f>
        <v>V, S</v>
      </c>
      <c r="AZ79" s="27"/>
      <c r="BA79" s="22"/>
      <c r="BB79" s="22"/>
      <c r="BC79" s="22"/>
      <c r="BD79" s="22"/>
      <c r="BE79" s="27"/>
      <c r="BF79" s="22"/>
      <c r="BG79" s="27"/>
      <c r="BH79" s="27"/>
      <c r="BI79" s="12" t="str">
        <f>IFERROR(__xludf.DUMMYFUNCTION("IFERROR(TEXTJOIN("", "", TRUE, FILTER(SRD!$A$2:$A$1000, EXACT(SRD!$A$2:$A$1000, J79))), """")"),"")</f>
        <v/>
      </c>
      <c r="BJ79" s="29"/>
      <c r="BK79" s="29"/>
    </row>
    <row r="80" ht="15.75" customHeight="1">
      <c r="A80" s="30" t="s">
        <v>410</v>
      </c>
      <c r="B80" s="22"/>
      <c r="C80" s="31"/>
      <c r="D80" s="31" t="s">
        <v>74</v>
      </c>
      <c r="E80" s="31"/>
      <c r="F80" s="32" t="s">
        <v>108</v>
      </c>
      <c r="G80" s="15" t="s">
        <v>64</v>
      </c>
      <c r="H80" s="16" t="s">
        <v>178</v>
      </c>
      <c r="I80" s="16" t="str">
        <f t="array" ref="I80">INDEX(Validations!$C$2:$C$100, MATCH(TRUE, ISNUMBER(SEARCH(Validations!$B$2:$B$100, H80)), 0))</f>
        <v>A</v>
      </c>
      <c r="J80" s="33" t="s">
        <v>411</v>
      </c>
      <c r="K80" s="34"/>
      <c r="L80" s="33"/>
      <c r="M80" s="33"/>
      <c r="N80" s="27"/>
      <c r="O80" s="33"/>
      <c r="P80" s="35"/>
      <c r="Q80" s="35"/>
      <c r="R80" s="22"/>
      <c r="S80" s="17" t="str">
        <f>IFERROR(__xludf.DUMMYFUNCTION("IFERROR(REGEXEXTRACT(J80, ""(\d{1,3}[dD]\d{1,3})""), """")"),"")</f>
        <v/>
      </c>
      <c r="T80" s="17" t="str">
        <f>IFERROR(__xludf.DUMMYFUNCTION("IF(COUNTIF(ARRAYFORMULA(LOWER(Validations!$O$2:$O$100)), LOWER(REGEXEXTRACT(J80, ""\d{1,3}[dD]\d{1,3}\s+(\w+)"")))&gt;0, REGEXEXTRACT(J80, ""\d{1,3}[dD]\d{1,3}\s+(\w+)""), """")"),"")</f>
        <v/>
      </c>
      <c r="U80" s="17" t="str">
        <f>IFERROR(__xludf.DUMMYFUNCTION("IF(COUNTIF(ARRAYFORMULA(LOWER(Validations!$P$2:$P$100)), LOWER(REGEXEXTRACT(J80, ""\d{1,3}[dD]\d{1,3}\s+(\w+)"")))&gt;0, REGEXEXTRACT(J80, ""\d{1,3}[dD]\d{1,3}\s+(\w+)""), """")"),"")</f>
        <v/>
      </c>
      <c r="V80" s="12" t="str">
        <f>IFERROR(__xludf.DUMMYFUNCTION("TEXTJOIN("", "", TRUE, FILTER(Validations!$L$2:$L$100, ISNUMBER(SEARCH(Validations!$L$2:$L$100, J80))))"),"")</f>
        <v/>
      </c>
      <c r="W80" s="12" t="str">
        <f>IFERROR(__xludf.DUMMYFUNCTION("IFERROR(TEXTJOIN("", "", TRUE, FILTER(Validations!$M$2:$M$100, ISNUMBER(SEARCH(Validations!$M$2:$M$100 &amp; "" saving throw"", J80)))), """")"),"")</f>
        <v/>
      </c>
      <c r="X80" s="12"/>
      <c r="Y80" s="12"/>
      <c r="Z80" s="12" t="str">
        <f>IFERROR(__xludf.DUMMYFUNCTION("IFERROR(TEXTJOIN("", "", TRUE, FILTER(Validations!$N$2:$N$100, ISNUMBER(SEARCH(Validations!$N$2:$N$100 &amp; "" check"", J80)))), """")"),"")</f>
        <v/>
      </c>
      <c r="AA80" s="12" t="str">
        <f>IFERROR(__xludf.DUMMYFUNCTION("IFERROR(TEXTJOIN("", "", TRUE, FILTER(Validations!$N$2:$N$100, ISNUMBER(SEARCH(Validations!$N$2:$N$100 &amp; "" check"", W80)))), """")"),"")</f>
        <v/>
      </c>
      <c r="AB80" s="23" t="str">
        <f>IFERROR(__xludf.DUMMYFUNCTION("IFERROR(CONCATENATE(IF(ISNUMBER(SEARCH(Validations!$M$2:$M$100 &amp; "" spell save"", J80)),""Spell Save"",""""), REGEXEXTRACT(J80, ""DC (\d+)"")), """")"),"15")</f>
        <v>15</v>
      </c>
      <c r="AC80" s="24" t="b">
        <v>0</v>
      </c>
      <c r="AD80" s="24" t="b">
        <v>0</v>
      </c>
      <c r="AE80" s="36" t="s">
        <v>69</v>
      </c>
      <c r="AF80" s="25">
        <f>IFERROR(__xludf.DUMMYFUNCTION("IFERROR(VALUE(REGEXEXTRACT(AE80, ""\d+"")), 1)"),1.0)</f>
        <v>1</v>
      </c>
      <c r="AG80" s="12" t="str">
        <f>IFERROR(__xludf.DUMMYFUNCTION("IF(
  ISNUMBER(SEARCH(""Bonus Action"", AE80)),
  ""Bonus Action"",
  IF(
    ISNUMBER(SEARCH(""Reaction"", AE80)),
    ""Reaction"",
    IF(
      ISNUMBER(SEARCH(""Action"", AE80)),
      ""Action"",
      TEXTJOIN("", "", TRUE, FILTER(Validations!$S$2:"&amp;"$S$100, ISNUMBER(SEARCH(Validations!$S$2:$S$100, AE80))))
    )
  )
)"),"Action")</f>
        <v>Action</v>
      </c>
      <c r="AH80" s="36"/>
      <c r="AI80" s="20" t="s">
        <v>92</v>
      </c>
      <c r="AJ80" s="26" t="str">
        <f>IFERROR(__xludf.DUMMYFUNCTION("TEXTJOIN("", "", TRUE, FILTER(Validations!$T$2:$T$100, ISNUMBER(SEARCH(Validations!$T$2:$T$100, AI80))))"),"")</f>
        <v/>
      </c>
      <c r="AK80" s="26">
        <f>IFERROR(__xludf.DUMMYFUNCTION("IFERROR(VALUE(REGEXEXTRACT(AI80, ""\d+"")), """")"),1.0)</f>
        <v>1</v>
      </c>
      <c r="AL80" s="26" t="str">
        <f>IFERROR(__xludf.DUMMYFUNCTION("TEXTJOIN("", "", TRUE, FILTER(Validations!$U$2:$U$100, ISNUMBER(SEARCH(Validations!$U$2:$U$100, AI80))))"),"Minutes")</f>
        <v>Minutes</v>
      </c>
      <c r="AM80" s="24" t="b">
        <f t="shared" si="1"/>
        <v>0</v>
      </c>
      <c r="AN80" s="24" t="b">
        <v>0</v>
      </c>
      <c r="AO80" s="22" t="s">
        <v>78</v>
      </c>
      <c r="AP80" s="12" t="str">
        <f>IFERROR(__xludf.DUMMYFUNCTION("IF(TEXTJOIN("", "", TRUE, FILTER(Validations!$Q$2:$Q$100, ISNUMBER(SEARCH(Validations!$Q$2:$Q$100, AO80)))) = """", Validations!$Q$2, TEXTJOIN("", "", TRUE, FILTER(Validations!$Q$2:$Q$100, ISNUMBER(SEARCH(Validations!$Q$2:$Q$100, AO80)))))"),"Point")</f>
        <v>Point</v>
      </c>
      <c r="AQ80" s="12" t="str">
        <f>IFERROR(__xludf.DUMMYFUNCTION("IFERROR(VALUE(REGEXEXTRACT(AO80, ""\d+"")), """")"),"")</f>
        <v/>
      </c>
      <c r="AR80" s="12" t="str">
        <f>IFERROR(__xludf.DUMMYFUNCTION("TEXTJOIN("", "", TRUE, FILTER(Validations!$R$2:$R$100, ISNUMBER(SEARCH(Validations!$R$2:$R$100, AO80))))"),"Self")</f>
        <v>Self</v>
      </c>
      <c r="AS80" s="27"/>
      <c r="AT80" s="12" t="str">
        <f>IFERROR(__xludf.DUMMYFUNCTION("IFERROR(TEXTJOIN("", "", TRUE, FILTER(Validations!$I$2:$I$100, ISNUMBER(SEARCH(Validations!$I$2:$I$100, AS80)))), """")"),"")</f>
        <v/>
      </c>
      <c r="AU80" s="16" t="str">
        <f t="array" ref="AU80">IFERROR(INDEX(Validations!$J$2:$J$100, MATCH(TRUE, ISNUMBER(SEARCH(Validations!$I$2:$I$100, AT80)), 0)), "")</f>
        <v/>
      </c>
      <c r="AV80" s="12" t="str">
        <f>IFERROR(__xludf.DUMMYFUNCTION("IFERROR(VALUE(REGEXEXTRACT(AS80, ""\d+"")), """")"),"")</f>
        <v/>
      </c>
      <c r="AW80" s="12" t="str">
        <f>IFERROR(__xludf.DUMMYFUNCTION("IFERROR(TEXTJOIN("", "", TRUE, FILTER(Validations!$Q$2:$Q$100, ISNUMBER(SEARCH(Validations!$Q$2:$Q$100, AS80)))), """")"),"")</f>
        <v/>
      </c>
      <c r="AX80" s="28" t="s">
        <v>248</v>
      </c>
      <c r="AY80" s="28" t="str">
        <f>IFERROR(__xludf.DUMMYFUNCTION("TEXTJOIN("", "", TRUE, FILTER(Validations!$Y$2:$Y$100, ISNUMBER(SEARCH(Validations!$X$2:$X$100, AX80))))"),"V")</f>
        <v>V</v>
      </c>
      <c r="AZ80" s="27"/>
      <c r="BA80" s="22"/>
      <c r="BB80" s="22"/>
      <c r="BC80" s="22"/>
      <c r="BD80" s="22"/>
      <c r="BE80" s="27"/>
      <c r="BF80" s="22"/>
      <c r="BG80" s="27"/>
      <c r="BH80" s="27"/>
      <c r="BI80" s="12" t="str">
        <f>IFERROR(__xludf.DUMMYFUNCTION("IFERROR(TEXTJOIN("", "", TRUE, FILTER(SRD!$A$2:$A$1000, EXACT(SRD!$A$2:$A$1000, J80))), """")"),"")</f>
        <v/>
      </c>
      <c r="BJ80" s="29"/>
      <c r="BK80" s="29"/>
    </row>
    <row r="81" ht="15.75" customHeight="1">
      <c r="A81" s="38" t="s">
        <v>412</v>
      </c>
      <c r="B81" s="12"/>
      <c r="C81" s="16"/>
      <c r="D81" s="16" t="s">
        <v>229</v>
      </c>
      <c r="E81" s="16"/>
      <c r="F81" s="40" t="s">
        <v>130</v>
      </c>
      <c r="G81" s="15" t="s">
        <v>64</v>
      </c>
      <c r="H81" s="31" t="s">
        <v>85</v>
      </c>
      <c r="I81" s="16" t="str">
        <f t="array" ref="I81">INDEX(Validations!$C$2:$C$100, MATCH(TRUE, ISNUMBER(SEARCH(Validations!$B$2:$B$100, H81)), 0))</f>
        <v>T</v>
      </c>
      <c r="J81" s="17" t="s">
        <v>413</v>
      </c>
      <c r="K81" s="34"/>
      <c r="L81" s="17"/>
      <c r="M81" s="33"/>
      <c r="N81" s="27"/>
      <c r="O81" s="17" t="s">
        <v>414</v>
      </c>
      <c r="P81" s="21"/>
      <c r="Q81" s="21"/>
      <c r="R81" s="22"/>
      <c r="S81" s="17" t="str">
        <f>IFERROR(__xludf.DUMMYFUNCTION("IFERROR(REGEXEXTRACT(J81, ""(\d{1,3}[dD]\d{1,3})""), """")"),"")</f>
        <v/>
      </c>
      <c r="T81" s="17" t="str">
        <f>IFERROR(__xludf.DUMMYFUNCTION("IF(COUNTIF(ARRAYFORMULA(LOWER(Validations!$O$2:$O$100)), LOWER(REGEXEXTRACT(J81, ""\d{1,3}[dD]\d{1,3}\s+(\w+)"")))&gt;0, REGEXEXTRACT(J81, ""\d{1,3}[dD]\d{1,3}\s+(\w+)""), """")"),"")</f>
        <v/>
      </c>
      <c r="U81" s="17" t="str">
        <f>IFERROR(__xludf.DUMMYFUNCTION("IF(COUNTIF(ARRAYFORMULA(LOWER(Validations!$P$2:$P$100)), LOWER(REGEXEXTRACT(J81, ""\d{1,3}[dD]\d{1,3}\s+(\w+)"")))&gt;0, REGEXEXTRACT(J81, ""\d{1,3}[dD]\d{1,3}\s+(\w+)""), """")"),"")</f>
        <v/>
      </c>
      <c r="V81" s="12" t="str">
        <f>IFERROR(__xludf.DUMMYFUNCTION("TEXTJOIN("", "", TRUE, FILTER(Validations!$L$2:$L$100, ISNUMBER(SEARCH(Validations!$L$2:$L$100, J81))))"),"")</f>
        <v/>
      </c>
      <c r="W81" s="12" t="str">
        <f>IFERROR(__xludf.DUMMYFUNCTION("IFERROR(TEXTJOIN("", "", TRUE, FILTER(Validations!$M$2:$M$100, ISNUMBER(SEARCH(Validations!$M$2:$M$100 &amp; "" saving throw"", J81)))), """")"),"")</f>
        <v/>
      </c>
      <c r="X81" s="12"/>
      <c r="Y81" s="12"/>
      <c r="Z81" s="12" t="str">
        <f>IFERROR(__xludf.DUMMYFUNCTION("IFERROR(TEXTJOIN("", "", TRUE, FILTER(Validations!$N$2:$N$100, ISNUMBER(SEARCH(Validations!$N$2:$N$100 &amp; "" check"", J81)))), """")"),"")</f>
        <v/>
      </c>
      <c r="AA81" s="12" t="str">
        <f>IFERROR(__xludf.DUMMYFUNCTION("IFERROR(TEXTJOIN("", "", TRUE, FILTER(Validations!$N$2:$N$100, ISNUMBER(SEARCH(Validations!$N$2:$N$100 &amp; "" check"", W81)))), """")"),"")</f>
        <v/>
      </c>
      <c r="AB81" s="23" t="str">
        <f>IFERROR(__xludf.DUMMYFUNCTION("IFERROR(CONCATENATE(IF(ISNUMBER(SEARCH(Validations!$M$2:$M$100 &amp; "" spell save"", J81)),""Spell Save"",""""), REGEXEXTRACT(J81, ""DC (\d+)"")), """")"),"")</f>
        <v/>
      </c>
      <c r="AC81" s="24" t="b">
        <v>0</v>
      </c>
      <c r="AD81" s="24" t="b">
        <v>0</v>
      </c>
      <c r="AE81" s="12" t="s">
        <v>69</v>
      </c>
      <c r="AF81" s="25">
        <f>IFERROR(__xludf.DUMMYFUNCTION("IFERROR(VALUE(REGEXEXTRACT(AE81, ""\d+"")), 1)"),1.0)</f>
        <v>1</v>
      </c>
      <c r="AG81" s="12" t="str">
        <f>IFERROR(__xludf.DUMMYFUNCTION("IF(
  ISNUMBER(SEARCH(""Bonus Action"", AE81)),
  ""Bonus Action"",
  IF(
    ISNUMBER(SEARCH(""Reaction"", AE81)),
    ""Reaction"",
    IF(
      ISNUMBER(SEARCH(""Action"", AE81)),
      ""Action"",
      TEXTJOIN("", "", TRUE, FILTER(Validations!$S$2:"&amp;"$S$100, ISNUMBER(SEARCH(Validations!$S$2:$S$100, AE81))))
    )
  )
)"),"Action")</f>
        <v>Action</v>
      </c>
      <c r="AH81" s="12"/>
      <c r="AI81" s="20" t="s">
        <v>87</v>
      </c>
      <c r="AJ81" s="26" t="str">
        <f>IFERROR(__xludf.DUMMYFUNCTION("TEXTJOIN("", "", TRUE, FILTER(Validations!$T$2:$T$100, ISNUMBER(SEARCH(Validations!$T$2:$T$100, AI81))))"),"")</f>
        <v/>
      </c>
      <c r="AK81" s="26">
        <f>IFERROR(__xludf.DUMMYFUNCTION("IFERROR(VALUE(REGEXEXTRACT(AI81, ""\d+"")), """")"),1.0)</f>
        <v>1</v>
      </c>
      <c r="AL81" s="26" t="str">
        <f>IFERROR(__xludf.DUMMYFUNCTION("TEXTJOIN("", "", TRUE, FILTER(Validations!$U$2:$U$100, ISNUMBER(SEARCH(Validations!$U$2:$U$100, AI81))))"),"Rounds")</f>
        <v>Rounds</v>
      </c>
      <c r="AM81" s="24" t="b">
        <f t="shared" si="1"/>
        <v>0</v>
      </c>
      <c r="AN81" s="41" t="b">
        <v>0</v>
      </c>
      <c r="AO81" s="22" t="s">
        <v>78</v>
      </c>
      <c r="AP81" s="12" t="str">
        <f>IFERROR(__xludf.DUMMYFUNCTION("IF(TEXTJOIN("", "", TRUE, FILTER(Validations!$Q$2:$Q$100, ISNUMBER(SEARCH(Validations!$Q$2:$Q$100, AO81)))) = """", Validations!$Q$2, TEXTJOIN("", "", TRUE, FILTER(Validations!$Q$2:$Q$100, ISNUMBER(SEARCH(Validations!$Q$2:$Q$100, AO81)))))"),"Point")</f>
        <v>Point</v>
      </c>
      <c r="AQ81" s="12" t="str">
        <f>IFERROR(__xludf.DUMMYFUNCTION("IFERROR(VALUE(REGEXEXTRACT(AO81, ""\d+"")), """")"),"")</f>
        <v/>
      </c>
      <c r="AR81" s="12" t="str">
        <f>IFERROR(__xludf.DUMMYFUNCTION("TEXTJOIN("", "", TRUE, FILTER(Validations!$R$2:$R$100, ISNUMBER(SEARCH(Validations!$R$2:$R$100, AO81))))"),"Self")</f>
        <v>Self</v>
      </c>
      <c r="AS81" s="27"/>
      <c r="AT81" s="12" t="str">
        <f>IFERROR(__xludf.DUMMYFUNCTION("IFERROR(TEXTJOIN("", "", TRUE, FILTER(Validations!$I$2:$I$100, ISNUMBER(SEARCH(Validations!$I$2:$I$100, AS81)))), """")"),"")</f>
        <v/>
      </c>
      <c r="AU81" s="16" t="str">
        <f t="array" ref="AU81">IFERROR(INDEX(Validations!$J$2:$J$100, MATCH(TRUE, ISNUMBER(SEARCH(Validations!$I$2:$I$100, AT81)), 0)), "")</f>
        <v/>
      </c>
      <c r="AV81" s="12" t="str">
        <f>IFERROR(__xludf.DUMMYFUNCTION("IFERROR(VALUE(REGEXEXTRACT(AS81, ""\d+"")), """")"),"")</f>
        <v/>
      </c>
      <c r="AW81" s="12" t="str">
        <f>IFERROR(__xludf.DUMMYFUNCTION("IFERROR(TEXTJOIN("", "", TRUE, FILTER(Validations!$Q$2:$Q$100, ISNUMBER(SEARCH(Validations!$Q$2:$Q$100, AS81)))), """")"),"")</f>
        <v/>
      </c>
      <c r="AX81" s="36" t="s">
        <v>135</v>
      </c>
      <c r="AY81" s="28" t="str">
        <f>IFERROR(__xludf.DUMMYFUNCTION("TEXTJOIN("", "", TRUE, FILTER(Validations!$Y$2:$Y$100, ISNUMBER(SEARCH(Validations!$X$2:$X$100, AX81))))"),"V, S, T")</f>
        <v>V, S, T</v>
      </c>
      <c r="AZ81" s="26"/>
      <c r="BA81" s="22" t="s">
        <v>415</v>
      </c>
      <c r="BB81" s="22"/>
      <c r="BC81" s="22"/>
      <c r="BD81" s="22"/>
      <c r="BE81" s="27"/>
      <c r="BF81" s="22"/>
      <c r="BG81" s="27"/>
      <c r="BH81" s="27"/>
      <c r="BI81" s="12" t="str">
        <f>IFERROR(__xludf.DUMMYFUNCTION("IFERROR(TEXTJOIN("", "", TRUE, FILTER(SRD!$A$2:$A$1000, EXACT(SRD!$A$2:$A$1000, J81))), """")"),"")</f>
        <v/>
      </c>
      <c r="BJ81" s="29"/>
      <c r="BK81" s="29"/>
    </row>
    <row r="82" ht="15.75" customHeight="1">
      <c r="A82" s="30" t="s">
        <v>416</v>
      </c>
      <c r="B82" s="22"/>
      <c r="C82" s="31"/>
      <c r="D82" s="31" t="s">
        <v>74</v>
      </c>
      <c r="E82" s="31"/>
      <c r="F82" s="32" t="s">
        <v>75</v>
      </c>
      <c r="G82" s="15" t="s">
        <v>64</v>
      </c>
      <c r="H82" s="31" t="s">
        <v>183</v>
      </c>
      <c r="I82" s="16" t="str">
        <f t="array" ref="I82">INDEX(Validations!$C$2:$C$100, MATCH(TRUE, ISNUMBER(SEARCH(Validations!$B$2:$B$100, H82)), 0))</f>
        <v>E</v>
      </c>
      <c r="J82" s="33" t="s">
        <v>417</v>
      </c>
      <c r="K82" s="34"/>
      <c r="L82" s="33"/>
      <c r="M82" s="33"/>
      <c r="N82" s="27"/>
      <c r="O82" s="33"/>
      <c r="P82" s="35"/>
      <c r="Q82" s="35"/>
      <c r="R82" s="22"/>
      <c r="S82" s="17" t="str">
        <f>IFERROR(__xludf.DUMMYFUNCTION("IFERROR(REGEXEXTRACT(J82, ""(\d{1,3}[dD]\d{1,3})""), """")"),"")</f>
        <v/>
      </c>
      <c r="T82" s="17" t="str">
        <f>IFERROR(__xludf.DUMMYFUNCTION("IF(COUNTIF(ARRAYFORMULA(LOWER(Validations!$O$2:$O$100)), LOWER(REGEXEXTRACT(J82, ""\d{1,3}[dD]\d{1,3}\s+(\w+)"")))&gt;0, REGEXEXTRACT(J82, ""\d{1,3}[dD]\d{1,3}\s+(\w+)""), """")"),"")</f>
        <v/>
      </c>
      <c r="U82" s="17" t="str">
        <f>IFERROR(__xludf.DUMMYFUNCTION("IF(COUNTIF(ARRAYFORMULA(LOWER(Validations!$P$2:$P$100)), LOWER(REGEXEXTRACT(J82, ""\d{1,3}[dD]\d{1,3}\s+(\w+)"")))&gt;0, REGEXEXTRACT(J82, ""\d{1,3}[dD]\d{1,3}\s+(\w+)""), """")"),"")</f>
        <v/>
      </c>
      <c r="V82" s="12" t="str">
        <f>IFERROR(__xludf.DUMMYFUNCTION("TEXTJOIN("", "", TRUE, FILTER(Validations!$L$2:$L$100, ISNUMBER(SEARCH(Validations!$L$2:$L$100, J82))))"),"Unstable")</f>
        <v>Unstable</v>
      </c>
      <c r="W82" s="12" t="str">
        <f>IFERROR(__xludf.DUMMYFUNCTION("IFERROR(TEXTJOIN("", "", TRUE, FILTER(Validations!$M$2:$M$100, ISNUMBER(SEARCH(Validations!$M$2:$M$100 &amp; "" saving throw"", J82)))), """")"),"Dexterity")</f>
        <v>Dexterity</v>
      </c>
      <c r="X82" s="12"/>
      <c r="Y82" s="12"/>
      <c r="Z82" s="12" t="str">
        <f>IFERROR(__xludf.DUMMYFUNCTION("IFERROR(TEXTJOIN("", "", TRUE, FILTER(Validations!$N$2:$N$100, ISNUMBER(SEARCH(Validations!$N$2:$N$100 &amp; "" check"", J82)))), """")"),"")</f>
        <v/>
      </c>
      <c r="AA82" s="12" t="str">
        <f>IFERROR(__xludf.DUMMYFUNCTION("IFERROR(TEXTJOIN("", "", TRUE, FILTER(Validations!$N$2:$N$100, ISNUMBER(SEARCH(Validations!$N$2:$N$100 &amp; "" check"", W82)))), """")"),"")</f>
        <v/>
      </c>
      <c r="AB82" s="23" t="str">
        <f>IFERROR(__xludf.DUMMYFUNCTION("IFERROR(CONCATENATE(IF(ISNUMBER(SEARCH(Validations!$M$2:$M$100 &amp; "" spell save"", J82)),""Spell Save"",""""), REGEXEXTRACT(J82, ""DC (\d+)"")), """")"),"")</f>
        <v/>
      </c>
      <c r="AC82" s="24" t="b">
        <v>0</v>
      </c>
      <c r="AD82" s="24" t="b">
        <v>0</v>
      </c>
      <c r="AE82" s="36" t="s">
        <v>69</v>
      </c>
      <c r="AF82" s="25">
        <f>IFERROR(__xludf.DUMMYFUNCTION("IFERROR(VALUE(REGEXEXTRACT(AE82, ""\d+"")), 1)"),1.0)</f>
        <v>1</v>
      </c>
      <c r="AG82" s="12" t="str">
        <f>IFERROR(__xludf.DUMMYFUNCTION("IF(
  ISNUMBER(SEARCH(""Bonus Action"", AE82)),
  ""Bonus Action"",
  IF(
    ISNUMBER(SEARCH(""Reaction"", AE82)),
    ""Reaction"",
    IF(
      ISNUMBER(SEARCH(""Action"", AE82)),
      ""Action"",
      TEXTJOIN("", "", TRUE, FILTER(Validations!$S$2:"&amp;"$S$100, ISNUMBER(SEARCH(Validations!$S$2:$S$100, AE82))))
    )
  )
)"),"Action")</f>
        <v>Action</v>
      </c>
      <c r="AH82" s="36"/>
      <c r="AI82" s="27" t="s">
        <v>70</v>
      </c>
      <c r="AJ82" s="26" t="str">
        <f>IFERROR(__xludf.DUMMYFUNCTION("TEXTJOIN("", "", TRUE, FILTER(Validations!$T$2:$T$100, ISNUMBER(SEARCH(Validations!$T$2:$T$100, AI82))))"),"Instantaneous")</f>
        <v>Instantaneous</v>
      </c>
      <c r="AK82" s="26" t="str">
        <f>IFERROR(__xludf.DUMMYFUNCTION("IFERROR(VALUE(REGEXEXTRACT(AI82, ""\d+"")), """")"),"")</f>
        <v/>
      </c>
      <c r="AL82" s="26" t="str">
        <f>IFERROR(__xludf.DUMMYFUNCTION("TEXTJOIN("", "", TRUE, FILTER(Validations!$U$2:$U$100, ISNUMBER(SEARCH(Validations!$U$2:$U$100, AI82))))"),"")</f>
        <v/>
      </c>
      <c r="AM82" s="24" t="b">
        <f t="shared" si="1"/>
        <v>0</v>
      </c>
      <c r="AN82" s="24" t="b">
        <v>0</v>
      </c>
      <c r="AO82" s="22" t="s">
        <v>105</v>
      </c>
      <c r="AP82" s="12" t="str">
        <f>IFERROR(__xludf.DUMMYFUNCTION("IF(TEXTJOIN("", "", TRUE, FILTER(Validations!$Q$2:$Q$100, ISNUMBER(SEARCH(Validations!$Q$2:$Q$100, AO82)))) = """", Validations!$Q$2, TEXTJOIN("", "", TRUE, FILTER(Validations!$Q$2:$Q$100, ISNUMBER(SEARCH(Validations!$Q$2:$Q$100, AO82)))))"),"Point")</f>
        <v>Point</v>
      </c>
      <c r="AQ82" s="12">
        <f>IFERROR(__xludf.DUMMYFUNCTION("IFERROR(VALUE(REGEXEXTRACT(AO82, ""\d+"")), """")"),10.0)</f>
        <v>10</v>
      </c>
      <c r="AR82" s="12" t="str">
        <f>IFERROR(__xludf.DUMMYFUNCTION("TEXTJOIN("", "", TRUE, FILTER(Validations!$R$2:$R$100, ISNUMBER(SEARCH(Validations!$R$2:$R$100, AO82))))"),"Feet")</f>
        <v>Feet</v>
      </c>
      <c r="AS82" s="27"/>
      <c r="AT82" s="12" t="str">
        <f>IFERROR(__xludf.DUMMYFUNCTION("IFERROR(TEXTJOIN("", "", TRUE, FILTER(Validations!$I$2:$I$100, ISNUMBER(SEARCH(Validations!$I$2:$I$100, AS82)))), """")"),"")</f>
        <v/>
      </c>
      <c r="AU82" s="16" t="str">
        <f t="array" ref="AU82">IFERROR(INDEX(Validations!$J$2:$J$100, MATCH(TRUE, ISNUMBER(SEARCH(Validations!$I$2:$I$100, AT82)), 0)), "")</f>
        <v/>
      </c>
      <c r="AV82" s="12" t="str">
        <f>IFERROR(__xludf.DUMMYFUNCTION("IFERROR(VALUE(REGEXEXTRACT(AS82, ""\d+"")), """")"),"")</f>
        <v/>
      </c>
      <c r="AW82" s="12" t="str">
        <f>IFERROR(__xludf.DUMMYFUNCTION("IFERROR(TEXTJOIN("", "", TRUE, FILTER(Validations!$Q$2:$Q$100, ISNUMBER(SEARCH(Validations!$Q$2:$Q$100, AS82)))), """")"),"")</f>
        <v/>
      </c>
      <c r="AX82" s="28" t="s">
        <v>80</v>
      </c>
      <c r="AY82" s="28" t="str">
        <f>IFERROR(__xludf.DUMMYFUNCTION("TEXTJOIN("", "", TRUE, FILTER(Validations!$Y$2:$Y$100, ISNUMBER(SEARCH(Validations!$X$2:$X$100, AX82))))"),"S, R")</f>
        <v>S, R</v>
      </c>
      <c r="AZ82" s="20" t="s">
        <v>418</v>
      </c>
      <c r="BA82" s="22"/>
      <c r="BB82" s="22"/>
      <c r="BC82" s="22"/>
      <c r="BD82" s="22"/>
      <c r="BE82" s="27"/>
      <c r="BF82" s="22"/>
      <c r="BG82" s="27"/>
      <c r="BH82" s="27"/>
      <c r="BI82" s="12" t="str">
        <f>IFERROR(__xludf.DUMMYFUNCTION("IFERROR(TEXTJOIN("", "", TRUE, FILTER(SRD!$A$2:$A$1000, EXACT(SRD!$A$2:$A$1000, J82))), """")"),"")</f>
        <v/>
      </c>
      <c r="BJ82" s="29"/>
      <c r="BK82" s="29"/>
    </row>
    <row r="83" ht="15.75" customHeight="1">
      <c r="A83" s="11" t="s">
        <v>419</v>
      </c>
      <c r="B83" s="12"/>
      <c r="C83" s="31"/>
      <c r="D83" s="31" t="s">
        <v>191</v>
      </c>
      <c r="E83" s="31"/>
      <c r="F83" s="32" t="s">
        <v>123</v>
      </c>
      <c r="G83" s="15" t="s">
        <v>64</v>
      </c>
      <c r="H83" s="16" t="s">
        <v>85</v>
      </c>
      <c r="I83" s="16" t="str">
        <f t="array" ref="I83">INDEX(Validations!$C$2:$C$100, MATCH(TRUE, ISNUMBER(SEARCH(Validations!$B$2:$B$100, H83)), 0))</f>
        <v>T</v>
      </c>
      <c r="J83" s="17" t="s">
        <v>420</v>
      </c>
      <c r="K83" s="18"/>
      <c r="L83" s="17"/>
      <c r="M83" s="17"/>
      <c r="N83" s="27"/>
      <c r="O83" s="17"/>
      <c r="P83" s="21"/>
      <c r="Q83" s="21"/>
      <c r="R83" s="22"/>
      <c r="S83" s="17" t="str">
        <f>IFERROR(__xludf.DUMMYFUNCTION("IFERROR(REGEXEXTRACT(J83, ""(\d{1,3}[dD]\d{1,3})""), """")"),"")</f>
        <v/>
      </c>
      <c r="T83" s="17" t="str">
        <f>IFERROR(__xludf.DUMMYFUNCTION("IF(COUNTIF(ARRAYFORMULA(LOWER(Validations!$O$2:$O$100)), LOWER(REGEXEXTRACT(J83, ""\d{1,3}[dD]\d{1,3}\s+(\w+)"")))&gt;0, REGEXEXTRACT(J83, ""\d{1,3}[dD]\d{1,3}\s+(\w+)""), """")"),"")</f>
        <v/>
      </c>
      <c r="U83" s="17" t="str">
        <f>IFERROR(__xludf.DUMMYFUNCTION("IF(COUNTIF(ARRAYFORMULA(LOWER(Validations!$P$2:$P$100)), LOWER(REGEXEXTRACT(J83, ""\d{1,3}[dD]\d{1,3}\s+(\w+)"")))&gt;0, REGEXEXTRACT(J83, ""\d{1,3}[dD]\d{1,3}\s+(\w+)""), """")"),"")</f>
        <v/>
      </c>
      <c r="V83" s="12" t="str">
        <f>IFERROR(__xludf.DUMMYFUNCTION("TEXTJOIN("", "", TRUE, FILTER(Validations!$L$2:$L$100, ISNUMBER(SEARCH(Validations!$L$2:$L$100, J83))))"),"")</f>
        <v/>
      </c>
      <c r="W83" s="12" t="str">
        <f>IFERROR(__xludf.DUMMYFUNCTION("IFERROR(TEXTJOIN("", "", TRUE, FILTER(Validations!$M$2:$M$100, ISNUMBER(SEARCH(Validations!$M$2:$M$100 &amp; "" saving throw"", J83)))), """")"),"Constitution")</f>
        <v>Constitution</v>
      </c>
      <c r="X83" s="12"/>
      <c r="Y83" s="12"/>
      <c r="Z83" s="12" t="str">
        <f>IFERROR(__xludf.DUMMYFUNCTION("IFERROR(TEXTJOIN("", "", TRUE, FILTER(Validations!$N$2:$N$100, ISNUMBER(SEARCH(Validations!$N$2:$N$100 &amp; "" check"", J83)))), """")"),"")</f>
        <v/>
      </c>
      <c r="AA83" s="12" t="str">
        <f>IFERROR(__xludf.DUMMYFUNCTION("IFERROR(TEXTJOIN("", "", TRUE, FILTER(Validations!$N$2:$N$100, ISNUMBER(SEARCH(Validations!$N$2:$N$100 &amp; "" check"", W83)))), """")"),"")</f>
        <v/>
      </c>
      <c r="AB83" s="23" t="str">
        <f>IFERROR(__xludf.DUMMYFUNCTION("IFERROR(CONCATENATE(IF(ISNUMBER(SEARCH(Validations!$M$2:$M$100 &amp; "" spell save"", J83)),""Spell Save"",""""), REGEXEXTRACT(J83, ""DC (\d+)"")), """")"),"")</f>
        <v/>
      </c>
      <c r="AC83" s="24" t="b">
        <v>0</v>
      </c>
      <c r="AD83" s="24" t="b">
        <v>0</v>
      </c>
      <c r="AE83" s="36" t="s">
        <v>69</v>
      </c>
      <c r="AF83" s="25">
        <f>IFERROR(__xludf.DUMMYFUNCTION("IFERROR(VALUE(REGEXEXTRACT(AE83, ""\d+"")), 1)"),1.0)</f>
        <v>1</v>
      </c>
      <c r="AG83" s="12" t="str">
        <f>IFERROR(__xludf.DUMMYFUNCTION("IF(
  ISNUMBER(SEARCH(""Bonus Action"", AE83)),
  ""Bonus Action"",
  IF(
    ISNUMBER(SEARCH(""Reaction"", AE83)),
    ""Reaction"",
    IF(
      ISNUMBER(SEARCH(""Action"", AE83)),
      ""Action"",
      TEXTJOIN("", "", TRUE, FILTER(Validations!$S$2:"&amp;"$S$100, ISNUMBER(SEARCH(Validations!$S$2:$S$100, AE83))))
    )
  )
)"),"Action")</f>
        <v>Action</v>
      </c>
      <c r="AH83" s="36"/>
      <c r="AI83" s="27" t="s">
        <v>70</v>
      </c>
      <c r="AJ83" s="26" t="str">
        <f>IFERROR(__xludf.DUMMYFUNCTION("TEXTJOIN("", "", TRUE, FILTER(Validations!$T$2:$T$100, ISNUMBER(SEARCH(Validations!$T$2:$T$100, AI83))))"),"Instantaneous")</f>
        <v>Instantaneous</v>
      </c>
      <c r="AK83" s="26" t="str">
        <f>IFERROR(__xludf.DUMMYFUNCTION("IFERROR(VALUE(REGEXEXTRACT(AI83, ""\d+"")), """")"),"")</f>
        <v/>
      </c>
      <c r="AL83" s="26" t="str">
        <f>IFERROR(__xludf.DUMMYFUNCTION("TEXTJOIN("", "", TRUE, FILTER(Validations!$U$2:$U$100, ISNUMBER(SEARCH(Validations!$U$2:$U$100, AI83))))"),"")</f>
        <v/>
      </c>
      <c r="AM83" s="24" t="b">
        <f t="shared" si="1"/>
        <v>0</v>
      </c>
      <c r="AN83" s="24" t="b">
        <v>0</v>
      </c>
      <c r="AO83" s="22" t="s">
        <v>105</v>
      </c>
      <c r="AP83" s="12" t="str">
        <f>IFERROR(__xludf.DUMMYFUNCTION("IF(TEXTJOIN("", "", TRUE, FILTER(Validations!$Q$2:$Q$100, ISNUMBER(SEARCH(Validations!$Q$2:$Q$100, AO83)))) = """", Validations!$Q$2, TEXTJOIN("", "", TRUE, FILTER(Validations!$Q$2:$Q$100, ISNUMBER(SEARCH(Validations!$Q$2:$Q$100, AO83)))))"),"Point")</f>
        <v>Point</v>
      </c>
      <c r="AQ83" s="12">
        <f>IFERROR(__xludf.DUMMYFUNCTION("IFERROR(VALUE(REGEXEXTRACT(AO83, ""\d+"")), """")"),10.0)</f>
        <v>10</v>
      </c>
      <c r="AR83" s="12" t="str">
        <f>IFERROR(__xludf.DUMMYFUNCTION("TEXTJOIN("", "", TRUE, FILTER(Validations!$R$2:$R$100, ISNUMBER(SEARCH(Validations!$R$2:$R$100, AO83))))"),"Feet")</f>
        <v>Feet</v>
      </c>
      <c r="AS83" s="27"/>
      <c r="AT83" s="12" t="str">
        <f>IFERROR(__xludf.DUMMYFUNCTION("IFERROR(TEXTJOIN("", "", TRUE, FILTER(Validations!$I$2:$I$100, ISNUMBER(SEARCH(Validations!$I$2:$I$100, AS83)))), """")"),"")</f>
        <v/>
      </c>
      <c r="AU83" s="16" t="str">
        <f t="array" ref="AU83">IFERROR(INDEX(Validations!$J$2:$J$100, MATCH(TRUE, ISNUMBER(SEARCH(Validations!$I$2:$I$100, AT83)), 0)), "")</f>
        <v/>
      </c>
      <c r="AV83" s="12" t="str">
        <f>IFERROR(__xludf.DUMMYFUNCTION("IFERROR(VALUE(REGEXEXTRACT(AS83, ""\d+"")), """")"),"")</f>
        <v/>
      </c>
      <c r="AW83" s="12" t="str">
        <f>IFERROR(__xludf.DUMMYFUNCTION("IFERROR(TEXTJOIN("", "", TRUE, FILTER(Validations!$Q$2:$Q$100, ISNUMBER(SEARCH(Validations!$Q$2:$Q$100, AS83)))), """")"),"")</f>
        <v/>
      </c>
      <c r="AX83" s="28" t="s">
        <v>142</v>
      </c>
      <c r="AY83" s="28" t="str">
        <f>IFERROR(__xludf.DUMMYFUNCTION("TEXTJOIN("", "", TRUE, FILTER(Validations!$Y$2:$Y$100, ISNUMBER(SEARCH(Validations!$X$2:$X$100, AX83))))"),"V, S")</f>
        <v>V, S</v>
      </c>
      <c r="AZ83" s="27"/>
      <c r="BA83" s="22"/>
      <c r="BB83" s="22"/>
      <c r="BC83" s="22"/>
      <c r="BD83" s="22"/>
      <c r="BE83" s="27"/>
      <c r="BF83" s="22"/>
      <c r="BG83" s="27"/>
      <c r="BH83" s="27"/>
      <c r="BI83" s="12" t="str">
        <f>IFERROR(__xludf.DUMMYFUNCTION("IFERROR(TEXTJOIN("", "", TRUE, FILTER(SRD!$A$2:$A$1000, EXACT(SRD!$A$2:$A$1000, J83))), """")"),"")</f>
        <v/>
      </c>
      <c r="BJ83" s="29"/>
      <c r="BK83" s="29"/>
    </row>
    <row r="84" ht="15.75" customHeight="1">
      <c r="A84" s="30" t="s">
        <v>421</v>
      </c>
      <c r="B84" s="22"/>
      <c r="C84" s="31"/>
      <c r="D84" s="31" t="s">
        <v>74</v>
      </c>
      <c r="E84" s="31"/>
      <c r="F84" s="32" t="s">
        <v>102</v>
      </c>
      <c r="G84" s="15" t="s">
        <v>64</v>
      </c>
      <c r="H84" s="16" t="s">
        <v>85</v>
      </c>
      <c r="I84" s="16" t="str">
        <f t="array" ref="I84">INDEX(Validations!$C$2:$C$100, MATCH(TRUE, ISNUMBER(SEARCH(Validations!$B$2:$B$100, H84)), 0))</f>
        <v>T</v>
      </c>
      <c r="J84" s="33" t="s">
        <v>422</v>
      </c>
      <c r="K84" s="34"/>
      <c r="L84" s="33"/>
      <c r="M84" s="33"/>
      <c r="N84" s="27"/>
      <c r="O84" s="33"/>
      <c r="P84" s="35"/>
      <c r="Q84" s="35"/>
      <c r="R84" s="22"/>
      <c r="S84" s="17" t="str">
        <f>IFERROR(__xludf.DUMMYFUNCTION("IFERROR(REGEXEXTRACT(J84, ""(\d{1,3}[dD]\d{1,3})""), """")"),"")</f>
        <v/>
      </c>
      <c r="T84" s="17" t="str">
        <f>IFERROR(__xludf.DUMMYFUNCTION("IF(COUNTIF(ARRAYFORMULA(LOWER(Validations!$O$2:$O$100)), LOWER(REGEXEXTRACT(J84, ""\d{1,3}[dD]\d{1,3}\s+(\w+)"")))&gt;0, REGEXEXTRACT(J84, ""\d{1,3}[dD]\d{1,3}\s+(\w+)""), """")"),"")</f>
        <v/>
      </c>
      <c r="U84" s="17" t="str">
        <f>IFERROR(__xludf.DUMMYFUNCTION("IF(COUNTIF(ARRAYFORMULA(LOWER(Validations!$P$2:$P$100)), LOWER(REGEXEXTRACT(J84, ""\d{1,3}[dD]\d{1,3}\s+(\w+)"")))&gt;0, REGEXEXTRACT(J84, ""\d{1,3}[dD]\d{1,3}\s+(\w+)""), """")"),"")</f>
        <v/>
      </c>
      <c r="V84" s="12" t="str">
        <f>IFERROR(__xludf.DUMMYFUNCTION("TEXTJOIN("", "", TRUE, FILTER(Validations!$L$2:$L$100, ISNUMBER(SEARCH(Validations!$L$2:$L$100, J84))))"),"Unconscious")</f>
        <v>Unconscious</v>
      </c>
      <c r="W84" s="12" t="str">
        <f>IFERROR(__xludf.DUMMYFUNCTION("IFERROR(TEXTJOIN("", "", TRUE, FILTER(Validations!$M$2:$M$100, ISNUMBER(SEARCH(Validations!$M$2:$M$100 &amp; "" saving throw"", J84)))), """")"),"")</f>
        <v/>
      </c>
      <c r="X84" s="12"/>
      <c r="Y84" s="12"/>
      <c r="Z84" s="12" t="str">
        <f>IFERROR(__xludf.DUMMYFUNCTION("IFERROR(TEXTJOIN("", "", TRUE, FILTER(Validations!$N$2:$N$100, ISNUMBER(SEARCH(Validations!$N$2:$N$100 &amp; "" check"", J84)))), """")"),"")</f>
        <v/>
      </c>
      <c r="AA84" s="12" t="str">
        <f>IFERROR(__xludf.DUMMYFUNCTION("IFERROR(TEXTJOIN("", "", TRUE, FILTER(Validations!$N$2:$N$100, ISNUMBER(SEARCH(Validations!$N$2:$N$100 &amp; "" check"", W84)))), """")"),"")</f>
        <v/>
      </c>
      <c r="AB84" s="23" t="str">
        <f>IFERROR(__xludf.DUMMYFUNCTION("IFERROR(CONCATENATE(IF(ISNUMBER(SEARCH(Validations!$M$2:$M$100 &amp; "" spell save"", J84)),""Spell Save"",""""), REGEXEXTRACT(J84, ""DC (\d+)"")), """")"),"")</f>
        <v/>
      </c>
      <c r="AC84" s="24" t="b">
        <v>0</v>
      </c>
      <c r="AD84" s="24" t="b">
        <v>0</v>
      </c>
      <c r="AE84" s="36" t="s">
        <v>69</v>
      </c>
      <c r="AF84" s="25">
        <f>IFERROR(__xludf.DUMMYFUNCTION("IFERROR(VALUE(REGEXEXTRACT(AE84, ""\d+"")), 1)"),1.0)</f>
        <v>1</v>
      </c>
      <c r="AG84" s="12" t="str">
        <f>IFERROR(__xludf.DUMMYFUNCTION("IF(
  ISNUMBER(SEARCH(""Bonus Action"", AE84)),
  ""Bonus Action"",
  IF(
    ISNUMBER(SEARCH(""Reaction"", AE84)),
    ""Reaction"",
    IF(
      ISNUMBER(SEARCH(""Action"", AE84)),
      ""Action"",
      TEXTJOIN("", "", TRUE, FILTER(Validations!$S$2:"&amp;"$S$100, ISNUMBER(SEARCH(Validations!$S$2:$S$100, AE84))))
    )
  )
)"),"Action")</f>
        <v>Action</v>
      </c>
      <c r="AH84" s="36"/>
      <c r="AI84" s="20" t="s">
        <v>92</v>
      </c>
      <c r="AJ84" s="26" t="str">
        <f>IFERROR(__xludf.DUMMYFUNCTION("TEXTJOIN("", "", TRUE, FILTER(Validations!$T$2:$T$100, ISNUMBER(SEARCH(Validations!$T$2:$T$100, AI84))))"),"")</f>
        <v/>
      </c>
      <c r="AK84" s="26">
        <f>IFERROR(__xludf.DUMMYFUNCTION("IFERROR(VALUE(REGEXEXTRACT(AI84, ""\d+"")), """")"),1.0)</f>
        <v>1</v>
      </c>
      <c r="AL84" s="26" t="str">
        <f>IFERROR(__xludf.DUMMYFUNCTION("TEXTJOIN("", "", TRUE, FILTER(Validations!$U$2:$U$100, ISNUMBER(SEARCH(Validations!$U$2:$U$100, AI84))))"),"Minutes")</f>
        <v>Minutes</v>
      </c>
      <c r="AM84" s="24" t="b">
        <f t="shared" si="1"/>
        <v>0</v>
      </c>
      <c r="AN84" s="24" t="b">
        <v>0</v>
      </c>
      <c r="AO84" s="22" t="s">
        <v>78</v>
      </c>
      <c r="AP84" s="12" t="str">
        <f>IFERROR(__xludf.DUMMYFUNCTION("IF(TEXTJOIN("", "", TRUE, FILTER(Validations!$Q$2:$Q$100, ISNUMBER(SEARCH(Validations!$Q$2:$Q$100, AO84)))) = """", Validations!$Q$2, TEXTJOIN("", "", TRUE, FILTER(Validations!$Q$2:$Q$100, ISNUMBER(SEARCH(Validations!$Q$2:$Q$100, AO84)))))"),"Point")</f>
        <v>Point</v>
      </c>
      <c r="AQ84" s="12" t="str">
        <f>IFERROR(__xludf.DUMMYFUNCTION("IFERROR(VALUE(REGEXEXTRACT(AO84, ""\d+"")), """")"),"")</f>
        <v/>
      </c>
      <c r="AR84" s="12" t="str">
        <f>IFERROR(__xludf.DUMMYFUNCTION("TEXTJOIN("", "", TRUE, FILTER(Validations!$R$2:$R$100, ISNUMBER(SEARCH(Validations!$R$2:$R$100, AO84))))"),"Self")</f>
        <v>Self</v>
      </c>
      <c r="AS84" s="27"/>
      <c r="AT84" s="12" t="str">
        <f>IFERROR(__xludf.DUMMYFUNCTION("IFERROR(TEXTJOIN("", "", TRUE, FILTER(Validations!$I$2:$I$100, ISNUMBER(SEARCH(Validations!$I$2:$I$100, AS84)))), """")"),"")</f>
        <v/>
      </c>
      <c r="AU84" s="16" t="str">
        <f t="array" ref="AU84">IFERROR(INDEX(Validations!$J$2:$J$100, MATCH(TRUE, ISNUMBER(SEARCH(Validations!$I$2:$I$100, AT84)), 0)), "")</f>
        <v/>
      </c>
      <c r="AV84" s="12" t="str">
        <f>IFERROR(__xludf.DUMMYFUNCTION("IFERROR(VALUE(REGEXEXTRACT(AS84, ""\d+"")), """")"),"")</f>
        <v/>
      </c>
      <c r="AW84" s="12" t="str">
        <f>IFERROR(__xludf.DUMMYFUNCTION("IFERROR(TEXTJOIN("", "", TRUE, FILTER(Validations!$Q$2:$Q$100, ISNUMBER(SEARCH(Validations!$Q$2:$Q$100, AS84)))), """")"),"")</f>
        <v/>
      </c>
      <c r="AX84" s="28" t="s">
        <v>72</v>
      </c>
      <c r="AY84" s="28" t="str">
        <f>IFERROR(__xludf.DUMMYFUNCTION("TEXTJOIN("", "", TRUE, FILTER(Validations!$Y$2:$Y$100, ISNUMBER(SEARCH(Validations!$X$2:$X$100, AX84))))"),"V, S")</f>
        <v>V, S</v>
      </c>
      <c r="AZ84" s="27"/>
      <c r="BA84" s="22"/>
      <c r="BB84" s="22"/>
      <c r="BC84" s="22"/>
      <c r="BD84" s="22"/>
      <c r="BE84" s="27"/>
      <c r="BF84" s="22"/>
      <c r="BG84" s="27"/>
      <c r="BH84" s="27"/>
      <c r="BI84" s="12" t="str">
        <f>IFERROR(__xludf.DUMMYFUNCTION("IFERROR(TEXTJOIN("", "", TRUE, FILTER(SRD!$A$2:$A$1000, EXACT(SRD!$A$2:$A$1000, J84))), """")"),"")</f>
        <v/>
      </c>
      <c r="BJ84" s="29"/>
      <c r="BK84" s="29"/>
    </row>
    <row r="85" ht="15.75" customHeight="1">
      <c r="A85" s="38" t="s">
        <v>423</v>
      </c>
      <c r="B85" s="12"/>
      <c r="C85" s="16"/>
      <c r="D85" s="16" t="s">
        <v>229</v>
      </c>
      <c r="E85" s="16"/>
      <c r="F85" s="40" t="s">
        <v>130</v>
      </c>
      <c r="G85" s="15" t="s">
        <v>64</v>
      </c>
      <c r="H85" s="31" t="s">
        <v>178</v>
      </c>
      <c r="I85" s="16" t="str">
        <f t="array" ref="I85">INDEX(Validations!$C$2:$C$100, MATCH(TRUE, ISNUMBER(SEARCH(Validations!$B$2:$B$100, H85)), 0))</f>
        <v>A</v>
      </c>
      <c r="J85" s="17" t="s">
        <v>424</v>
      </c>
      <c r="K85" s="34"/>
      <c r="L85" s="17"/>
      <c r="M85" s="33"/>
      <c r="N85" s="27"/>
      <c r="O85" s="17" t="s">
        <v>425</v>
      </c>
      <c r="P85" s="21"/>
      <c r="Q85" s="21"/>
      <c r="R85" s="22"/>
      <c r="S85" s="17" t="str">
        <f>IFERROR(__xludf.DUMMYFUNCTION("IFERROR(REGEXEXTRACT(J85, ""(\d{1,3}[dD]\d{1,3})""), """")"),"")</f>
        <v/>
      </c>
      <c r="T85" s="17" t="str">
        <f>IFERROR(__xludf.DUMMYFUNCTION("IF(COUNTIF(ARRAYFORMULA(LOWER(Validations!$O$2:$O$100)), LOWER(REGEXEXTRACT(J85, ""\d{1,3}[dD]\d{1,3}\s+(\w+)"")))&gt;0, REGEXEXTRACT(J85, ""\d{1,3}[dD]\d{1,3}\s+(\w+)""), """")"),"")</f>
        <v/>
      </c>
      <c r="U85" s="17" t="str">
        <f>IFERROR(__xludf.DUMMYFUNCTION("IF(COUNTIF(ARRAYFORMULA(LOWER(Validations!$P$2:$P$100)), LOWER(REGEXEXTRACT(J85, ""\d{1,3}[dD]\d{1,3}\s+(\w+)"")))&gt;0, REGEXEXTRACT(J85, ""\d{1,3}[dD]\d{1,3}\s+(\w+)""), """")"),"")</f>
        <v/>
      </c>
      <c r="V85" s="12" t="str">
        <f>IFERROR(__xludf.DUMMYFUNCTION("TEXTJOIN("", "", TRUE, FILTER(Validations!$L$2:$L$100, ISNUMBER(SEARCH(Validations!$L$2:$L$100, J85))))"),"Exhaustion")</f>
        <v>Exhaustion</v>
      </c>
      <c r="W85" s="12" t="str">
        <f>IFERROR(__xludf.DUMMYFUNCTION("IFERROR(TEXTJOIN("", "", TRUE, FILTER(Validations!$M$2:$M$100, ISNUMBER(SEARCH(Validations!$M$2:$M$100 &amp; "" saving throw"", J85)))), """")"),"Constitution")</f>
        <v>Constitution</v>
      </c>
      <c r="X85" s="12"/>
      <c r="Y85" s="12"/>
      <c r="Z85" s="12" t="str">
        <f>IFERROR(__xludf.DUMMYFUNCTION("IFERROR(TEXTJOIN("", "", TRUE, FILTER(Validations!$N$2:$N$100, ISNUMBER(SEARCH(Validations!$N$2:$N$100 &amp; "" check"", J85)))), """")"),"")</f>
        <v/>
      </c>
      <c r="AA85" s="12" t="str">
        <f>IFERROR(__xludf.DUMMYFUNCTION("IFERROR(TEXTJOIN("", "", TRUE, FILTER(Validations!$N$2:$N$100, ISNUMBER(SEARCH(Validations!$N$2:$N$100 &amp; "" check"", W85)))), """")"),"")</f>
        <v/>
      </c>
      <c r="AB85" s="23" t="str">
        <f>IFERROR(__xludf.DUMMYFUNCTION("IFERROR(CONCATENATE(IF(ISNUMBER(SEARCH(Validations!$M$2:$M$100 &amp; "" spell save"", J85)),""Spell Save"",""""), REGEXEXTRACT(J85, ""DC (\d+)"")), """")"),"")</f>
        <v/>
      </c>
      <c r="AC85" s="24" t="b">
        <v>0</v>
      </c>
      <c r="AD85" s="24" t="b">
        <v>0</v>
      </c>
      <c r="AE85" s="12" t="s">
        <v>69</v>
      </c>
      <c r="AF85" s="25">
        <f>IFERROR(__xludf.DUMMYFUNCTION("IFERROR(VALUE(REGEXEXTRACT(AE85, ""\d+"")), 1)"),1.0)</f>
        <v>1</v>
      </c>
      <c r="AG85" s="12" t="str">
        <f>IFERROR(__xludf.DUMMYFUNCTION("IF(
  ISNUMBER(SEARCH(""Bonus Action"", AE85)),
  ""Bonus Action"",
  IF(
    ISNUMBER(SEARCH(""Reaction"", AE85)),
    ""Reaction"",
    IF(
      ISNUMBER(SEARCH(""Action"", AE85)),
      ""Action"",
      TEXTJOIN("", "", TRUE, FILTER(Validations!$S$2:"&amp;"$S$100, ISNUMBER(SEARCH(Validations!$S$2:$S$100, AE85))))
    )
  )
)"),"Action")</f>
        <v>Action</v>
      </c>
      <c r="AH85" s="12"/>
      <c r="AI85" s="20" t="s">
        <v>92</v>
      </c>
      <c r="AJ85" s="26" t="str">
        <f>IFERROR(__xludf.DUMMYFUNCTION("TEXTJOIN("", "", TRUE, FILTER(Validations!$T$2:$T$100, ISNUMBER(SEARCH(Validations!$T$2:$T$100, AI85))))"),"")</f>
        <v/>
      </c>
      <c r="AK85" s="26">
        <f>IFERROR(__xludf.DUMMYFUNCTION("IFERROR(VALUE(REGEXEXTRACT(AI85, ""\d+"")), """")"),1.0)</f>
        <v>1</v>
      </c>
      <c r="AL85" s="26" t="str">
        <f>IFERROR(__xludf.DUMMYFUNCTION("TEXTJOIN("", "", TRUE, FILTER(Validations!$U$2:$U$100, ISNUMBER(SEARCH(Validations!$U$2:$U$100, AI85))))"),"Minutes")</f>
        <v>Minutes</v>
      </c>
      <c r="AM85" s="24" t="b">
        <f t="shared" si="1"/>
        <v>0</v>
      </c>
      <c r="AN85" s="41" t="b">
        <v>0</v>
      </c>
      <c r="AO85" s="22" t="s">
        <v>78</v>
      </c>
      <c r="AP85" s="12" t="str">
        <f>IFERROR(__xludf.DUMMYFUNCTION("IF(TEXTJOIN("", "", TRUE, FILTER(Validations!$Q$2:$Q$100, ISNUMBER(SEARCH(Validations!$Q$2:$Q$100, AO85)))) = """", Validations!$Q$2, TEXTJOIN("", "", TRUE, FILTER(Validations!$Q$2:$Q$100, ISNUMBER(SEARCH(Validations!$Q$2:$Q$100, AO85)))))"),"Point")</f>
        <v>Point</v>
      </c>
      <c r="AQ85" s="12" t="str">
        <f>IFERROR(__xludf.DUMMYFUNCTION("IFERROR(VALUE(REGEXEXTRACT(AO85, ""\d+"")), """")"),"")</f>
        <v/>
      </c>
      <c r="AR85" s="12" t="str">
        <f>IFERROR(__xludf.DUMMYFUNCTION("TEXTJOIN("", "", TRUE, FILTER(Validations!$R$2:$R$100, ISNUMBER(SEARCH(Validations!$R$2:$R$100, AO85))))"),"Self")</f>
        <v>Self</v>
      </c>
      <c r="AS85" s="27"/>
      <c r="AT85" s="12" t="str">
        <f>IFERROR(__xludf.DUMMYFUNCTION("IFERROR(TEXTJOIN("", "", TRUE, FILTER(Validations!$I$2:$I$100, ISNUMBER(SEARCH(Validations!$I$2:$I$100, AS85)))), """")"),"")</f>
        <v/>
      </c>
      <c r="AU85" s="16" t="str">
        <f t="array" ref="AU85">IFERROR(INDEX(Validations!$J$2:$J$100, MATCH(TRUE, ISNUMBER(SEARCH(Validations!$I$2:$I$100, AT85)), 0)), "")</f>
        <v/>
      </c>
      <c r="AV85" s="12" t="str">
        <f>IFERROR(__xludf.DUMMYFUNCTION("IFERROR(VALUE(REGEXEXTRACT(AS85, ""\d+"")), """")"),"")</f>
        <v/>
      </c>
      <c r="AW85" s="12" t="str">
        <f>IFERROR(__xludf.DUMMYFUNCTION("IFERROR(TEXTJOIN("", "", TRUE, FILTER(Validations!$Q$2:$Q$100, ISNUMBER(SEARCH(Validations!$Q$2:$Q$100, AS85)))), """")"),"")</f>
        <v/>
      </c>
      <c r="AX85" s="36" t="s">
        <v>135</v>
      </c>
      <c r="AY85" s="28" t="str">
        <f>IFERROR(__xludf.DUMMYFUNCTION("TEXTJOIN("", "", TRUE, FILTER(Validations!$Y$2:$Y$100, ISNUMBER(SEARCH(Validations!$X$2:$X$100, AX85))))"),"V, S, T")</f>
        <v>V, S, T</v>
      </c>
      <c r="AZ85" s="26"/>
      <c r="BA85" s="22" t="s">
        <v>426</v>
      </c>
      <c r="BB85" s="22"/>
      <c r="BC85" s="22"/>
      <c r="BD85" s="22"/>
      <c r="BE85" s="27"/>
      <c r="BF85" s="22"/>
      <c r="BG85" s="27"/>
      <c r="BH85" s="27"/>
      <c r="BI85" s="12" t="str">
        <f>IFERROR(__xludf.DUMMYFUNCTION("IFERROR(TEXTJOIN("", "", TRUE, FILTER(SRD!$A$2:$A$1000, EXACT(SRD!$A$2:$A$1000, J85))), """")"),"")</f>
        <v/>
      </c>
      <c r="BJ85" s="29"/>
      <c r="BK85" s="29"/>
    </row>
    <row r="86" ht="15.75" customHeight="1">
      <c r="A86" s="11" t="s">
        <v>427</v>
      </c>
      <c r="B86" s="12"/>
      <c r="C86" s="16"/>
      <c r="D86" s="16" t="s">
        <v>170</v>
      </c>
      <c r="E86" s="16"/>
      <c r="F86" s="40" t="s">
        <v>130</v>
      </c>
      <c r="G86" s="15" t="s">
        <v>64</v>
      </c>
      <c r="H86" s="31" t="s">
        <v>76</v>
      </c>
      <c r="I86" s="16" t="str">
        <f t="array" ref="I86">INDEX(Validations!$C$2:$C$100, MATCH(TRUE, ISNUMBER(SEARCH(Validations!$B$2:$B$100, H86)), 0))</f>
        <v>V</v>
      </c>
      <c r="J86" s="17" t="s">
        <v>428</v>
      </c>
      <c r="K86" s="34"/>
      <c r="L86" s="17"/>
      <c r="M86" s="33"/>
      <c r="N86" s="27"/>
      <c r="O86" s="33"/>
      <c r="P86" s="35"/>
      <c r="Q86" s="35"/>
      <c r="R86" s="22"/>
      <c r="S86" s="17" t="str">
        <f>IFERROR(__xludf.DUMMYFUNCTION("IFERROR(REGEXEXTRACT(J86, ""(\d{1,3}[dD]\d{1,3})""), """")"),"1d6")</f>
        <v>1d6</v>
      </c>
      <c r="T86" s="17" t="str">
        <f>IFERROR(__xludf.DUMMYFUNCTION("IF(COUNTIF(ARRAYFORMULA(LOWER(Validations!$O$2:$O$100)), LOWER(REGEXEXTRACT(J86, ""\d{1,3}[dD]\d{1,3}\s+(\w+)"")))&gt;0, REGEXEXTRACT(J86, ""\d{1,3}[dD]\d{1,3}\s+(\w+)""), """")"),"impact")</f>
        <v>impact</v>
      </c>
      <c r="U86" s="17" t="str">
        <f>IFERROR(__xludf.DUMMYFUNCTION("IF(COUNTIF(ARRAYFORMULA(LOWER(Validations!$P$2:$P$100)), LOWER(REGEXEXTRACT(J86, ""\d{1,3}[dD]\d{1,3}\s+(\w+)"")))&gt;0, REGEXEXTRACT(J86, ""\d{1,3}[dD]\d{1,3}\s+(\w+)""), """")"),"")</f>
        <v/>
      </c>
      <c r="V86" s="12" t="str">
        <f>IFERROR(__xludf.DUMMYFUNCTION("TEXTJOIN("", "", TRUE, FILTER(Validations!$L$2:$L$100, ISNUMBER(SEARCH(Validations!$L$2:$L$100, J86))))"),"")</f>
        <v/>
      </c>
      <c r="W86" s="12" t="str">
        <f>IFERROR(__xludf.DUMMYFUNCTION("IFERROR(TEXTJOIN("", "", TRUE, FILTER(Validations!$M$2:$M$100, ISNUMBER(SEARCH(Validations!$M$2:$M$100 &amp; "" saving throw"", J86)))), """")"),"Constitution")</f>
        <v>Constitution</v>
      </c>
      <c r="X86" s="12"/>
      <c r="Y86" s="12"/>
      <c r="Z86" s="12" t="str">
        <f>IFERROR(__xludf.DUMMYFUNCTION("IFERROR(TEXTJOIN("", "", TRUE, FILTER(Validations!$N$2:$N$100, ISNUMBER(SEARCH(Validations!$N$2:$N$100 &amp; "" check"", J86)))), """")"),"")</f>
        <v/>
      </c>
      <c r="AA86" s="12" t="str">
        <f>IFERROR(__xludf.DUMMYFUNCTION("IFERROR(TEXTJOIN("", "", TRUE, FILTER(Validations!$N$2:$N$100, ISNUMBER(SEARCH(Validations!$N$2:$N$100 &amp; "" check"", W86)))), """")"),"")</f>
        <v/>
      </c>
      <c r="AB86" s="23" t="str">
        <f>IFERROR(__xludf.DUMMYFUNCTION("IFERROR(CONCATENATE(IF(ISNUMBER(SEARCH(Validations!$M$2:$M$100 &amp; "" spell save"", J86)),""Spell Save"",""""), REGEXEXTRACT(J86, ""DC (\d+)"")), """")"),"")</f>
        <v/>
      </c>
      <c r="AC86" s="24" t="b">
        <v>0</v>
      </c>
      <c r="AD86" s="24" t="b">
        <v>0</v>
      </c>
      <c r="AE86" s="12" t="s">
        <v>69</v>
      </c>
      <c r="AF86" s="25">
        <f>IFERROR(__xludf.DUMMYFUNCTION("IFERROR(VALUE(REGEXEXTRACT(AE86, ""\d+"")), 1)"),1.0)</f>
        <v>1</v>
      </c>
      <c r="AG86" s="12" t="str">
        <f>IFERROR(__xludf.DUMMYFUNCTION("IF(
  ISNUMBER(SEARCH(""Bonus Action"", AE86)),
  ""Bonus Action"",
  IF(
    ISNUMBER(SEARCH(""Reaction"", AE86)),
    ""Reaction"",
    IF(
      ISNUMBER(SEARCH(""Action"", AE86)),
      ""Action"",
      TEXTJOIN("", "", TRUE, FILTER(Validations!$S$2:"&amp;"$S$100, ISNUMBER(SEARCH(Validations!$S$2:$S$100, AE86))))
    )
  )
)"),"Action")</f>
        <v>Action</v>
      </c>
      <c r="AH86" s="12"/>
      <c r="AI86" s="26" t="s">
        <v>174</v>
      </c>
      <c r="AJ86" s="26" t="str">
        <f>IFERROR(__xludf.DUMMYFUNCTION("TEXTJOIN("", "", TRUE, FILTER(Validations!$T$2:$T$100, ISNUMBER(SEARCH(Validations!$T$2:$T$100, AI86))))"),"")</f>
        <v/>
      </c>
      <c r="AK86" s="26" t="str">
        <f>IFERROR(__xludf.DUMMYFUNCTION("IFERROR(VALUE(REGEXEXTRACT(AI86, ""\d+"")), """")"),"")</f>
        <v/>
      </c>
      <c r="AL86" s="26" t="str">
        <f>IFERROR(__xludf.DUMMYFUNCTION("TEXTJOIN("", "", TRUE, FILTER(Validations!$U$2:$U$100, ISNUMBER(SEARCH(Validations!$U$2:$U$100, AI86))))"),"")</f>
        <v/>
      </c>
      <c r="AM86" s="24" t="b">
        <f t="shared" si="1"/>
        <v>0</v>
      </c>
      <c r="AN86" s="41" t="b">
        <v>0</v>
      </c>
      <c r="AO86" s="36" t="s">
        <v>286</v>
      </c>
      <c r="AP86" s="12" t="str">
        <f>IFERROR(__xludf.DUMMYFUNCTION("IF(TEXTJOIN("", "", TRUE, FILTER(Validations!$Q$2:$Q$100, ISNUMBER(SEARCH(Validations!$Q$2:$Q$100, AO86)))) = """", Validations!$Q$2, TEXTJOIN("", "", TRUE, FILTER(Validations!$Q$2:$Q$100, ISNUMBER(SEARCH(Validations!$Q$2:$Q$100, AO86)))))"),"Point")</f>
        <v>Point</v>
      </c>
      <c r="AQ86" s="12">
        <f>IFERROR(__xludf.DUMMYFUNCTION("IFERROR(VALUE(REGEXEXTRACT(AO86, ""\d+"")), """")"),30.0)</f>
        <v>30</v>
      </c>
      <c r="AR86" s="12" t="str">
        <f>IFERROR(__xludf.DUMMYFUNCTION("TEXTJOIN("", "", TRUE, FILTER(Validations!$R$2:$R$100, ISNUMBER(SEARCH(Validations!$R$2:$R$100, AO86))))"),"Feet")</f>
        <v>Feet</v>
      </c>
      <c r="AS86" s="27"/>
      <c r="AT86" s="12" t="str">
        <f>IFERROR(__xludf.DUMMYFUNCTION("IFERROR(TEXTJOIN("", "", TRUE, FILTER(Validations!$I$2:$I$100, ISNUMBER(SEARCH(Validations!$I$2:$I$100, AS86)))), """")"),"")</f>
        <v/>
      </c>
      <c r="AU86" s="16" t="str">
        <f t="array" ref="AU86">IFERROR(INDEX(Validations!$J$2:$J$100, MATCH(TRUE, ISNUMBER(SEARCH(Validations!$I$2:$I$100, AT86)), 0)), "")</f>
        <v/>
      </c>
      <c r="AV86" s="12" t="str">
        <f>IFERROR(__xludf.DUMMYFUNCTION("IFERROR(VALUE(REGEXEXTRACT(AS86, ""\d+"")), """")"),"")</f>
        <v/>
      </c>
      <c r="AW86" s="12" t="str">
        <f>IFERROR(__xludf.DUMMYFUNCTION("IFERROR(TEXTJOIN("", "", TRUE, FILTER(Validations!$Q$2:$Q$100, ISNUMBER(SEARCH(Validations!$Q$2:$Q$100, AS86)))), """")"),"")</f>
        <v/>
      </c>
      <c r="AX86" s="36" t="s">
        <v>135</v>
      </c>
      <c r="AY86" s="28" t="str">
        <f>IFERROR(__xludf.DUMMYFUNCTION("TEXTJOIN("", "", TRUE, FILTER(Validations!$Y$2:$Y$100, ISNUMBER(SEARCH(Validations!$X$2:$X$100, AX86))))"),"V, S, T")</f>
        <v>V, S, T</v>
      </c>
      <c r="AZ86" s="26"/>
      <c r="BA86" s="22" t="s">
        <v>429</v>
      </c>
      <c r="BB86" s="22"/>
      <c r="BC86" s="22"/>
      <c r="BD86" s="22"/>
      <c r="BE86" s="27"/>
      <c r="BF86" s="22"/>
      <c r="BG86" s="27"/>
      <c r="BH86" s="27"/>
      <c r="BI86" s="12" t="str">
        <f>IFERROR(__xludf.DUMMYFUNCTION("IFERROR(TEXTJOIN("", "", TRUE, FILTER(SRD!$A$2:$A$1000, EXACT(SRD!$A$2:$A$1000, J86))), """")"),"")</f>
        <v/>
      </c>
      <c r="BJ86" s="29"/>
      <c r="BK86" s="29"/>
    </row>
    <row r="87" ht="15.75" customHeight="1">
      <c r="A87" s="30" t="s">
        <v>430</v>
      </c>
      <c r="B87" s="22"/>
      <c r="C87" s="16"/>
      <c r="D87" s="16" t="s">
        <v>345</v>
      </c>
      <c r="E87" s="16"/>
      <c r="F87" s="32" t="s">
        <v>431</v>
      </c>
      <c r="G87" s="15" t="s">
        <v>64</v>
      </c>
      <c r="H87" s="16" t="s">
        <v>85</v>
      </c>
      <c r="I87" s="16" t="str">
        <f t="array" ref="I87">INDEX(Validations!$C$2:$C$100, MATCH(TRUE, ISNUMBER(SEARCH(Validations!$B$2:$B$100, H87)), 0))</f>
        <v>T</v>
      </c>
      <c r="J87" s="17" t="s">
        <v>432</v>
      </c>
      <c r="K87" s="18"/>
      <c r="L87" s="17"/>
      <c r="M87" s="17"/>
      <c r="N87" s="20" t="s">
        <v>433</v>
      </c>
      <c r="O87" s="17" t="s">
        <v>434</v>
      </c>
      <c r="P87" s="21"/>
      <c r="Q87" s="21"/>
      <c r="R87" s="22"/>
      <c r="S87" s="17" t="str">
        <f>IFERROR(__xludf.DUMMYFUNCTION("IFERROR(REGEXEXTRACT(J87, ""(\d{1,3}[dD]\d{1,3})""), """")"),"")</f>
        <v/>
      </c>
      <c r="T87" s="17" t="str">
        <f>IFERROR(__xludf.DUMMYFUNCTION("IF(COUNTIF(ARRAYFORMULA(LOWER(Validations!$O$2:$O$100)), LOWER(REGEXEXTRACT(J87, ""\d{1,3}[dD]\d{1,3}\s+(\w+)"")))&gt;0, REGEXEXTRACT(J87, ""\d{1,3}[dD]\d{1,3}\s+(\w+)""), """")"),"")</f>
        <v/>
      </c>
      <c r="U87" s="17" t="str">
        <f>IFERROR(__xludf.DUMMYFUNCTION("IF(COUNTIF(ARRAYFORMULA(LOWER(Validations!$P$2:$P$100)), LOWER(REGEXEXTRACT(J87, ""\d{1,3}[dD]\d{1,3}\s+(\w+)"")))&gt;0, REGEXEXTRACT(J87, ""\d{1,3}[dD]\d{1,3}\s+(\w+)""), """")"),"")</f>
        <v/>
      </c>
      <c r="V87" s="12" t="str">
        <f>IFERROR(__xludf.DUMMYFUNCTION("TEXTJOIN("", "", TRUE, FILTER(Validations!$L$2:$L$100, ISNUMBER(SEARCH(Validations!$L$2:$L$100, J87))))"),"")</f>
        <v/>
      </c>
      <c r="W87" s="12" t="str">
        <f>IFERROR(__xludf.DUMMYFUNCTION("IFERROR(TEXTJOIN("", "", TRUE, FILTER(Validations!$M$2:$M$100, ISNUMBER(SEARCH(Validations!$M$2:$M$100 &amp; "" saving throw"", J87)))), """")"),"Dexterity")</f>
        <v>Dexterity</v>
      </c>
      <c r="X87" s="12"/>
      <c r="Y87" s="12"/>
      <c r="Z87" s="12" t="str">
        <f>IFERROR(__xludf.DUMMYFUNCTION("IFERROR(TEXTJOIN("", "", TRUE, FILTER(Validations!$N$2:$N$100, ISNUMBER(SEARCH(Validations!$N$2:$N$100 &amp; "" check"", J87)))), """")"),"")</f>
        <v/>
      </c>
      <c r="AA87" s="12" t="str">
        <f>IFERROR(__xludf.DUMMYFUNCTION("IFERROR(TEXTJOIN("", "", TRUE, FILTER(Validations!$N$2:$N$100, ISNUMBER(SEARCH(Validations!$N$2:$N$100 &amp; "" check"", W87)))), """")"),"")</f>
        <v/>
      </c>
      <c r="AB87" s="23" t="str">
        <f>IFERROR(__xludf.DUMMYFUNCTION("IFERROR(CONCATENATE(IF(ISNUMBER(SEARCH(Validations!$M$2:$M$100 &amp; "" spell save"", J87)),""Spell Save"",""""), REGEXEXTRACT(J87, ""DC (\d+)"")), """")"),"Spell Save15")</f>
        <v>Spell Save15</v>
      </c>
      <c r="AC87" s="24" t="b">
        <v>0</v>
      </c>
      <c r="AD87" s="24" t="b">
        <v>0</v>
      </c>
      <c r="AE87" s="36" t="s">
        <v>435</v>
      </c>
      <c r="AF87" s="25">
        <f>IFERROR(__xludf.DUMMYFUNCTION("IFERROR(VALUE(REGEXEXTRACT(AE87, ""\d+"")), 1)"),1.0)</f>
        <v>1</v>
      </c>
      <c r="AG87" s="12" t="str">
        <f>IFERROR(__xludf.DUMMYFUNCTION("IF(
  ISNUMBER(SEARCH(""Bonus Action"", AE87)),
  ""Bonus Action"",
  IF(
    ISNUMBER(SEARCH(""Reaction"", AE87)),
    ""Reaction"",
    IF(
      ISNUMBER(SEARCH(""Action"", AE87)),
      ""Action"",
      TEXTJOIN("", "", TRUE, FILTER(Validations!$S$2:"&amp;"$S$100, ISNUMBER(SEARCH(Validations!$S$2:$S$100, AE87))))
    )
  )
)"),"Bonus Action")</f>
        <v>Bonus Action</v>
      </c>
      <c r="AH87" s="36"/>
      <c r="AI87" s="27" t="s">
        <v>70</v>
      </c>
      <c r="AJ87" s="26" t="str">
        <f>IFERROR(__xludf.DUMMYFUNCTION("TEXTJOIN("", "", TRUE, FILTER(Validations!$T$2:$T$100, ISNUMBER(SEARCH(Validations!$T$2:$T$100, AI87))))"),"Instantaneous")</f>
        <v>Instantaneous</v>
      </c>
      <c r="AK87" s="26" t="str">
        <f>IFERROR(__xludf.DUMMYFUNCTION("IFERROR(VALUE(REGEXEXTRACT(AI87, ""\d+"")), """")"),"")</f>
        <v/>
      </c>
      <c r="AL87" s="26" t="str">
        <f>IFERROR(__xludf.DUMMYFUNCTION("TEXTJOIN("", "", TRUE, FILTER(Validations!$U$2:$U$100, ISNUMBER(SEARCH(Validations!$U$2:$U$100, AI87))))"),"")</f>
        <v/>
      </c>
      <c r="AM87" s="24" t="b">
        <f t="shared" si="1"/>
        <v>0</v>
      </c>
      <c r="AN87" s="24" t="b">
        <v>0</v>
      </c>
      <c r="AO87" s="36" t="s">
        <v>164</v>
      </c>
      <c r="AP87" s="12" t="str">
        <f>IFERROR(__xludf.DUMMYFUNCTION("IF(TEXTJOIN("", "", TRUE, FILTER(Validations!$Q$2:$Q$100, ISNUMBER(SEARCH(Validations!$Q$2:$Q$100, AO87)))) = """", Validations!$Q$2, TEXTJOIN("", "", TRUE, FILTER(Validations!$Q$2:$Q$100, ISNUMBER(SEARCH(Validations!$Q$2:$Q$100, AO87)))))"),"Point")</f>
        <v>Point</v>
      </c>
      <c r="AQ87" s="12">
        <f>IFERROR(__xludf.DUMMYFUNCTION("IFERROR(VALUE(REGEXEXTRACT(AO87, ""\d+"")), """")"),15.0)</f>
        <v>15</v>
      </c>
      <c r="AR87" s="12" t="str">
        <f>IFERROR(__xludf.DUMMYFUNCTION("TEXTJOIN("", "", TRUE, FILTER(Validations!$R$2:$R$100, ISNUMBER(SEARCH(Validations!$R$2:$R$100, AO87))))"),"Feet")</f>
        <v>Feet</v>
      </c>
      <c r="AS87" s="27"/>
      <c r="AT87" s="12" t="str">
        <f>IFERROR(__xludf.DUMMYFUNCTION("IFERROR(TEXTJOIN("", "", TRUE, FILTER(Validations!$I$2:$I$100, ISNUMBER(SEARCH(Validations!$I$2:$I$100, AS87)))), """")"),"")</f>
        <v/>
      </c>
      <c r="AU87" s="16" t="str">
        <f t="array" ref="AU87">IFERROR(INDEX(Validations!$J$2:$J$100, MATCH(TRUE, ISNUMBER(SEARCH(Validations!$I$2:$I$100, AT87)), 0)), "")</f>
        <v/>
      </c>
      <c r="AV87" s="12" t="str">
        <f>IFERROR(__xludf.DUMMYFUNCTION("IFERROR(VALUE(REGEXEXTRACT(AS87, ""\d+"")), """")"),"")</f>
        <v/>
      </c>
      <c r="AW87" s="12" t="str">
        <f>IFERROR(__xludf.DUMMYFUNCTION("IFERROR(TEXTJOIN("", "", TRUE, FILTER(Validations!$Q$2:$Q$100, ISNUMBER(SEARCH(Validations!$Q$2:$Q$100, AS87)))), """")"),"")</f>
        <v/>
      </c>
      <c r="AX87" s="28" t="s">
        <v>142</v>
      </c>
      <c r="AY87" s="28" t="str">
        <f>IFERROR(__xludf.DUMMYFUNCTION("TEXTJOIN("", "", TRUE, FILTER(Validations!$Y$2:$Y$100, ISNUMBER(SEARCH(Validations!$X$2:$X$100, AX87))))"),"V, S")</f>
        <v>V, S</v>
      </c>
      <c r="AZ87" s="27"/>
      <c r="BA87" s="22"/>
      <c r="BB87" s="22"/>
      <c r="BC87" s="22"/>
      <c r="BD87" s="22"/>
      <c r="BE87" s="27"/>
      <c r="BF87" s="22"/>
      <c r="BG87" s="27"/>
      <c r="BH87" s="27"/>
      <c r="BI87" s="12" t="str">
        <f>IFERROR(__xludf.DUMMYFUNCTION("IFERROR(TEXTJOIN("", "", TRUE, FILTER(SRD!$A$2:$A$1000, EXACT(SRD!$A$2:$A$1000, J87))), """")"),"")</f>
        <v/>
      </c>
      <c r="BJ87" s="29"/>
      <c r="BK87" s="29"/>
    </row>
    <row r="88" ht="15.75" customHeight="1">
      <c r="A88" s="30" t="s">
        <v>436</v>
      </c>
      <c r="B88" s="22"/>
      <c r="C88" s="31"/>
      <c r="D88" s="31" t="s">
        <v>74</v>
      </c>
      <c r="E88" s="31"/>
      <c r="F88" s="32" t="s">
        <v>123</v>
      </c>
      <c r="G88" s="15" t="s">
        <v>64</v>
      </c>
      <c r="H88" s="31" t="s">
        <v>140</v>
      </c>
      <c r="I88" s="16" t="str">
        <f t="array" ref="I88">INDEX(Validations!$C$2:$C$100, MATCH(TRUE, ISNUMBER(SEARCH(Validations!$B$2:$B$100, H88)), 0))</f>
        <v>N</v>
      </c>
      <c r="J88" s="17" t="s">
        <v>437</v>
      </c>
      <c r="K88" s="34"/>
      <c r="L88" s="17"/>
      <c r="M88" s="33"/>
      <c r="N88" s="27"/>
      <c r="O88" s="17"/>
      <c r="P88" s="21"/>
      <c r="Q88" s="21"/>
      <c r="R88" s="22"/>
      <c r="S88" s="17" t="str">
        <f>IFERROR(__xludf.DUMMYFUNCTION("IFERROR(REGEXEXTRACT(J88, ""(\d{1,3}[dD]\d{1,3})""), """")"),"")</f>
        <v/>
      </c>
      <c r="T88" s="17" t="str">
        <f>IFERROR(__xludf.DUMMYFUNCTION("IF(COUNTIF(ARRAYFORMULA(LOWER(Validations!$O$2:$O$100)), LOWER(REGEXEXTRACT(J88, ""\d{1,3}[dD]\d{1,3}\s+(\w+)"")))&gt;0, REGEXEXTRACT(J88, ""\d{1,3}[dD]\d{1,3}\s+(\w+)""), """")"),"")</f>
        <v/>
      </c>
      <c r="U88" s="17" t="str">
        <f>IFERROR(__xludf.DUMMYFUNCTION("IF(COUNTIF(ARRAYFORMULA(LOWER(Validations!$P$2:$P$100)), LOWER(REGEXEXTRACT(J88, ""\d{1,3}[dD]\d{1,3}\s+(\w+)"")))&gt;0, REGEXEXTRACT(J88, ""\d{1,3}[dD]\d{1,3}\s+(\w+)""), """")"),"")</f>
        <v/>
      </c>
      <c r="V88" s="12" t="str">
        <f>IFERROR(__xludf.DUMMYFUNCTION("TEXTJOIN("", "", TRUE, FILTER(Validations!$L$2:$L$100, ISNUMBER(SEARCH(Validations!$L$2:$L$100, J88))))"),"Frightened")</f>
        <v>Frightened</v>
      </c>
      <c r="W88" s="12" t="str">
        <f>IFERROR(__xludf.DUMMYFUNCTION("IFERROR(TEXTJOIN("", "", TRUE, FILTER(Validations!$M$2:$M$100, ISNUMBER(SEARCH(Validations!$M$2:$M$100 &amp; "" saving throw"", J88)))), """")"),"Wisdom")</f>
        <v>Wisdom</v>
      </c>
      <c r="X88" s="12"/>
      <c r="Y88" s="12"/>
      <c r="Z88" s="12" t="str">
        <f>IFERROR(__xludf.DUMMYFUNCTION("IFERROR(TEXTJOIN("", "", TRUE, FILTER(Validations!$N$2:$N$100, ISNUMBER(SEARCH(Validations!$N$2:$N$100 &amp; "" check"", J88)))), """")"),"")</f>
        <v/>
      </c>
      <c r="AA88" s="12" t="str">
        <f>IFERROR(__xludf.DUMMYFUNCTION("IFERROR(TEXTJOIN("", "", TRUE, FILTER(Validations!$N$2:$N$100, ISNUMBER(SEARCH(Validations!$N$2:$N$100 &amp; "" check"", W88)))), """")"),"")</f>
        <v/>
      </c>
      <c r="AB88" s="23" t="str">
        <f>IFERROR(__xludf.DUMMYFUNCTION("IFERROR(CONCATENATE(IF(ISNUMBER(SEARCH(Validations!$M$2:$M$100 &amp; "" spell save"", J88)),""Spell Save"",""""), REGEXEXTRACT(J88, ""DC (\d+)"")), """")"),"")</f>
        <v/>
      </c>
      <c r="AC88" s="24" t="b">
        <v>0</v>
      </c>
      <c r="AD88" s="24" t="b">
        <v>0</v>
      </c>
      <c r="AE88" s="36" t="s">
        <v>69</v>
      </c>
      <c r="AF88" s="25">
        <f>IFERROR(__xludf.DUMMYFUNCTION("IFERROR(VALUE(REGEXEXTRACT(AE88, ""\d+"")), 1)"),1.0)</f>
        <v>1</v>
      </c>
      <c r="AG88" s="12" t="str">
        <f>IFERROR(__xludf.DUMMYFUNCTION("IF(
  ISNUMBER(SEARCH(""Bonus Action"", AE88)),
  ""Bonus Action"",
  IF(
    ISNUMBER(SEARCH(""Reaction"", AE88)),
    ""Reaction"",
    IF(
      ISNUMBER(SEARCH(""Action"", AE88)),
      ""Action"",
      TEXTJOIN("", "", TRUE, FILTER(Validations!$S$2:"&amp;"$S$100, ISNUMBER(SEARCH(Validations!$S$2:$S$100, AE88))))
    )
  )
)"),"Action")</f>
        <v>Action</v>
      </c>
      <c r="AH88" s="36"/>
      <c r="AI88" s="20" t="s">
        <v>92</v>
      </c>
      <c r="AJ88" s="26" t="str">
        <f>IFERROR(__xludf.DUMMYFUNCTION("TEXTJOIN("", "", TRUE, FILTER(Validations!$T$2:$T$100, ISNUMBER(SEARCH(Validations!$T$2:$T$100, AI88))))"),"")</f>
        <v/>
      </c>
      <c r="AK88" s="26">
        <f>IFERROR(__xludf.DUMMYFUNCTION("IFERROR(VALUE(REGEXEXTRACT(AI88, ""\d+"")), """")"),1.0)</f>
        <v>1</v>
      </c>
      <c r="AL88" s="26" t="str">
        <f>IFERROR(__xludf.DUMMYFUNCTION("TEXTJOIN("", "", TRUE, FILTER(Validations!$U$2:$U$100, ISNUMBER(SEARCH(Validations!$U$2:$U$100, AI88))))"),"Minutes")</f>
        <v>Minutes</v>
      </c>
      <c r="AM88" s="24" t="b">
        <f t="shared" si="1"/>
        <v>0</v>
      </c>
      <c r="AN88" s="24" t="b">
        <v>0</v>
      </c>
      <c r="AO88" s="22" t="s">
        <v>112</v>
      </c>
      <c r="AP88" s="12" t="str">
        <f>IFERROR(__xludf.DUMMYFUNCTION("IF(TEXTJOIN("", "", TRUE, FILTER(Validations!$Q$2:$Q$100, ISNUMBER(SEARCH(Validations!$Q$2:$Q$100, AO88)))) = """", Validations!$Q$2, TEXTJOIN("", "", TRUE, FILTER(Validations!$Q$2:$Q$100, ISNUMBER(SEARCH(Validations!$Q$2:$Q$100, AO88)))))"),"Point")</f>
        <v>Point</v>
      </c>
      <c r="AQ88" s="12">
        <f>IFERROR(__xludf.DUMMYFUNCTION("IFERROR(VALUE(REGEXEXTRACT(AO88, ""\d+"")), """")"),30.0)</f>
        <v>30</v>
      </c>
      <c r="AR88" s="12" t="str">
        <f>IFERROR(__xludf.DUMMYFUNCTION("TEXTJOIN("", "", TRUE, FILTER(Validations!$R$2:$R$100, ISNUMBER(SEARCH(Validations!$R$2:$R$100, AO88))))"),"Feet")</f>
        <v>Feet</v>
      </c>
      <c r="AS88" s="27"/>
      <c r="AT88" s="12" t="str">
        <f>IFERROR(__xludf.DUMMYFUNCTION("IFERROR(TEXTJOIN("", "", TRUE, FILTER(Validations!$I$2:$I$100, ISNUMBER(SEARCH(Validations!$I$2:$I$100, AS88)))), """")"),"")</f>
        <v/>
      </c>
      <c r="AU88" s="16" t="str">
        <f t="array" ref="AU88">IFERROR(INDEX(Validations!$J$2:$J$100, MATCH(TRUE, ISNUMBER(SEARCH(Validations!$I$2:$I$100, AT88)), 0)), "")</f>
        <v/>
      </c>
      <c r="AV88" s="12" t="str">
        <f>IFERROR(__xludf.DUMMYFUNCTION("IFERROR(VALUE(REGEXEXTRACT(AS88, ""\d+"")), """")"),"")</f>
        <v/>
      </c>
      <c r="AW88" s="12" t="str">
        <f>IFERROR(__xludf.DUMMYFUNCTION("IFERROR(TEXTJOIN("", "", TRUE, FILTER(Validations!$Q$2:$Q$100, ISNUMBER(SEARCH(Validations!$Q$2:$Q$100, AS88)))), """")"),"")</f>
        <v/>
      </c>
      <c r="AX88" s="28" t="s">
        <v>72</v>
      </c>
      <c r="AY88" s="28" t="str">
        <f>IFERROR(__xludf.DUMMYFUNCTION("TEXTJOIN("", "", TRUE, FILTER(Validations!$Y$2:$Y$100, ISNUMBER(SEARCH(Validations!$X$2:$X$100, AX88))))"),"V, S")</f>
        <v>V, S</v>
      </c>
      <c r="AZ88" s="27"/>
      <c r="BA88" s="22"/>
      <c r="BB88" s="22"/>
      <c r="BC88" s="22"/>
      <c r="BD88" s="22"/>
      <c r="BE88" s="27"/>
      <c r="BF88" s="22"/>
      <c r="BG88" s="27"/>
      <c r="BH88" s="27"/>
      <c r="BI88" s="12" t="str">
        <f>IFERROR(__xludf.DUMMYFUNCTION("IFERROR(TEXTJOIN("", "", TRUE, FILTER(SRD!$A$2:$A$1000, EXACT(SRD!$A$2:$A$1000, J88))), """")"),"")</f>
        <v/>
      </c>
      <c r="BJ88" s="29"/>
      <c r="BK88" s="29"/>
    </row>
    <row r="89" ht="15.75" customHeight="1">
      <c r="A89" s="11" t="s">
        <v>438</v>
      </c>
      <c r="B89" s="12"/>
      <c r="C89" s="31"/>
      <c r="D89" s="31" t="s">
        <v>74</v>
      </c>
      <c r="E89" s="31"/>
      <c r="F89" s="32" t="s">
        <v>199</v>
      </c>
      <c r="G89" s="15" t="s">
        <v>64</v>
      </c>
      <c r="H89" s="16" t="s">
        <v>65</v>
      </c>
      <c r="I89" s="16" t="str">
        <f t="array" ref="I89">INDEX(Validations!$C$2:$C$100, MATCH(TRUE, ISNUMBER(SEARCH(Validations!$B$2:$B$100, H89)), 0))</f>
        <v>I</v>
      </c>
      <c r="J89" s="33" t="s">
        <v>439</v>
      </c>
      <c r="K89" s="34"/>
      <c r="L89" s="33"/>
      <c r="M89" s="33"/>
      <c r="N89" s="27"/>
      <c r="O89" s="33"/>
      <c r="P89" s="35"/>
      <c r="Q89" s="35"/>
      <c r="R89" s="22"/>
      <c r="S89" s="17" t="str">
        <f>IFERROR(__xludf.DUMMYFUNCTION("IFERROR(REGEXEXTRACT(J89, ""(\d{1,3}[dD]\d{1,3})""), """")"),"")</f>
        <v/>
      </c>
      <c r="T89" s="17" t="str">
        <f>IFERROR(__xludf.DUMMYFUNCTION("IF(COUNTIF(ARRAYFORMULA(LOWER(Validations!$O$2:$O$100)), LOWER(REGEXEXTRACT(J89, ""\d{1,3}[dD]\d{1,3}\s+(\w+)"")))&gt;0, REGEXEXTRACT(J89, ""\d{1,3}[dD]\d{1,3}\s+(\w+)""), """")"),"")</f>
        <v/>
      </c>
      <c r="U89" s="17" t="str">
        <f>IFERROR(__xludf.DUMMYFUNCTION("IF(COUNTIF(ARRAYFORMULA(LOWER(Validations!$P$2:$P$100)), LOWER(REGEXEXTRACT(J89, ""\d{1,3}[dD]\d{1,3}\s+(\w+)"")))&gt;0, REGEXEXTRACT(J89, ""\d{1,3}[dD]\d{1,3}\s+(\w+)""), """")"),"")</f>
        <v/>
      </c>
      <c r="V89" s="12" t="str">
        <f>IFERROR(__xludf.DUMMYFUNCTION("TEXTJOIN("", "", TRUE, FILTER(Validations!$L$2:$L$100, ISNUMBER(SEARCH(Validations!$L$2:$L$100, J89))))"),"Invisible")</f>
        <v>Invisible</v>
      </c>
      <c r="W89" s="12" t="str">
        <f>IFERROR(__xludf.DUMMYFUNCTION("IFERROR(TEXTJOIN("", "", TRUE, FILTER(Validations!$M$2:$M$100, ISNUMBER(SEARCH(Validations!$M$2:$M$100 &amp; "" saving throw"", J89)))), """")"),"")</f>
        <v/>
      </c>
      <c r="X89" s="12"/>
      <c r="Y89" s="12"/>
      <c r="Z89" s="12" t="str">
        <f>IFERROR(__xludf.DUMMYFUNCTION("IFERROR(TEXTJOIN("", "", TRUE, FILTER(Validations!$N$2:$N$100, ISNUMBER(SEARCH(Validations!$N$2:$N$100 &amp; "" check"", J89)))), """")"),"")</f>
        <v/>
      </c>
      <c r="AA89" s="12" t="str">
        <f>IFERROR(__xludf.DUMMYFUNCTION("IFERROR(TEXTJOIN("", "", TRUE, FILTER(Validations!$N$2:$N$100, ISNUMBER(SEARCH(Validations!$N$2:$N$100 &amp; "" check"", W89)))), """")"),"")</f>
        <v/>
      </c>
      <c r="AB89" s="23" t="str">
        <f>IFERROR(__xludf.DUMMYFUNCTION("IFERROR(CONCATENATE(IF(ISNUMBER(SEARCH(Validations!$M$2:$M$100 &amp; "" spell save"", J89)),""Spell Save"",""""), REGEXEXTRACT(J89, ""DC (\d+)"")), """")"),"")</f>
        <v/>
      </c>
      <c r="AC89" s="42" t="b">
        <v>0</v>
      </c>
      <c r="AD89" s="42" t="b">
        <v>0</v>
      </c>
      <c r="AE89" s="36" t="s">
        <v>69</v>
      </c>
      <c r="AF89" s="25">
        <f>IFERROR(__xludf.DUMMYFUNCTION("IFERROR(VALUE(REGEXEXTRACT(AE89, ""\d+"")), 1)"),1.0)</f>
        <v>1</v>
      </c>
      <c r="AG89" s="12" t="str">
        <f>IFERROR(__xludf.DUMMYFUNCTION("IF(
  ISNUMBER(SEARCH(""Bonus Action"", AE89)),
  ""Bonus Action"",
  IF(
    ISNUMBER(SEARCH(""Reaction"", AE89)),
    ""Reaction"",
    IF(
      ISNUMBER(SEARCH(""Action"", AE89)),
      ""Action"",
      TEXTJOIN("", "", TRUE, FILTER(Validations!$S$2:"&amp;"$S$100, ISNUMBER(SEARCH(Validations!$S$2:$S$100, AE89))))
    )
  )
)"),"Action")</f>
        <v>Action</v>
      </c>
      <c r="AH89" s="36"/>
      <c r="AI89" s="20" t="s">
        <v>92</v>
      </c>
      <c r="AJ89" s="26" t="str">
        <f>IFERROR(__xludf.DUMMYFUNCTION("TEXTJOIN("", "", TRUE, FILTER(Validations!$T$2:$T$100, ISNUMBER(SEARCH(Validations!$T$2:$T$100, AI89))))"),"")</f>
        <v/>
      </c>
      <c r="AK89" s="26">
        <f>IFERROR(__xludf.DUMMYFUNCTION("IFERROR(VALUE(REGEXEXTRACT(AI89, ""\d+"")), """")"),1.0)</f>
        <v>1</v>
      </c>
      <c r="AL89" s="26" t="str">
        <f>IFERROR(__xludf.DUMMYFUNCTION("TEXTJOIN("", "", TRUE, FILTER(Validations!$U$2:$U$100, ISNUMBER(SEARCH(Validations!$U$2:$U$100, AI89))))"),"Minutes")</f>
        <v>Minutes</v>
      </c>
      <c r="AM89" s="24" t="b">
        <f t="shared" si="1"/>
        <v>0</v>
      </c>
      <c r="AN89" s="24" t="b">
        <v>0</v>
      </c>
      <c r="AO89" s="22" t="s">
        <v>440</v>
      </c>
      <c r="AP89" s="12" t="str">
        <f>IFERROR(__xludf.DUMMYFUNCTION("IF(TEXTJOIN("", "", TRUE, FILTER(Validations!$Q$2:$Q$100, ISNUMBER(SEARCH(Validations!$Q$2:$Q$100, AO89)))) = """", Validations!$Q$2, TEXTJOIN("", "", TRUE, FILTER(Validations!$Q$2:$Q$100, ISNUMBER(SEARCH(Validations!$Q$2:$Q$100, AO89)))))"),"Point")</f>
        <v>Point</v>
      </c>
      <c r="AQ89" s="12">
        <f>IFERROR(__xludf.DUMMYFUNCTION("IFERROR(VALUE(REGEXEXTRACT(AO89, ""\d+"")), """")"),60.0)</f>
        <v>60</v>
      </c>
      <c r="AR89" s="12" t="str">
        <f>IFERROR(__xludf.DUMMYFUNCTION("TEXTJOIN("", "", TRUE, FILTER(Validations!$R$2:$R$100, ISNUMBER(SEARCH(Validations!$R$2:$R$100, AO89))))"),"Feet")</f>
        <v>Feet</v>
      </c>
      <c r="AS89" s="27"/>
      <c r="AT89" s="12" t="str">
        <f>IFERROR(__xludf.DUMMYFUNCTION("IFERROR(TEXTJOIN("", "", TRUE, FILTER(Validations!$I$2:$I$100, ISNUMBER(SEARCH(Validations!$I$2:$I$100, AS89)))), """")"),"")</f>
        <v/>
      </c>
      <c r="AU89" s="16" t="str">
        <f t="array" ref="AU89">IFERROR(INDEX(Validations!$J$2:$J$100, MATCH(TRUE, ISNUMBER(SEARCH(Validations!$I$2:$I$100, AT89)), 0)), "")</f>
        <v/>
      </c>
      <c r="AV89" s="12" t="str">
        <f>IFERROR(__xludf.DUMMYFUNCTION("IFERROR(VALUE(REGEXEXTRACT(AS89, ""\d+"")), """")"),"")</f>
        <v/>
      </c>
      <c r="AW89" s="12" t="str">
        <f>IFERROR(__xludf.DUMMYFUNCTION("IFERROR(TEXTJOIN("", "", TRUE, FILTER(Validations!$Q$2:$Q$100, ISNUMBER(SEARCH(Validations!$Q$2:$Q$100, AS89)))), """")"),"")</f>
        <v/>
      </c>
      <c r="AX89" s="28" t="s">
        <v>72</v>
      </c>
      <c r="AY89" s="28" t="str">
        <f>IFERROR(__xludf.DUMMYFUNCTION("TEXTJOIN("", "", TRUE, FILTER(Validations!$Y$2:$Y$100, ISNUMBER(SEARCH(Validations!$X$2:$X$100, AX89))))"),"V, S")</f>
        <v>V, S</v>
      </c>
      <c r="AZ89" s="27"/>
      <c r="BA89" s="22"/>
      <c r="BB89" s="22"/>
      <c r="BC89" s="22"/>
      <c r="BD89" s="22"/>
      <c r="BE89" s="27"/>
      <c r="BF89" s="22"/>
      <c r="BG89" s="27"/>
      <c r="BH89" s="27"/>
      <c r="BI89" s="12" t="str">
        <f>IFERROR(__xludf.DUMMYFUNCTION("IFERROR(TEXTJOIN("", "", TRUE, FILTER(SRD!$A$2:$A$1000, EXACT(SRD!$A$2:$A$1000, J89))), """")"),"")</f>
        <v/>
      </c>
      <c r="BJ89" s="29"/>
      <c r="BK89" s="29"/>
    </row>
    <row r="90" ht="15.75" customHeight="1">
      <c r="A90" s="46" t="s">
        <v>441</v>
      </c>
      <c r="B90" s="12"/>
      <c r="C90" s="47"/>
      <c r="D90" s="47" t="s">
        <v>442</v>
      </c>
      <c r="E90" s="47"/>
      <c r="F90" s="32" t="s">
        <v>443</v>
      </c>
      <c r="G90" s="14" t="s">
        <v>444</v>
      </c>
      <c r="H90" s="48" t="s">
        <v>144</v>
      </c>
      <c r="I90" s="16" t="str">
        <f t="array" ref="I90">INDEX(Validations!$C$2:$C$100, MATCH(TRUE, ISNUMBER(SEARCH(Validations!$B$2:$B$100, H90)), 0))</f>
        <v>D</v>
      </c>
      <c r="J90" s="36" t="s">
        <v>445</v>
      </c>
      <c r="K90" s="34"/>
      <c r="L90" s="36"/>
      <c r="M90" s="22"/>
      <c r="N90" s="27"/>
      <c r="O90" s="22"/>
      <c r="P90" s="49"/>
      <c r="Q90" s="49"/>
      <c r="R90" s="22"/>
      <c r="S90" s="17" t="str">
        <f>IFERROR(__xludf.DUMMYFUNCTION("IFERROR(REGEXEXTRACT(J90, ""(\d{1,3}[dD]\d{1,3})""), """")"),"")</f>
        <v/>
      </c>
      <c r="T90" s="17" t="str">
        <f>IFERROR(__xludf.DUMMYFUNCTION("IF(COUNTIF(ARRAYFORMULA(LOWER(Validations!$O$2:$O$100)), LOWER(REGEXEXTRACT(J90, ""\d{1,3}[dD]\d{1,3}\s+(\w+)"")))&gt;0, REGEXEXTRACT(J90, ""\d{1,3}[dD]\d{1,3}\s+(\w+)""), """")"),"")</f>
        <v/>
      </c>
      <c r="U90" s="17" t="str">
        <f>IFERROR(__xludf.DUMMYFUNCTION("IF(COUNTIF(ARRAYFORMULA(LOWER(Validations!$P$2:$P$100)), LOWER(REGEXEXTRACT(J90, ""\d{1,3}[dD]\d{1,3}\s+(\w+)"")))&gt;0, REGEXEXTRACT(J90, ""\d{1,3}[dD]\d{1,3}\s+(\w+)""), """")"),"")</f>
        <v/>
      </c>
      <c r="V90" s="12"/>
      <c r="W90" s="12" t="str">
        <f>IFERROR(__xludf.DUMMYFUNCTION("IFERROR(TEXTJOIN("", "", TRUE, FILTER(Validations!$M$2:$M$100, ISNUMBER(SEARCH(Validations!$M$2:$M$100 &amp; "" saving throw"", J90)))), """")"),"")</f>
        <v/>
      </c>
      <c r="X90" s="12"/>
      <c r="Y90" s="12"/>
      <c r="Z90" s="12" t="str">
        <f>IFERROR(__xludf.DUMMYFUNCTION("IFERROR(TEXTJOIN("", "", TRUE, FILTER(Validations!$N$2:$N$100, ISNUMBER(SEARCH(Validations!$N$2:$N$100 &amp; "" check"", J90)))), """")"),"")</f>
        <v/>
      </c>
      <c r="AA90" s="12" t="str">
        <f>IFERROR(__xludf.DUMMYFUNCTION("IFERROR(TEXTJOIN("", "", TRUE, FILTER(Validations!$N$2:$N$100, ISNUMBER(SEARCH(Validations!$N$2:$N$100 &amp; "" check"", W90)))), """")"),"")</f>
        <v/>
      </c>
      <c r="AB90" s="23" t="str">
        <f>IFERROR(__xludf.DUMMYFUNCTION("IFERROR(CONCATENATE(IF(ISNUMBER(SEARCH(Validations!$M$2:$M$100 &amp; "" spell save"", J90)),""Spell Save"",""""), REGEXEXTRACT(J90, ""DC (\d+)"")), """")"),"")</f>
        <v/>
      </c>
      <c r="AC90" s="24" t="b">
        <v>0</v>
      </c>
      <c r="AD90" s="24" t="b">
        <v>0</v>
      </c>
      <c r="AE90" s="36" t="s">
        <v>435</v>
      </c>
      <c r="AF90" s="25">
        <f>IFERROR(__xludf.DUMMYFUNCTION("IFERROR(VALUE(REGEXEXTRACT(AE90, ""\d+"")), 1)"),1.0)</f>
        <v>1</v>
      </c>
      <c r="AG90" s="12" t="str">
        <f>IFERROR(__xludf.DUMMYFUNCTION("IF(
  ISNUMBER(SEARCH(""Bonus Action"", AE90)),
  ""Bonus Action"",
  IF(
    ISNUMBER(SEARCH(""Reaction"", AE90)),
    ""Reaction"",
    IF(
      ISNUMBER(SEARCH(""Action"", AE90)),
      ""Action"",
      TEXTJOIN("", "", TRUE, FILTER(Validations!$S$2:"&amp;"$S$100, ISNUMBER(SEARCH(Validations!$S$2:$S$100, AE90))))
    )
  )
)"),"Bonus Action")</f>
        <v>Bonus Action</v>
      </c>
      <c r="AH90" s="36"/>
      <c r="AI90" s="20" t="s">
        <v>446</v>
      </c>
      <c r="AJ90" s="26" t="str">
        <f>IFERROR(__xludf.DUMMYFUNCTION("TEXTJOIN("", "", TRUE, FILTER(Validations!$T$2:$T$100, ISNUMBER(SEARCH(Validations!$T$2:$T$100, AI90))))"),"")</f>
        <v/>
      </c>
      <c r="AK90" s="26">
        <f>IFERROR(__xludf.DUMMYFUNCTION("IFERROR(VALUE(REGEXEXTRACT(AI90, ""\d+"")), """")"),10.0)</f>
        <v>10</v>
      </c>
      <c r="AL90" s="26" t="str">
        <f>IFERROR(__xludf.DUMMYFUNCTION("TEXTJOIN("", "", TRUE, FILTER(Validations!$U$2:$U$100, ISNUMBER(SEARCH(Validations!$U$2:$U$100, AI90))))"),"Minutes")</f>
        <v>Minutes</v>
      </c>
      <c r="AM90" s="24" t="b">
        <f t="shared" si="1"/>
        <v>1</v>
      </c>
      <c r="AN90" s="42" t="b">
        <v>1</v>
      </c>
      <c r="AO90" s="36" t="s">
        <v>78</v>
      </c>
      <c r="AP90" s="12" t="str">
        <f>IFERROR(__xludf.DUMMYFUNCTION("IF(TEXTJOIN("", "", TRUE, FILTER(Validations!$Q$2:$Q$100, ISNUMBER(SEARCH(Validations!$Q$2:$Q$100, AO90)))) = """", Validations!$Q$2, TEXTJOIN("", "", TRUE, FILTER(Validations!$Q$2:$Q$100, ISNUMBER(SEARCH(Validations!$Q$2:$Q$100, AO90)))))"),"Point")</f>
        <v>Point</v>
      </c>
      <c r="AQ90" s="12" t="str">
        <f>IFERROR(__xludf.DUMMYFUNCTION("IFERROR(VALUE(REGEXEXTRACT(AO90, ""\d+"")), """")"),"")</f>
        <v/>
      </c>
      <c r="AR90" s="12" t="str">
        <f>IFERROR(__xludf.DUMMYFUNCTION("TEXTJOIN("", "", TRUE, FILTER(Validations!$R$2:$R$100, ISNUMBER(SEARCH(Validations!$R$2:$R$100, AO90))))"),"Self")</f>
        <v>Self</v>
      </c>
      <c r="AS90" s="27"/>
      <c r="AT90" s="12" t="str">
        <f>IFERROR(__xludf.DUMMYFUNCTION("IFERROR(TEXTJOIN("", "", TRUE, FILTER(Validations!$I$2:$I$100, ISNUMBER(SEARCH(Validations!$I$2:$I$100, AS90)))), """")"),"")</f>
        <v/>
      </c>
      <c r="AU90" s="16" t="str">
        <f t="array" ref="AU90">IFERROR(INDEX(Validations!$J$2:$J$100, MATCH(TRUE, ISNUMBER(SEARCH(Validations!$I$2:$I$100, AT90)), 0)), "")</f>
        <v/>
      </c>
      <c r="AV90" s="12" t="str">
        <f>IFERROR(__xludf.DUMMYFUNCTION("IFERROR(VALUE(REGEXEXTRACT(AS90, ""\d+"")), """")"),"")</f>
        <v/>
      </c>
      <c r="AW90" s="12" t="str">
        <f>IFERROR(__xludf.DUMMYFUNCTION("IFERROR(TEXTJOIN("", "", TRUE, FILTER(Validations!$Q$2:$Q$100, ISNUMBER(SEARCH(Validations!$Q$2:$Q$100, AS90)))), """")"),"")</f>
        <v/>
      </c>
      <c r="AX90" s="28" t="s">
        <v>142</v>
      </c>
      <c r="AY90" s="28" t="str">
        <f>IFERROR(__xludf.DUMMYFUNCTION("TEXTJOIN("", "", TRUE, FILTER(Validations!$Y$2:$Y$100, ISNUMBER(SEARCH(Validations!$X$2:$X$100, AX90))))"),"V, S")</f>
        <v>V, S</v>
      </c>
      <c r="AZ90" s="26"/>
      <c r="BA90" s="22"/>
      <c r="BB90" s="22"/>
      <c r="BC90" s="22"/>
      <c r="BD90" s="22"/>
      <c r="BE90" s="27"/>
      <c r="BF90" s="22"/>
      <c r="BG90" s="27"/>
      <c r="BH90" s="27"/>
      <c r="BI90" s="12" t="str">
        <f>IFERROR(__xludf.DUMMYFUNCTION("IFERROR(TEXTJOIN("", "", TRUE, FILTER(SRD!$A$2:$A$1000, EXACT(SRD!$A$2:$A$1000, J90))), """")"),"")</f>
        <v/>
      </c>
      <c r="BJ90" s="29"/>
      <c r="BK90" s="29"/>
    </row>
    <row r="91" ht="15.75" customHeight="1">
      <c r="A91" s="30" t="s">
        <v>447</v>
      </c>
      <c r="B91" s="22"/>
      <c r="C91" s="16"/>
      <c r="D91" s="16" t="s">
        <v>448</v>
      </c>
      <c r="E91" s="16"/>
      <c r="F91" s="32" t="s">
        <v>449</v>
      </c>
      <c r="G91" s="50" t="s">
        <v>444</v>
      </c>
      <c r="H91" s="31" t="s">
        <v>103</v>
      </c>
      <c r="I91" s="16" t="str">
        <f t="array" ref="I91">INDEX(Validations!$C$2:$C$100, MATCH(TRUE, ISNUMBER(SEARCH(Validations!$B$2:$B$100, H91)), 0))</f>
        <v>C</v>
      </c>
      <c r="J91" s="17" t="s">
        <v>450</v>
      </c>
      <c r="K91" s="18"/>
      <c r="L91" s="17"/>
      <c r="M91" s="17"/>
      <c r="N91" s="20" t="s">
        <v>451</v>
      </c>
      <c r="O91" s="17"/>
      <c r="P91" s="21"/>
      <c r="Q91" s="21"/>
      <c r="R91" s="22"/>
      <c r="S91" s="17" t="str">
        <f>IFERROR(__xludf.DUMMYFUNCTION("IFERROR(REGEXEXTRACT(J91, ""(\d{1,3}[dD]\d{1,3})""), """")"),"")</f>
        <v/>
      </c>
      <c r="T91" s="17" t="str">
        <f>IFERROR(__xludf.DUMMYFUNCTION("IF(COUNTIF(ARRAYFORMULA(LOWER(Validations!$O$2:$O$100)), LOWER(REGEXEXTRACT(J91, ""\d{1,3}[dD]\d{1,3}\s+(\w+)"")))&gt;0, REGEXEXTRACT(J91, ""\d{1,3}[dD]\d{1,3}\s+(\w+)""), """")"),"")</f>
        <v/>
      </c>
      <c r="U91" s="17" t="str">
        <f>IFERROR(__xludf.DUMMYFUNCTION("IF(COUNTIF(ARRAYFORMULA(LOWER(Validations!$P$2:$P$100)), LOWER(REGEXEXTRACT(J91, ""\d{1,3}[dD]\d{1,3}\s+(\w+)"")))&gt;0, REGEXEXTRACT(J91, ""\d{1,3}[dD]\d{1,3}\s+(\w+)""), """")"),"")</f>
        <v/>
      </c>
      <c r="V91" s="12" t="str">
        <f>IFERROR(__xludf.DUMMYFUNCTION("TEXTJOIN("", "", TRUE, FILTER(Validations!$L$2:$L$100, ISNUMBER(SEARCH(Validations!$L$2:$L$100, J91))))"),"Invisible")</f>
        <v>Invisible</v>
      </c>
      <c r="W91" s="12" t="str">
        <f>IFERROR(__xludf.DUMMYFUNCTION("IFERROR(TEXTJOIN("", "", TRUE, FILTER(Validations!$M$2:$M$100, ISNUMBER(SEARCH(Validations!$M$2:$M$100 &amp; "" saving throw"", J91)))), """")"),"")</f>
        <v/>
      </c>
      <c r="X91" s="12"/>
      <c r="Y91" s="12"/>
      <c r="Z91" s="12" t="str">
        <f>IFERROR(__xludf.DUMMYFUNCTION("IFERROR(TEXTJOIN("", "", TRUE, FILTER(Validations!$N$2:$N$100, ISNUMBER(SEARCH(Validations!$N$2:$N$100 &amp; "" check"", J91)))), """")"),"")</f>
        <v/>
      </c>
      <c r="AA91" s="12" t="str">
        <f>IFERROR(__xludf.DUMMYFUNCTION("IFERROR(TEXTJOIN("", "", TRUE, FILTER(Validations!$N$2:$N$100, ISNUMBER(SEARCH(Validations!$N$2:$N$100 &amp; "" check"", W91)))), """")"),"")</f>
        <v/>
      </c>
      <c r="AB91" s="23" t="str">
        <f>IFERROR(__xludf.DUMMYFUNCTION("IFERROR(CONCATENATE(IF(ISNUMBER(SEARCH(Validations!$M$2:$M$100 &amp; "" spell save"", J91)),""Spell Save"",""""), REGEXEXTRACT(J91, ""DC (\d+)"")), """")"),"")</f>
        <v/>
      </c>
      <c r="AC91" s="24" t="b">
        <v>0</v>
      </c>
      <c r="AD91" s="24" t="b">
        <v>0</v>
      </c>
      <c r="AE91" s="36" t="s">
        <v>69</v>
      </c>
      <c r="AF91" s="25">
        <f>IFERROR(__xludf.DUMMYFUNCTION("IFERROR(VALUE(REGEXEXTRACT(AE91, ""\d+"")), 1)"),1.0)</f>
        <v>1</v>
      </c>
      <c r="AG91" s="12" t="str">
        <f>IFERROR(__xludf.DUMMYFUNCTION("IF(
  ISNUMBER(SEARCH(""Bonus Action"", AE91)),
  ""Bonus Action"",
  IF(
    ISNUMBER(SEARCH(""Reaction"", AE91)),
    ""Reaction"",
    IF(
      ISNUMBER(SEARCH(""Action"", AE91)),
      ""Action"",
      TEXTJOIN("", "", TRUE, FILTER(Validations!$S$2:"&amp;"$S$100, ISNUMBER(SEARCH(Validations!$S$2:$S$100, AE91))))
    )
  )
)"),"Action")</f>
        <v>Action</v>
      </c>
      <c r="AH91" s="36"/>
      <c r="AI91" s="27" t="s">
        <v>70</v>
      </c>
      <c r="AJ91" s="26" t="str">
        <f>IFERROR(__xludf.DUMMYFUNCTION("TEXTJOIN("", "", TRUE, FILTER(Validations!$T$2:$T$100, ISNUMBER(SEARCH(Validations!$T$2:$T$100, AI91))))"),"Instantaneous")</f>
        <v>Instantaneous</v>
      </c>
      <c r="AK91" s="26" t="str">
        <f>IFERROR(__xludf.DUMMYFUNCTION("IFERROR(VALUE(REGEXEXTRACT(AI91, ""\d+"")), """")"),"")</f>
        <v/>
      </c>
      <c r="AL91" s="26" t="str">
        <f>IFERROR(__xludf.DUMMYFUNCTION("TEXTJOIN("", "", TRUE, FILTER(Validations!$U$2:$U$100, ISNUMBER(SEARCH(Validations!$U$2:$U$100, AI91))))"),"")</f>
        <v/>
      </c>
      <c r="AM91" s="24" t="b">
        <f t="shared" si="1"/>
        <v>0</v>
      </c>
      <c r="AN91" s="24" t="b">
        <v>0</v>
      </c>
      <c r="AO91" s="22" t="s">
        <v>452</v>
      </c>
      <c r="AP91" s="12" t="str">
        <f>IFERROR(__xludf.DUMMYFUNCTION("IF(TEXTJOIN("", "", TRUE, FILTER(Validations!$Q$2:$Q$100, ISNUMBER(SEARCH(Validations!$Q$2:$Q$100, AO91)))) = """", Validations!$Q$2, TEXTJOIN("", "", TRUE, FILTER(Validations!$Q$2:$Q$100, ISNUMBER(SEARCH(Validations!$Q$2:$Q$100, AO91)))))"),"Point")</f>
        <v>Point</v>
      </c>
      <c r="AQ91" s="12">
        <f>IFERROR(__xludf.DUMMYFUNCTION("IFERROR(VALUE(REGEXEXTRACT(AO91, ""\d+"")), """")"),1.0)</f>
        <v>1</v>
      </c>
      <c r="AR91" s="12" t="str">
        <f>IFERROR(__xludf.DUMMYFUNCTION("TEXTJOIN("", "", TRUE, FILTER(Validations!$R$2:$R$100, ISNUMBER(SEARCH(Validations!$R$2:$R$100, AO91))))"),"Self")</f>
        <v>Self</v>
      </c>
      <c r="AS91" s="27"/>
      <c r="AT91" s="12" t="str">
        <f>IFERROR(__xludf.DUMMYFUNCTION("IFERROR(TEXTJOIN("", "", TRUE, FILTER(Validations!$I$2:$I$100, ISNUMBER(SEARCH(Validations!$I$2:$I$100, AS91)))), """")"),"")</f>
        <v/>
      </c>
      <c r="AU91" s="16" t="str">
        <f t="array" ref="AU91">IFERROR(INDEX(Validations!$J$2:$J$100, MATCH(TRUE, ISNUMBER(SEARCH(Validations!$I$2:$I$100, AT91)), 0)), "")</f>
        <v/>
      </c>
      <c r="AV91" s="12" t="str">
        <f>IFERROR(__xludf.DUMMYFUNCTION("IFERROR(VALUE(REGEXEXTRACT(AS91, ""\d+"")), """")"),"")</f>
        <v/>
      </c>
      <c r="AW91" s="12" t="str">
        <f>IFERROR(__xludf.DUMMYFUNCTION("IFERROR(TEXTJOIN("", "", TRUE, FILTER(Validations!$Q$2:$Q$100, ISNUMBER(SEARCH(Validations!$Q$2:$Q$100, AS91)))), """")"),"")</f>
        <v/>
      </c>
      <c r="AX91" s="28" t="s">
        <v>152</v>
      </c>
      <c r="AY91" s="28" t="str">
        <f>IFERROR(__xludf.DUMMYFUNCTION("TEXTJOIN("", "", TRUE, FILTER(Validations!$Y$2:$Y$100, ISNUMBER(SEARCH(Validations!$X$2:$X$100, AX91))))"),"V, S, R")</f>
        <v>V, S, R</v>
      </c>
      <c r="AZ91" s="20" t="s">
        <v>453</v>
      </c>
      <c r="BA91" s="22"/>
      <c r="BB91" s="22"/>
      <c r="BC91" s="22"/>
      <c r="BD91" s="22"/>
      <c r="BE91" s="27"/>
      <c r="BF91" s="22"/>
      <c r="BG91" s="27"/>
      <c r="BH91" s="27"/>
      <c r="BI91" s="12" t="str">
        <f>IFERROR(__xludf.DUMMYFUNCTION("IFERROR(TEXTJOIN("", "", TRUE, FILTER(SRD!$A$2:$A$1000, EXACT(SRD!$A$2:$A$1000, J91))), """")"),"")</f>
        <v/>
      </c>
      <c r="BJ91" s="29"/>
      <c r="BK91" s="29"/>
    </row>
    <row r="92" ht="15.75" customHeight="1">
      <c r="A92" s="11" t="s">
        <v>454</v>
      </c>
      <c r="B92" s="12"/>
      <c r="C92" s="13"/>
      <c r="D92" s="13" t="s">
        <v>455</v>
      </c>
      <c r="E92" s="13"/>
      <c r="F92" s="14" t="s">
        <v>456</v>
      </c>
      <c r="G92" s="50" t="s">
        <v>444</v>
      </c>
      <c r="H92" s="16" t="s">
        <v>183</v>
      </c>
      <c r="I92" s="16" t="str">
        <f t="array" ref="I92">INDEX(Validations!$C$2:$C$100, MATCH(TRUE, ISNUMBER(SEARCH(Validations!$B$2:$B$100, H92)), 0))</f>
        <v>E</v>
      </c>
      <c r="J92" s="17" t="s">
        <v>457</v>
      </c>
      <c r="K92" s="18"/>
      <c r="L92" s="17"/>
      <c r="M92" s="37" t="s">
        <v>458</v>
      </c>
      <c r="N92" s="27"/>
      <c r="O92" s="17" t="s">
        <v>459</v>
      </c>
      <c r="P92" s="21"/>
      <c r="Q92" s="21"/>
      <c r="R92" s="22"/>
      <c r="S92" s="17"/>
      <c r="T92" s="17" t="str">
        <f>IFERROR(__xludf.DUMMYFUNCTION("IF(COUNTIF(ARRAYFORMULA(LOWER(Validations!$O$2:$O$100)), LOWER(REGEXEXTRACT(J92, ""\d{1,3}[dD]\d{1,3}\s+(\w+)"")))&gt;0, REGEXEXTRACT(J92, ""\d{1,3}[dD]\d{1,3}\s+(\w+)""), """")"),"")</f>
        <v/>
      </c>
      <c r="U92" s="17" t="str">
        <f>IFERROR(__xludf.DUMMYFUNCTION("IF(COUNTIF(ARRAYFORMULA(LOWER(Validations!$P$2:$P$100)), LOWER(REGEXEXTRACT(J92, ""\d{1,3}[dD]\d{1,3}\s+(\w+)"")))&gt;0, REGEXEXTRACT(J92, ""\d{1,3}[dD]\d{1,3}\s+(\w+)""), """")"),"")</f>
        <v/>
      </c>
      <c r="V92" s="36" t="s">
        <v>460</v>
      </c>
      <c r="W92" s="12" t="str">
        <f>IFERROR(__xludf.DUMMYFUNCTION("IFERROR(TEXTJOIN("", "", TRUE, FILTER(Validations!$M$2:$M$100, ISNUMBER(SEARCH(Validations!$M$2:$M$100 &amp; "" saving throw"", J92)))), """")"),"Charisma")</f>
        <v>Charisma</v>
      </c>
      <c r="X92" s="12"/>
      <c r="Y92" s="12"/>
      <c r="Z92" s="12" t="str">
        <f>IFERROR(__xludf.DUMMYFUNCTION("IFERROR(TEXTJOIN("", "", TRUE, FILTER(Validations!$N$2:$N$100, ISNUMBER(SEARCH(Validations!$N$2:$N$100 &amp; "" check"", J92)))), """")"),"")</f>
        <v/>
      </c>
      <c r="AA92" s="12" t="str">
        <f>IFERROR(__xludf.DUMMYFUNCTION("IFERROR(TEXTJOIN("", "", TRUE, FILTER(Validations!$N$2:$N$100, ISNUMBER(SEARCH(Validations!$N$2:$N$100 &amp; "" check"", W92)))), """")"),"")</f>
        <v/>
      </c>
      <c r="AB92" s="23" t="str">
        <f>IFERROR(__xludf.DUMMYFUNCTION("IFERROR(CONCATENATE(IF(ISNUMBER(SEARCH(Validations!$M$2:$M$100 &amp; "" spell save"", J92)),""Spell Save"",""""), REGEXEXTRACT(J92, ""DC (\d+)"")), """")"),"")</f>
        <v/>
      </c>
      <c r="AC92" s="24" t="b">
        <v>0</v>
      </c>
      <c r="AD92" s="24" t="b">
        <v>0</v>
      </c>
      <c r="AE92" s="36" t="s">
        <v>208</v>
      </c>
      <c r="AF92" s="25">
        <f>IFERROR(__xludf.DUMMYFUNCTION("IFERROR(VALUE(REGEXEXTRACT(AE92, ""\d+"")), 1)"),1.0)</f>
        <v>1</v>
      </c>
      <c r="AG92" s="12" t="str">
        <f>IFERROR(__xludf.DUMMYFUNCTION("IF(
  ISNUMBER(SEARCH(""Bonus Action"", AE92)),
  ""Bonus Action"",
  IF(
    ISNUMBER(SEARCH(""Reaction"", AE92)),
    ""Reaction"",
    IF(
      ISNUMBER(SEARCH(""Action"", AE92)),
      ""Action"",
      TEXTJOIN("", "", TRUE, FILTER(Validations!$S$2:"&amp;"$S$100, ISNUMBER(SEARCH(Validations!$S$2:$S$100, AE92))))
    )
  )
)"),"Reaction")</f>
        <v>Reaction</v>
      </c>
      <c r="AH92" s="36" t="s">
        <v>461</v>
      </c>
      <c r="AI92" s="20" t="s">
        <v>134</v>
      </c>
      <c r="AJ92" s="26" t="str">
        <f>IFERROR(__xludf.DUMMYFUNCTION("TEXTJOIN("", "", TRUE, FILTER(Validations!$T$2:$T$100, ISNUMBER(SEARCH(Validations!$T$2:$T$100, AI92))))"),"")</f>
        <v/>
      </c>
      <c r="AK92" s="26">
        <f>IFERROR(__xludf.DUMMYFUNCTION("IFERROR(VALUE(REGEXEXTRACT(AI92, ""\d+"")), """")"),10.0)</f>
        <v>10</v>
      </c>
      <c r="AL92" s="26" t="str">
        <f>IFERROR(__xludf.DUMMYFUNCTION("TEXTJOIN("", "", TRUE, FILTER(Validations!$U$2:$U$100, ISNUMBER(SEARCH(Validations!$U$2:$U$100, AI92))))"),"Minutes")</f>
        <v>Minutes</v>
      </c>
      <c r="AM92" s="24" t="b">
        <f t="shared" si="1"/>
        <v>0</v>
      </c>
      <c r="AN92" s="24" t="b">
        <v>1</v>
      </c>
      <c r="AO92" s="12" t="s">
        <v>71</v>
      </c>
      <c r="AP92" s="12" t="str">
        <f>IFERROR(__xludf.DUMMYFUNCTION("IF(TEXTJOIN("", "", TRUE, FILTER(Validations!$Q$2:$Q$100, ISNUMBER(SEARCH(Validations!$Q$2:$Q$100, AO92)))) = """", Validations!$Q$2, TEXTJOIN("", "", TRUE, FILTER(Validations!$Q$2:$Q$100, ISNUMBER(SEARCH(Validations!$Q$2:$Q$100, AO92)))))"),"Point")</f>
        <v>Point</v>
      </c>
      <c r="AQ92" s="12" t="str">
        <f>IFERROR(__xludf.DUMMYFUNCTION("IFERROR(VALUE(REGEXEXTRACT(AO92, ""\d+"")), """")"),"")</f>
        <v/>
      </c>
      <c r="AR92" s="12" t="str">
        <f>IFERROR(__xludf.DUMMYFUNCTION("TEXTJOIN("", "", TRUE, FILTER(Validations!$R$2:$R$100, ISNUMBER(SEARCH(Validations!$R$2:$R$100, AO92))))"),"Touch")</f>
        <v>Touch</v>
      </c>
      <c r="AS92" s="27"/>
      <c r="AT92" s="12" t="str">
        <f>IFERROR(__xludf.DUMMYFUNCTION("IFERROR(TEXTJOIN("", "", TRUE, FILTER(Validations!$I$2:$I$100, ISNUMBER(SEARCH(Validations!$I$2:$I$100, AS92)))), """")"),"")</f>
        <v/>
      </c>
      <c r="AU92" s="16" t="str">
        <f t="array" ref="AU92">IFERROR(INDEX(Validations!$J$2:$J$100, MATCH(TRUE, ISNUMBER(SEARCH(Validations!$I$2:$I$100, AT92)), 0)), "")</f>
        <v/>
      </c>
      <c r="AV92" s="12" t="str">
        <f>IFERROR(__xludf.DUMMYFUNCTION("IFERROR(VALUE(REGEXEXTRACT(AS92, ""\d+"")), """")"),"")</f>
        <v/>
      </c>
      <c r="AW92" s="12" t="str">
        <f>IFERROR(__xludf.DUMMYFUNCTION("IFERROR(TEXTJOIN("", "", TRUE, FILTER(Validations!$Q$2:$Q$100, ISNUMBER(SEARCH(Validations!$Q$2:$Q$100, AS92)))), """")"),"")</f>
        <v/>
      </c>
      <c r="AX92" s="28" t="s">
        <v>94</v>
      </c>
      <c r="AY92" s="28" t="str">
        <f>IFERROR(__xludf.DUMMYFUNCTION("TEXTJOIN("", "", TRUE, FILTER(Validations!$Y$2:$Y$100, ISNUMBER(SEARCH(Validations!$X$2:$X$100, AX92))))"),"V, S, R")</f>
        <v>V, S, R</v>
      </c>
      <c r="AZ92" s="20" t="s">
        <v>462</v>
      </c>
      <c r="BA92" s="12"/>
      <c r="BB92" s="22"/>
      <c r="BC92" s="22"/>
      <c r="BD92" s="22"/>
      <c r="BE92" s="27"/>
      <c r="BF92" s="28" t="s">
        <v>463</v>
      </c>
      <c r="BG92" s="27"/>
      <c r="BH92" s="27"/>
      <c r="BI92" s="12" t="str">
        <f>IFERROR(__xludf.DUMMYFUNCTION("IFERROR(TEXTJOIN("", "", TRUE, FILTER(SRD!$A$2:$A$1000, EXACT(SRD!$A$2:$A$1000, J92))), """")"),"")</f>
        <v/>
      </c>
      <c r="BJ92" s="29"/>
      <c r="BK92" s="29"/>
    </row>
    <row r="93" ht="15.75" customHeight="1">
      <c r="A93" s="30" t="s">
        <v>464</v>
      </c>
      <c r="B93" s="22"/>
      <c r="C93" s="16"/>
      <c r="D93" s="16" t="s">
        <v>465</v>
      </c>
      <c r="E93" s="16"/>
      <c r="F93" s="32" t="s">
        <v>466</v>
      </c>
      <c r="G93" s="50" t="s">
        <v>444</v>
      </c>
      <c r="H93" s="31" t="s">
        <v>65</v>
      </c>
      <c r="I93" s="16" t="str">
        <f t="array" ref="I93">INDEX(Validations!$C$2:$C$100, MATCH(TRUE, ISNUMBER(SEARCH(Validations!$B$2:$B$100, H93)), 0))</f>
        <v>I</v>
      </c>
      <c r="J93" s="17" t="s">
        <v>467</v>
      </c>
      <c r="K93" s="18"/>
      <c r="L93" s="17" t="s">
        <v>468</v>
      </c>
      <c r="M93" s="17"/>
      <c r="N93" s="27"/>
      <c r="O93" s="17"/>
      <c r="P93" s="21"/>
      <c r="Q93" s="21"/>
      <c r="R93" s="22"/>
      <c r="S93" s="17" t="str">
        <f>IFERROR(__xludf.DUMMYFUNCTION("IFERROR(REGEXEXTRACT(J93, ""(\d{1,3}[dD]\d{1,3})""), """")"),"")</f>
        <v/>
      </c>
      <c r="T93" s="17" t="str">
        <f>IFERROR(__xludf.DUMMYFUNCTION("IF(COUNTIF(ARRAYFORMULA(LOWER(Validations!$O$2:$O$100)), LOWER(REGEXEXTRACT(J93, ""\d{1,3}[dD]\d{1,3}\s+(\w+)"")))&gt;0, REGEXEXTRACT(J93, ""\d{1,3}[dD]\d{1,3}\s+(\w+)""), """")"),"")</f>
        <v/>
      </c>
      <c r="U93" s="17" t="str">
        <f>IFERROR(__xludf.DUMMYFUNCTION("IF(COUNTIF(ARRAYFORMULA(LOWER(Validations!$P$2:$P$100)), LOWER(REGEXEXTRACT(J93, ""\d{1,3}[dD]\d{1,3}\s+(\w+)"")))&gt;0, REGEXEXTRACT(J93, ""\d{1,3}[dD]\d{1,3}\s+(\w+)""), """")"),"")</f>
        <v/>
      </c>
      <c r="V93" s="12" t="str">
        <f>IFERROR(__xludf.DUMMYFUNCTION("TEXTJOIN("", "", TRUE, FILTER(Validations!$L$2:$L$100, ISNUMBER(SEARCH(Validations!$L$2:$L$100, J93))))"),"")</f>
        <v/>
      </c>
      <c r="W93" s="12" t="str">
        <f>IFERROR(__xludf.DUMMYFUNCTION("IFERROR(TEXTJOIN("", "", TRUE, FILTER(Validations!$M$2:$M$100, ISNUMBER(SEARCH(Validations!$M$2:$M$100 &amp; "" saving throw"", J93)))), """")"),"Intelligence")</f>
        <v>Intelligence</v>
      </c>
      <c r="X93" s="12"/>
      <c r="Y93" s="12"/>
      <c r="Z93" s="12" t="str">
        <f>IFERROR(__xludf.DUMMYFUNCTION("IFERROR(TEXTJOIN("", "", TRUE, FILTER(Validations!$N$2:$N$100, ISNUMBER(SEARCH(Validations!$N$2:$N$100 &amp; "" check"", J93)))), """")"),"")</f>
        <v/>
      </c>
      <c r="AA93" s="12" t="str">
        <f>IFERROR(__xludf.DUMMYFUNCTION("IFERROR(TEXTJOIN("", "", TRUE, FILTER(Validations!$N$2:$N$100, ISNUMBER(SEARCH(Validations!$N$2:$N$100 &amp; "" check"", W93)))), """")"),"")</f>
        <v/>
      </c>
      <c r="AB93" s="23" t="str">
        <f>IFERROR(__xludf.DUMMYFUNCTION("IFERROR(CONCATENATE(IF(ISNUMBER(SEARCH(Validations!$M$2:$M$100 &amp; "" spell save"", J93)),""Spell Save"",""""), REGEXEXTRACT(J93, ""DC (\d+)"")), """")"),"")</f>
        <v/>
      </c>
      <c r="AC93" s="24" t="b">
        <v>0</v>
      </c>
      <c r="AD93" s="24" t="b">
        <v>0</v>
      </c>
      <c r="AE93" s="36" t="s">
        <v>69</v>
      </c>
      <c r="AF93" s="25">
        <f>IFERROR(__xludf.DUMMYFUNCTION("IFERROR(VALUE(REGEXEXTRACT(AE93, ""\d+"")), 1)"),1.0)</f>
        <v>1</v>
      </c>
      <c r="AG93" s="12" t="str">
        <f>IFERROR(__xludf.DUMMYFUNCTION("IF(
  ISNUMBER(SEARCH(""Bonus Action"", AE93)),
  ""Bonus Action"",
  IF(
    ISNUMBER(SEARCH(""Reaction"", AE93)),
    ""Reaction"",
    IF(
      ISNUMBER(SEARCH(""Action"", AE93)),
      ""Action"",
      TEXTJOIN("", "", TRUE, FILTER(Validations!$S$2:"&amp;"$S$100, ISNUMBER(SEARCH(Validations!$S$2:$S$100, AE93))))
    )
  )
)"),"Action")</f>
        <v>Action</v>
      </c>
      <c r="AH93" s="36"/>
      <c r="AI93" s="20" t="s">
        <v>134</v>
      </c>
      <c r="AJ93" s="26" t="str">
        <f>IFERROR(__xludf.DUMMYFUNCTION("TEXTJOIN("", "", TRUE, FILTER(Validations!$T$2:$T$100, ISNUMBER(SEARCH(Validations!$T$2:$T$100, AI93))))"),"")</f>
        <v/>
      </c>
      <c r="AK93" s="26">
        <f>IFERROR(__xludf.DUMMYFUNCTION("IFERROR(VALUE(REGEXEXTRACT(AI93, ""\d+"")), """")"),10.0)</f>
        <v>10</v>
      </c>
      <c r="AL93" s="26" t="str">
        <f>IFERROR(__xludf.DUMMYFUNCTION("TEXTJOIN("", "", TRUE, FILTER(Validations!$U$2:$U$100, ISNUMBER(SEARCH(Validations!$U$2:$U$100, AI93))))"),"Minutes")</f>
        <v>Minutes</v>
      </c>
      <c r="AM93" s="24" t="b">
        <f t="shared" si="1"/>
        <v>0</v>
      </c>
      <c r="AN93" s="24" t="b">
        <v>1</v>
      </c>
      <c r="AO93" s="22" t="s">
        <v>71</v>
      </c>
      <c r="AP93" s="12" t="str">
        <f>IFERROR(__xludf.DUMMYFUNCTION("IF(TEXTJOIN("", "", TRUE, FILTER(Validations!$Q$2:$Q$100, ISNUMBER(SEARCH(Validations!$Q$2:$Q$100, AO93)))) = """", Validations!$Q$2, TEXTJOIN("", "", TRUE, FILTER(Validations!$Q$2:$Q$100, ISNUMBER(SEARCH(Validations!$Q$2:$Q$100, AO93)))))"),"Point")</f>
        <v>Point</v>
      </c>
      <c r="AQ93" s="12" t="str">
        <f>IFERROR(__xludf.DUMMYFUNCTION("IFERROR(VALUE(REGEXEXTRACT(AO93, ""\d+"")), """")"),"")</f>
        <v/>
      </c>
      <c r="AR93" s="12" t="str">
        <f>IFERROR(__xludf.DUMMYFUNCTION("TEXTJOIN("", "", TRUE, FILTER(Validations!$R$2:$R$100, ISNUMBER(SEARCH(Validations!$R$2:$R$100, AO93))))"),"Touch")</f>
        <v>Touch</v>
      </c>
      <c r="AS93" s="27"/>
      <c r="AT93" s="12" t="str">
        <f>IFERROR(__xludf.DUMMYFUNCTION("IFERROR(TEXTJOIN("", "", TRUE, FILTER(Validations!$I$2:$I$100, ISNUMBER(SEARCH(Validations!$I$2:$I$100, AS93)))), """")"),"")</f>
        <v/>
      </c>
      <c r="AU93" s="16" t="str">
        <f t="array" ref="AU93">IFERROR(INDEX(Validations!$J$2:$J$100, MATCH(TRUE, ISNUMBER(SEARCH(Validations!$I$2:$I$100, AT93)), 0)), "")</f>
        <v/>
      </c>
      <c r="AV93" s="12" t="str">
        <f>IFERROR(__xludf.DUMMYFUNCTION("IFERROR(VALUE(REGEXEXTRACT(AS93, ""\d+"")), """")"),"")</f>
        <v/>
      </c>
      <c r="AW93" s="12" t="str">
        <f>IFERROR(__xludf.DUMMYFUNCTION("IFERROR(TEXTJOIN("", "", TRUE, FILTER(Validations!$Q$2:$Q$100, ISNUMBER(SEARCH(Validations!$Q$2:$Q$100, AS93)))), """")"),"")</f>
        <v/>
      </c>
      <c r="AX93" s="28" t="s">
        <v>142</v>
      </c>
      <c r="AY93" s="28" t="str">
        <f>IFERROR(__xludf.DUMMYFUNCTION("TEXTJOIN("", "", TRUE, FILTER(Validations!$Y$2:$Y$100, ISNUMBER(SEARCH(Validations!$X$2:$X$100, AX93))))"),"V, S")</f>
        <v>V, S</v>
      </c>
      <c r="AZ93" s="27"/>
      <c r="BA93" s="22"/>
      <c r="BB93" s="22"/>
      <c r="BC93" s="22"/>
      <c r="BD93" s="36"/>
      <c r="BE93" s="27"/>
      <c r="BF93" s="22"/>
      <c r="BG93" s="27"/>
      <c r="BH93" s="27"/>
      <c r="BI93" s="12" t="str">
        <f>IFERROR(__xludf.DUMMYFUNCTION("IFERROR(TEXTJOIN("", "", TRUE, FILTER(SRD!$A$2:$A$1000, EXACT(SRD!$A$2:$A$1000, J93))), """")"),"")</f>
        <v/>
      </c>
      <c r="BJ93" s="29"/>
      <c r="BK93" s="29"/>
    </row>
    <row r="94" ht="15.75" customHeight="1">
      <c r="A94" s="30" t="s">
        <v>469</v>
      </c>
      <c r="B94" s="22"/>
      <c r="C94" s="16"/>
      <c r="D94" s="16" t="s">
        <v>470</v>
      </c>
      <c r="E94" s="16"/>
      <c r="F94" s="32" t="s">
        <v>471</v>
      </c>
      <c r="G94" s="50" t="s">
        <v>444</v>
      </c>
      <c r="H94" s="31" t="s">
        <v>144</v>
      </c>
      <c r="I94" s="16" t="str">
        <f t="array" ref="I94">INDEX(Validations!$C$2:$C$100, MATCH(TRUE, ISNUMBER(SEARCH(Validations!$B$2:$B$100, H94)), 0))</f>
        <v>D</v>
      </c>
      <c r="J94" s="17" t="s">
        <v>472</v>
      </c>
      <c r="K94" s="18"/>
      <c r="L94" s="17"/>
      <c r="M94" s="17" t="s">
        <v>473</v>
      </c>
      <c r="N94" s="27"/>
      <c r="O94" s="17"/>
      <c r="P94" s="21"/>
      <c r="Q94" s="21"/>
      <c r="R94" s="36" t="s">
        <v>474</v>
      </c>
      <c r="S94" s="17" t="str">
        <f>IFERROR(__xludf.DUMMYFUNCTION("IFERROR(REGEXEXTRACT(J94, ""(\d{1,3}[dD]\d{1,3})""), """")"),"")</f>
        <v/>
      </c>
      <c r="T94" s="17" t="str">
        <f>IFERROR(__xludf.DUMMYFUNCTION("IF(COUNTIF(ARRAYFORMULA(LOWER(Validations!$O$2:$O$100)), LOWER(REGEXEXTRACT(J94, ""\d{1,3}[dD]\d{1,3}\s+(\w+)"")))&gt;0, REGEXEXTRACT(J94, ""\d{1,3}[dD]\d{1,3}\s+(\w+)""), """")"),"")</f>
        <v/>
      </c>
      <c r="U94" s="17" t="str">
        <f>IFERROR(__xludf.DUMMYFUNCTION("IF(COUNTIF(ARRAYFORMULA(LOWER(Validations!$P$2:$P$100)), LOWER(REGEXEXTRACT(J94, ""\d{1,3}[dD]\d{1,3}\s+(\w+)"")))&gt;0, REGEXEXTRACT(J94, ""\d{1,3}[dD]\d{1,3}\s+(\w+)""), """")"),"")</f>
        <v/>
      </c>
      <c r="V94" s="12" t="str">
        <f>IFERROR(__xludf.DUMMYFUNCTION("TEXTJOIN("", "", TRUE, FILTER(Validations!$L$2:$L$100, ISNUMBER(SEARCH(Validations!$L$2:$L$100, J94))))"),"")</f>
        <v/>
      </c>
      <c r="W94" s="12" t="str">
        <f>IFERROR(__xludf.DUMMYFUNCTION("IFERROR(TEXTJOIN("", "", TRUE, FILTER(Validations!$M$2:$M$100, ISNUMBER(SEARCH(Validations!$M$2:$M$100 &amp; "" saving throw"", J94)))), """")"),"")</f>
        <v/>
      </c>
      <c r="X94" s="12"/>
      <c r="Y94" s="12"/>
      <c r="Z94" s="12" t="str">
        <f>IFERROR(__xludf.DUMMYFUNCTION("IFERROR(TEXTJOIN("", "", TRUE, FILTER(Validations!$N$2:$N$100, ISNUMBER(SEARCH(Validations!$N$2:$N$100 &amp; "" check"", J94)))), """")"),"")</f>
        <v/>
      </c>
      <c r="AA94" s="12" t="str">
        <f>IFERROR(__xludf.DUMMYFUNCTION("IFERROR(TEXTJOIN("", "", TRUE, FILTER(Validations!$N$2:$N$100, ISNUMBER(SEARCH(Validations!$N$2:$N$100 &amp; "" check"", W94)))), """")"),"")</f>
        <v/>
      </c>
      <c r="AB94" s="23" t="str">
        <f>IFERROR(__xludf.DUMMYFUNCTION("IFERROR(CONCATENATE(IF(ISNUMBER(SEARCH(Validations!$M$2:$M$100 &amp; "" spell save"", J94)),""Spell Save"",""""), REGEXEXTRACT(J94, ""DC (\d+)"")), """")"),"")</f>
        <v/>
      </c>
      <c r="AC94" s="24" t="b">
        <v>1</v>
      </c>
      <c r="AD94" s="24" t="b">
        <v>0</v>
      </c>
      <c r="AE94" s="36" t="s">
        <v>69</v>
      </c>
      <c r="AF94" s="25">
        <f>IFERROR(__xludf.DUMMYFUNCTION("IFERROR(VALUE(REGEXEXTRACT(AE94, ""\d+"")), 1)"),1.0)</f>
        <v>1</v>
      </c>
      <c r="AG94" s="12" t="str">
        <f>IFERROR(__xludf.DUMMYFUNCTION("IF(
  ISNUMBER(SEARCH(""Bonus Action"", AE94)),
  ""Bonus Action"",
  IF(
    ISNUMBER(SEARCH(""Reaction"", AE94)),
    ""Reaction"",
    IF(
      ISNUMBER(SEARCH(""Action"", AE94)),
      ""Action"",
      TEXTJOIN("", "", TRUE, FILTER(Validations!$S$2:"&amp;"$S$100, ISNUMBER(SEARCH(Validations!$S$2:$S$100, AE94))))
    )
  )
)"),"Action")</f>
        <v>Action</v>
      </c>
      <c r="AH94" s="36"/>
      <c r="AI94" s="20" t="s">
        <v>134</v>
      </c>
      <c r="AJ94" s="26" t="str">
        <f>IFERROR(__xludf.DUMMYFUNCTION("TEXTJOIN("", "", TRUE, FILTER(Validations!$T$2:$T$100, ISNUMBER(SEARCH(Validations!$T$2:$T$100, AI94))))"),"")</f>
        <v/>
      </c>
      <c r="AK94" s="26">
        <f>IFERROR(__xludf.DUMMYFUNCTION("IFERROR(VALUE(REGEXEXTRACT(AI94, ""\d+"")), """")"),10.0)</f>
        <v>10</v>
      </c>
      <c r="AL94" s="26" t="str">
        <f>IFERROR(__xludf.DUMMYFUNCTION("TEXTJOIN("", "", TRUE, FILTER(Validations!$U$2:$U$100, ISNUMBER(SEARCH(Validations!$U$2:$U$100, AI94))))"),"Minutes")</f>
        <v>Minutes</v>
      </c>
      <c r="AM94" s="24" t="b">
        <f t="shared" si="1"/>
        <v>0</v>
      </c>
      <c r="AN94" s="24" t="b">
        <v>1</v>
      </c>
      <c r="AO94" s="22" t="s">
        <v>475</v>
      </c>
      <c r="AP94" s="12" t="str">
        <f>IFERROR(__xludf.DUMMYFUNCTION("IF(TEXTJOIN("", "", TRUE, FILTER(Validations!$Q$2:$Q$100, ISNUMBER(SEARCH(Validations!$Q$2:$Q$100, AO94)))) = """", Validations!$Q$2, TEXTJOIN("", "", TRUE, FILTER(Validations!$Q$2:$Q$100, ISNUMBER(SEARCH(Validations!$Q$2:$Q$100, AO94)))))"),"Point")</f>
        <v>Point</v>
      </c>
      <c r="AQ94" s="12">
        <f>IFERROR(__xludf.DUMMYFUNCTION("IFERROR(VALUE(REGEXEXTRACT(AO94, ""\d+"")), """")"),30.0)</f>
        <v>30</v>
      </c>
      <c r="AR94" s="12" t="str">
        <f>IFERROR(__xludf.DUMMYFUNCTION("TEXTJOIN("", "", TRUE, FILTER(Validations!$R$2:$R$100, ISNUMBER(SEARCH(Validations!$R$2:$R$100, AO94))))"),"Self, Feet")</f>
        <v>Self, Feet</v>
      </c>
      <c r="AS94" s="27"/>
      <c r="AT94" s="12" t="str">
        <f>IFERROR(__xludf.DUMMYFUNCTION("IFERROR(TEXTJOIN("", "", TRUE, FILTER(Validations!$I$2:$I$100, ISNUMBER(SEARCH(Validations!$I$2:$I$100, AS94)))), """")"),"")</f>
        <v/>
      </c>
      <c r="AU94" s="16" t="str">
        <f t="array" ref="AU94">IFERROR(INDEX(Validations!$J$2:$J$100, MATCH(TRUE, ISNUMBER(SEARCH(Validations!$I$2:$I$100, AT94)), 0)), "")</f>
        <v/>
      </c>
      <c r="AV94" s="12" t="str">
        <f>IFERROR(__xludf.DUMMYFUNCTION("IFERROR(VALUE(REGEXEXTRACT(AS94, ""\d+"")), """")"),"")</f>
        <v/>
      </c>
      <c r="AW94" s="12" t="str">
        <f>IFERROR(__xludf.DUMMYFUNCTION("IFERROR(TEXTJOIN("", "", TRUE, FILTER(Validations!$Q$2:$Q$100, ISNUMBER(SEARCH(Validations!$Q$2:$Q$100, AS94)))), """")"),"")</f>
        <v/>
      </c>
      <c r="AX94" s="28" t="s">
        <v>152</v>
      </c>
      <c r="AY94" s="28" t="str">
        <f>IFERROR(__xludf.DUMMYFUNCTION("TEXTJOIN("", "", TRUE, FILTER(Validations!$Y$2:$Y$100, ISNUMBER(SEARCH(Validations!$X$2:$X$100, AX94))))"),"V, S, R")</f>
        <v>V, S, R</v>
      </c>
      <c r="AZ94" s="20" t="s">
        <v>476</v>
      </c>
      <c r="BA94" s="22"/>
      <c r="BB94" s="22"/>
      <c r="BC94" s="22"/>
      <c r="BD94" s="22"/>
      <c r="BE94" s="27"/>
      <c r="BF94" s="22"/>
      <c r="BG94" s="27"/>
      <c r="BH94" s="27"/>
      <c r="BI94" s="12" t="str">
        <f>IFERROR(__xludf.DUMMYFUNCTION("IFERROR(TEXTJOIN("", "", TRUE, FILTER(SRD!$A$2:$A$1000, EXACT(SRD!$A$2:$A$1000, J94))), """")"),"")</f>
        <v/>
      </c>
      <c r="BJ94" s="29"/>
      <c r="BK94" s="29"/>
    </row>
    <row r="95" ht="15.75" customHeight="1">
      <c r="A95" s="11" t="s">
        <v>477</v>
      </c>
      <c r="B95" s="12"/>
      <c r="C95" s="13"/>
      <c r="D95" s="13" t="s">
        <v>478</v>
      </c>
      <c r="E95" s="13"/>
      <c r="F95" s="14" t="s">
        <v>479</v>
      </c>
      <c r="G95" s="50" t="s">
        <v>444</v>
      </c>
      <c r="H95" s="31" t="s">
        <v>144</v>
      </c>
      <c r="I95" s="16" t="str">
        <f t="array" ref="I95">INDEX(Validations!$C$2:$C$100, MATCH(TRUE, ISNUMBER(SEARCH(Validations!$B$2:$B$100, H95)), 0))</f>
        <v>D</v>
      </c>
      <c r="J95" s="17" t="s">
        <v>480</v>
      </c>
      <c r="K95" s="18"/>
      <c r="L95" s="17" t="s">
        <v>481</v>
      </c>
      <c r="M95" s="37"/>
      <c r="N95" s="27"/>
      <c r="O95" s="17"/>
      <c r="P95" s="21"/>
      <c r="Q95" s="21"/>
      <c r="R95" s="22"/>
      <c r="S95" s="17" t="str">
        <f>IFERROR(__xludf.DUMMYFUNCTION("IFERROR(REGEXEXTRACT(J95, ""(\d{1,3}[dD]\d{1,3})""), """")"),"")</f>
        <v/>
      </c>
      <c r="T95" s="17" t="str">
        <f>IFERROR(__xludf.DUMMYFUNCTION("IF(COUNTIF(ARRAYFORMULA(LOWER(Validations!$O$2:$O$100)), LOWER(REGEXEXTRACT(J95, ""\d{1,3}[dD]\d{1,3}\s+(\w+)"")))&gt;0, REGEXEXTRACT(J95, ""\d{1,3}[dD]\d{1,3}\s+(\w+)""), """")"),"")</f>
        <v/>
      </c>
      <c r="U95" s="17" t="str">
        <f>IFERROR(__xludf.DUMMYFUNCTION("IF(COUNTIF(ARRAYFORMULA(LOWER(Validations!$P$2:$P$100)), LOWER(REGEXEXTRACT(J95, ""\d{1,3}[dD]\d{1,3}\s+(\w+)"")))&gt;0, REGEXEXTRACT(J95, ""\d{1,3}[dD]\d{1,3}\s+(\w+)""), """")"),"")</f>
        <v/>
      </c>
      <c r="V95" s="12" t="str">
        <f>IFERROR(__xludf.DUMMYFUNCTION("TEXTJOIN("", "", TRUE, FILTER(Validations!$L$2:$L$100, ISNUMBER(SEARCH(Validations!$L$2:$L$100, J95))))"),"")</f>
        <v/>
      </c>
      <c r="W95" s="12" t="str">
        <f>IFERROR(__xludf.DUMMYFUNCTION("IFERROR(TEXTJOIN("", "", TRUE, FILTER(Validations!$M$2:$M$100, ISNUMBER(SEARCH(Validations!$M$2:$M$100 &amp; "" saving throw"", J95)))), """")"),"")</f>
        <v/>
      </c>
      <c r="X95" s="12"/>
      <c r="Y95" s="12"/>
      <c r="Z95" s="12" t="str">
        <f>IFERROR(__xludf.DUMMYFUNCTION("IFERROR(TEXTJOIN("", "", TRUE, FILTER(Validations!$N$2:$N$100, ISNUMBER(SEARCH(Validations!$N$2:$N$100 &amp; "" check"", J95)))), """")"),"Investigation")</f>
        <v>Investigation</v>
      </c>
      <c r="AA95" s="12" t="str">
        <f>IFERROR(__xludf.DUMMYFUNCTION("IFERROR(TEXTJOIN("", "", TRUE, FILTER(Validations!$N$2:$N$100, ISNUMBER(SEARCH(Validations!$N$2:$N$100 &amp; "" check"", W95)))), """")"),"")</f>
        <v/>
      </c>
      <c r="AB95" s="23" t="str">
        <f>IFERROR(__xludf.DUMMYFUNCTION("IFERROR(CONCATENATE(IF(ISNUMBER(SEARCH(Validations!$M$2:$M$100 &amp; "" spell save"", J95)),""Spell Save"",""""), REGEXEXTRACT(J95, ""DC (\d+)"")), """")"),"")</f>
        <v/>
      </c>
      <c r="AC95" s="42" t="b">
        <v>1</v>
      </c>
      <c r="AD95" s="42" t="b">
        <v>0</v>
      </c>
      <c r="AE95" s="12" t="s">
        <v>69</v>
      </c>
      <c r="AF95" s="25">
        <f>IFERROR(__xludf.DUMMYFUNCTION("IFERROR(VALUE(REGEXEXTRACT(AE95, ""\d+"")), 1)"),1.0)</f>
        <v>1</v>
      </c>
      <c r="AG95" s="12" t="str">
        <f>IFERROR(__xludf.DUMMYFUNCTION("IF(
  ISNUMBER(SEARCH(""Bonus Action"", AE95)),
  ""Bonus Action"",
  IF(
    ISNUMBER(SEARCH(""Reaction"", AE95)),
    ""Reaction"",
    IF(
      ISNUMBER(SEARCH(""Action"", AE95)),
      ""Action"",
      TEXTJOIN("", "", TRUE, FILTER(Validations!$S$2:"&amp;"$S$100, ISNUMBER(SEARCH(Validations!$S$2:$S$100, AE95))))
    )
  )
)"),"Action")</f>
        <v>Action</v>
      </c>
      <c r="AH95" s="12"/>
      <c r="AI95" s="20" t="s">
        <v>296</v>
      </c>
      <c r="AJ95" s="26" t="str">
        <f>IFERROR(__xludf.DUMMYFUNCTION("TEXTJOIN("", "", TRUE, FILTER(Validations!$T$2:$T$100, ISNUMBER(SEARCH(Validations!$T$2:$T$100, AI95))))"),"")</f>
        <v/>
      </c>
      <c r="AK95" s="26">
        <f>IFERROR(__xludf.DUMMYFUNCTION("IFERROR(VALUE(REGEXEXTRACT(AI95, ""\d+"")), """")"),1.0)</f>
        <v>1</v>
      </c>
      <c r="AL95" s="26" t="str">
        <f>IFERROR(__xludf.DUMMYFUNCTION("TEXTJOIN("", "", TRUE, FILTER(Validations!$U$2:$U$100, ISNUMBER(SEARCH(Validations!$U$2:$U$100, AI95))))"),"Hours")</f>
        <v>Hours</v>
      </c>
      <c r="AM95" s="24" t="b">
        <f t="shared" si="1"/>
        <v>0</v>
      </c>
      <c r="AN95" s="42" t="b">
        <v>1</v>
      </c>
      <c r="AO95" s="36" t="s">
        <v>440</v>
      </c>
      <c r="AP95" s="12" t="str">
        <f>IFERROR(__xludf.DUMMYFUNCTION("IF(TEXTJOIN("", "", TRUE, FILTER(Validations!$Q$2:$Q$100, ISNUMBER(SEARCH(Validations!$Q$2:$Q$100, AO95)))) = """", Validations!$Q$2, TEXTJOIN("", "", TRUE, FILTER(Validations!$Q$2:$Q$100, ISNUMBER(SEARCH(Validations!$Q$2:$Q$100, AO95)))))"),"Point")</f>
        <v>Point</v>
      </c>
      <c r="AQ95" s="12">
        <f>IFERROR(__xludf.DUMMYFUNCTION("IFERROR(VALUE(REGEXEXTRACT(AO95, ""\d+"")), """")"),60.0)</f>
        <v>60</v>
      </c>
      <c r="AR95" s="12" t="str">
        <f>IFERROR(__xludf.DUMMYFUNCTION("TEXTJOIN("", "", TRUE, FILTER(Validations!$R$2:$R$100, ISNUMBER(SEARCH(Validations!$R$2:$R$100, AO95))))"),"Feet")</f>
        <v>Feet</v>
      </c>
      <c r="AS95" s="27"/>
      <c r="AT95" s="12" t="str">
        <f>IFERROR(__xludf.DUMMYFUNCTION("IFERROR(TEXTJOIN("", "", TRUE, FILTER(Validations!$I$2:$I$100, ISNUMBER(SEARCH(Validations!$I$2:$I$100, AS95)))), """")"),"")</f>
        <v/>
      </c>
      <c r="AU95" s="16" t="str">
        <f t="array" ref="AU95">IFERROR(INDEX(Validations!$J$2:$J$100, MATCH(TRUE, ISNUMBER(SEARCH(Validations!$I$2:$I$100, AT95)), 0)), "")</f>
        <v/>
      </c>
      <c r="AV95" s="12" t="str">
        <f>IFERROR(__xludf.DUMMYFUNCTION("IFERROR(VALUE(REGEXEXTRACT(AS95, ""\d+"")), """")"),"")</f>
        <v/>
      </c>
      <c r="AW95" s="12" t="str">
        <f>IFERROR(__xludf.DUMMYFUNCTION("IFERROR(TEXTJOIN("", "", TRUE, FILTER(Validations!$Q$2:$Q$100, ISNUMBER(SEARCH(Validations!$Q$2:$Q$100, AS95)))), """")"),"")</f>
        <v/>
      </c>
      <c r="AX95" s="28" t="s">
        <v>248</v>
      </c>
      <c r="AY95" s="28" t="str">
        <f>IFERROR(__xludf.DUMMYFUNCTION("TEXTJOIN("", "", TRUE, FILTER(Validations!$Y$2:$Y$100, ISNUMBER(SEARCH(Validations!$X$2:$X$100, AX95))))"),"V")</f>
        <v>V</v>
      </c>
      <c r="AZ95" s="26"/>
      <c r="BA95" s="12"/>
      <c r="BB95" s="22"/>
      <c r="BC95" s="22"/>
      <c r="BD95" s="22"/>
      <c r="BE95" s="27"/>
      <c r="BF95" s="28" t="s">
        <v>482</v>
      </c>
      <c r="BG95" s="20" t="s">
        <v>483</v>
      </c>
      <c r="BH95" s="27"/>
      <c r="BI95" s="12" t="str">
        <f>IFERROR(__xludf.DUMMYFUNCTION("IFERROR(TEXTJOIN("", "", TRUE, FILTER(SRD!$A$2:$A$1000, EXACT(SRD!$A$2:$A$1000, J95))), """")"),"")</f>
        <v/>
      </c>
      <c r="BJ95" s="29"/>
      <c r="BK95" s="29"/>
    </row>
    <row r="96" ht="15.75" customHeight="1">
      <c r="A96" s="11" t="s">
        <v>484</v>
      </c>
      <c r="B96" s="12"/>
      <c r="C96" s="16"/>
      <c r="D96" s="16" t="s">
        <v>345</v>
      </c>
      <c r="E96" s="16"/>
      <c r="F96" s="32" t="s">
        <v>485</v>
      </c>
      <c r="G96" s="50" t="s">
        <v>444</v>
      </c>
      <c r="H96" s="31" t="s">
        <v>144</v>
      </c>
      <c r="I96" s="16" t="str">
        <f t="array" ref="I96">INDEX(Validations!$C$2:$C$100, MATCH(TRUE, ISNUMBER(SEARCH(Validations!$B$2:$B$100, H96)), 0))</f>
        <v>D</v>
      </c>
      <c r="J96" s="17" t="s">
        <v>486</v>
      </c>
      <c r="K96" s="18"/>
      <c r="L96" s="17"/>
      <c r="M96" s="17"/>
      <c r="N96" s="27"/>
      <c r="O96" s="17"/>
      <c r="P96" s="21"/>
      <c r="Q96" s="21"/>
      <c r="R96" s="36"/>
      <c r="S96" s="17" t="str">
        <f>IFERROR(__xludf.DUMMYFUNCTION("IFERROR(REGEXEXTRACT(J96, ""(\d{1,3}[dD]\d{1,3})""), """")"),"")</f>
        <v/>
      </c>
      <c r="T96" s="17" t="str">
        <f>IFERROR(__xludf.DUMMYFUNCTION("IF(COUNTIF(ARRAYFORMULA(LOWER(Validations!$O$2:$O$100)), LOWER(REGEXEXTRACT(J96, ""\d{1,3}[dD]\d{1,3}\s+(\w+)"")))&gt;0, REGEXEXTRACT(J96, ""\d{1,3}[dD]\d{1,3}\s+(\w+)""), """")"),"")</f>
        <v/>
      </c>
      <c r="U96" s="17" t="str">
        <f>IFERROR(__xludf.DUMMYFUNCTION("IF(COUNTIF(ARRAYFORMULA(LOWER(Validations!$P$2:$P$100)), LOWER(REGEXEXTRACT(J96, ""\d{1,3}[dD]\d{1,3}\s+(\w+)"")))&gt;0, REGEXEXTRACT(J96, ""\d{1,3}[dD]\d{1,3}\s+(\w+)""), """")"),"")</f>
        <v/>
      </c>
      <c r="V96" s="12" t="str">
        <f>IFERROR(__xludf.DUMMYFUNCTION("TEXTJOIN("", "", TRUE, FILTER(Validations!$L$2:$L$100, ISNUMBER(SEARCH(Validations!$L$2:$L$100, J96))))"),"")</f>
        <v/>
      </c>
      <c r="W96" s="12" t="str">
        <f>IFERROR(__xludf.DUMMYFUNCTION("IFERROR(TEXTJOIN("", "", TRUE, FILTER(Validations!$M$2:$M$100, ISNUMBER(SEARCH(Validations!$M$2:$M$100 &amp; "" saving throw"", J96)))), """")"),"")</f>
        <v/>
      </c>
      <c r="X96" s="12"/>
      <c r="Y96" s="12"/>
      <c r="Z96" s="12" t="str">
        <f>IFERROR(__xludf.DUMMYFUNCTION("IFERROR(TEXTJOIN("", "", TRUE, FILTER(Validations!$N$2:$N$100, ISNUMBER(SEARCH(Validations!$N$2:$N$100 &amp; "" check"", J96)))), """")"),"")</f>
        <v/>
      </c>
      <c r="AA96" s="12" t="str">
        <f>IFERROR(__xludf.DUMMYFUNCTION("IFERROR(TEXTJOIN("", "", TRUE, FILTER(Validations!$N$2:$N$100, ISNUMBER(SEARCH(Validations!$N$2:$N$100 &amp; "" check"", W96)))), """")"),"")</f>
        <v/>
      </c>
      <c r="AB96" s="23" t="str">
        <f>IFERROR(__xludf.DUMMYFUNCTION("IFERROR(CONCATENATE(IF(ISNUMBER(SEARCH(Validations!$M$2:$M$100 &amp; "" spell save"", J96)),""Spell Save"",""""), REGEXEXTRACT(J96, ""DC (\d+)"")), """")"),"13")</f>
        <v>13</v>
      </c>
      <c r="AC96" s="24" t="b">
        <v>0</v>
      </c>
      <c r="AD96" s="24" t="b">
        <v>0</v>
      </c>
      <c r="AE96" s="36" t="s">
        <v>69</v>
      </c>
      <c r="AF96" s="25">
        <f>IFERROR(__xludf.DUMMYFUNCTION("IFERROR(VALUE(REGEXEXTRACT(AE96, ""\d+"")), 1)"),1.0)</f>
        <v>1</v>
      </c>
      <c r="AG96" s="12" t="str">
        <f>IFERROR(__xludf.DUMMYFUNCTION("IF(
  ISNUMBER(SEARCH(""Bonus Action"", AE96)),
  ""Bonus Action"",
  IF(
    ISNUMBER(SEARCH(""Reaction"", AE96)),
    ""Reaction"",
    IF(
      ISNUMBER(SEARCH(""Action"", AE96)),
      ""Action"",
      TEXTJOIN("", "", TRUE, FILTER(Validations!$S$2:"&amp;"$S$100, ISNUMBER(SEARCH(Validations!$S$2:$S$100, AE96))))
    )
  )
)"),"Action")</f>
        <v>Action</v>
      </c>
      <c r="AH96" s="36"/>
      <c r="AI96" s="20" t="s">
        <v>70</v>
      </c>
      <c r="AJ96" s="26" t="str">
        <f>IFERROR(__xludf.DUMMYFUNCTION("TEXTJOIN("", "", TRUE, FILTER(Validations!$T$2:$T$100, ISNUMBER(SEARCH(Validations!$T$2:$T$100, AI96))))"),"Instantaneous")</f>
        <v>Instantaneous</v>
      </c>
      <c r="AK96" s="26" t="str">
        <f>IFERROR(__xludf.DUMMYFUNCTION("IFERROR(VALUE(REGEXEXTRACT(AI96, ""\d+"")), """")"),"")</f>
        <v/>
      </c>
      <c r="AL96" s="26" t="str">
        <f>IFERROR(__xludf.DUMMYFUNCTION("TEXTJOIN("", "", TRUE, FILTER(Validations!$U$2:$U$100, ISNUMBER(SEARCH(Validations!$U$2:$U$100, AI96))))"),"")</f>
        <v/>
      </c>
      <c r="AM96" s="24" t="b">
        <f t="shared" si="1"/>
        <v>0</v>
      </c>
      <c r="AN96" s="24" t="b">
        <v>0</v>
      </c>
      <c r="AO96" s="22" t="s">
        <v>71</v>
      </c>
      <c r="AP96" s="12" t="str">
        <f>IFERROR(__xludf.DUMMYFUNCTION("IF(TEXTJOIN("", "", TRUE, FILTER(Validations!$Q$2:$Q$100, ISNUMBER(SEARCH(Validations!$Q$2:$Q$100, AO96)))) = """", Validations!$Q$2, TEXTJOIN("", "", TRUE, FILTER(Validations!$Q$2:$Q$100, ISNUMBER(SEARCH(Validations!$Q$2:$Q$100, AO96)))))"),"Point")</f>
        <v>Point</v>
      </c>
      <c r="AQ96" s="12" t="str">
        <f>IFERROR(__xludf.DUMMYFUNCTION("IFERROR(VALUE(REGEXEXTRACT(AO96, ""\d+"")), """")"),"")</f>
        <v/>
      </c>
      <c r="AR96" s="12" t="str">
        <f>IFERROR(__xludf.DUMMYFUNCTION("TEXTJOIN("", "", TRUE, FILTER(Validations!$R$2:$R$100, ISNUMBER(SEARCH(Validations!$R$2:$R$100, AO96))))"),"Touch")</f>
        <v>Touch</v>
      </c>
      <c r="AS96" s="27"/>
      <c r="AT96" s="12" t="str">
        <f>IFERROR(__xludf.DUMMYFUNCTION("IFERROR(TEXTJOIN("", "", TRUE, FILTER(Validations!$I$2:$I$100, ISNUMBER(SEARCH(Validations!$I$2:$I$100, AS96)))), """")"),"")</f>
        <v/>
      </c>
      <c r="AU96" s="16" t="str">
        <f t="array" ref="AU96">IFERROR(INDEX(Validations!$J$2:$J$100, MATCH(TRUE, ISNUMBER(SEARCH(Validations!$I$2:$I$100, AT96)), 0)), "")</f>
        <v/>
      </c>
      <c r="AV96" s="12" t="str">
        <f>IFERROR(__xludf.DUMMYFUNCTION("IFERROR(VALUE(REGEXEXTRACT(AS96, ""\d+"")), """")"),"")</f>
        <v/>
      </c>
      <c r="AW96" s="12" t="str">
        <f>IFERROR(__xludf.DUMMYFUNCTION("IFERROR(TEXTJOIN("", "", TRUE, FILTER(Validations!$Q$2:$Q$100, ISNUMBER(SEARCH(Validations!$Q$2:$Q$100, AS96)))), """")"),"")</f>
        <v/>
      </c>
      <c r="AX96" s="28" t="s">
        <v>80</v>
      </c>
      <c r="AY96" s="28" t="str">
        <f>IFERROR(__xludf.DUMMYFUNCTION("TEXTJOIN("", "", TRUE, FILTER(Validations!$Y$2:$Y$100, ISNUMBER(SEARCH(Validations!$X$2:$X$100, AX96))))"),"S, R")</f>
        <v>S, R</v>
      </c>
      <c r="AZ96" s="20" t="s">
        <v>487</v>
      </c>
      <c r="BA96" s="22"/>
      <c r="BB96" s="22"/>
      <c r="BC96" s="22"/>
      <c r="BD96" s="22"/>
      <c r="BE96" s="27"/>
      <c r="BF96" s="22"/>
      <c r="BG96" s="27"/>
      <c r="BH96" s="27"/>
      <c r="BI96" s="12" t="str">
        <f>IFERROR(__xludf.DUMMYFUNCTION("IFERROR(TEXTJOIN("", "", TRUE, FILTER(SRD!$A$2:$A$1000, EXACT(SRD!$A$2:$A$1000, J96))), """")"),"")</f>
        <v/>
      </c>
      <c r="BJ96" s="29"/>
      <c r="BK96" s="29"/>
    </row>
    <row r="97" ht="15.75" customHeight="1">
      <c r="A97" s="11" t="s">
        <v>488</v>
      </c>
      <c r="B97" s="12"/>
      <c r="C97" s="16"/>
      <c r="D97" s="16" t="s">
        <v>345</v>
      </c>
      <c r="E97" s="16"/>
      <c r="F97" s="32" t="s">
        <v>114</v>
      </c>
      <c r="G97" s="50" t="s">
        <v>444</v>
      </c>
      <c r="H97" s="31" t="s">
        <v>144</v>
      </c>
      <c r="I97" s="16" t="str">
        <f t="array" ref="I97">INDEX(Validations!$C$2:$C$100, MATCH(TRUE, ISNUMBER(SEARCH(Validations!$B$2:$B$100, H97)), 0))</f>
        <v>D</v>
      </c>
      <c r="J97" s="17" t="s">
        <v>489</v>
      </c>
      <c r="K97" s="18"/>
      <c r="L97" s="17"/>
      <c r="M97" s="17"/>
      <c r="N97" s="27"/>
      <c r="O97" s="17"/>
      <c r="P97" s="21"/>
      <c r="Q97" s="21"/>
      <c r="R97" s="36" t="s">
        <v>490</v>
      </c>
      <c r="S97" s="17" t="str">
        <f>IFERROR(__xludf.DUMMYFUNCTION("IFERROR(REGEXEXTRACT(J97, ""(\d{1,3}[dD]\d{1,3})""), """")"),"")</f>
        <v/>
      </c>
      <c r="T97" s="17" t="str">
        <f>IFERROR(__xludf.DUMMYFUNCTION("IF(COUNTIF(ARRAYFORMULA(LOWER(Validations!$O$2:$O$100)), LOWER(REGEXEXTRACT(J97, ""\d{1,3}[dD]\d{1,3}\s+(\w+)"")))&gt;0, REGEXEXTRACT(J97, ""\d{1,3}[dD]\d{1,3}\s+(\w+)""), """")"),"")</f>
        <v/>
      </c>
      <c r="U97" s="17" t="str">
        <f>IFERROR(__xludf.DUMMYFUNCTION("IF(COUNTIF(ARRAYFORMULA(LOWER(Validations!$P$2:$P$100)), LOWER(REGEXEXTRACT(J97, ""\d{1,3}[dD]\d{1,3}\s+(\w+)"")))&gt;0, REGEXEXTRACT(J97, ""\d{1,3}[dD]\d{1,3}\s+(\w+)""), """")"),"")</f>
        <v/>
      </c>
      <c r="V97" s="12" t="str">
        <f>IFERROR(__xludf.DUMMYFUNCTION("TEXTJOIN("", "", TRUE, FILTER(Validations!$L$2:$L$100, ISNUMBER(SEARCH(Validations!$L$2:$L$100, J97))))"),"")</f>
        <v/>
      </c>
      <c r="W97" s="12" t="str">
        <f>IFERROR(__xludf.DUMMYFUNCTION("IFERROR(TEXTJOIN("", "", TRUE, FILTER(Validations!$M$2:$M$100, ISNUMBER(SEARCH(Validations!$M$2:$M$100 &amp; "" saving throw"", J97)))), """")"),"")</f>
        <v/>
      </c>
      <c r="X97" s="12"/>
      <c r="Y97" s="12"/>
      <c r="Z97" s="12" t="str">
        <f>IFERROR(__xludf.DUMMYFUNCTION("IFERROR(TEXTJOIN("", "", TRUE, FILTER(Validations!$N$2:$N$100, ISNUMBER(SEARCH(Validations!$N$2:$N$100 &amp; "" check"", J97)))), """")"),"")</f>
        <v/>
      </c>
      <c r="AA97" s="12" t="str">
        <f>IFERROR(__xludf.DUMMYFUNCTION("IFERROR(TEXTJOIN("", "", TRUE, FILTER(Validations!$N$2:$N$100, ISNUMBER(SEARCH(Validations!$N$2:$N$100 &amp; "" check"", W97)))), """")"),"")</f>
        <v/>
      </c>
      <c r="AB97" s="23" t="str">
        <f>IFERROR(__xludf.DUMMYFUNCTION("IFERROR(CONCATENATE(IF(ISNUMBER(SEARCH(Validations!$M$2:$M$100 &amp; "" spell save"", J97)),""Spell Save"",""""), REGEXEXTRACT(J97, ""DC (\d+)"")), """")"),"12")</f>
        <v>12</v>
      </c>
      <c r="AC97" s="24" t="b">
        <v>0</v>
      </c>
      <c r="AD97" s="24" t="b">
        <v>0</v>
      </c>
      <c r="AE97" s="36" t="s">
        <v>69</v>
      </c>
      <c r="AF97" s="25">
        <f>IFERROR(__xludf.DUMMYFUNCTION("IFERROR(VALUE(REGEXEXTRACT(AE97, ""\d+"")), 1)"),1.0)</f>
        <v>1</v>
      </c>
      <c r="AG97" s="12" t="str">
        <f>IFERROR(__xludf.DUMMYFUNCTION("IF(
  ISNUMBER(SEARCH(""Bonus Action"", AE97)),
  ""Bonus Action"",
  IF(
    ISNUMBER(SEARCH(""Reaction"", AE97)),
    ""Reaction"",
    IF(
      ISNUMBER(SEARCH(""Action"", AE97)),
      ""Action"",
      TEXTJOIN("", "", TRUE, FILTER(Validations!$S$2:"&amp;"$S$100, ISNUMBER(SEARCH(Validations!$S$2:$S$100, AE97))))
    )
  )
)"),"Action")</f>
        <v>Action</v>
      </c>
      <c r="AH97" s="36"/>
      <c r="AI97" s="20" t="s">
        <v>70</v>
      </c>
      <c r="AJ97" s="26" t="str">
        <f>IFERROR(__xludf.DUMMYFUNCTION("TEXTJOIN("", "", TRUE, FILTER(Validations!$T$2:$T$100, ISNUMBER(SEARCH(Validations!$T$2:$T$100, AI97))))"),"Instantaneous")</f>
        <v>Instantaneous</v>
      </c>
      <c r="AK97" s="26" t="str">
        <f>IFERROR(__xludf.DUMMYFUNCTION("IFERROR(VALUE(REGEXEXTRACT(AI97, ""\d+"")), """")"),"")</f>
        <v/>
      </c>
      <c r="AL97" s="26" t="str">
        <f>IFERROR(__xludf.DUMMYFUNCTION("TEXTJOIN("", "", TRUE, FILTER(Validations!$U$2:$U$100, ISNUMBER(SEARCH(Validations!$U$2:$U$100, AI97))))"),"")</f>
        <v/>
      </c>
      <c r="AM97" s="24" t="b">
        <f t="shared" si="1"/>
        <v>0</v>
      </c>
      <c r="AN97" s="24" t="b">
        <v>0</v>
      </c>
      <c r="AO97" s="22" t="s">
        <v>71</v>
      </c>
      <c r="AP97" s="12" t="str">
        <f>IFERROR(__xludf.DUMMYFUNCTION("IF(TEXTJOIN("", "", TRUE, FILTER(Validations!$Q$2:$Q$100, ISNUMBER(SEARCH(Validations!$Q$2:$Q$100, AO97)))) = """", Validations!$Q$2, TEXTJOIN("", "", TRUE, FILTER(Validations!$Q$2:$Q$100, ISNUMBER(SEARCH(Validations!$Q$2:$Q$100, AO97)))))"),"Point")</f>
        <v>Point</v>
      </c>
      <c r="AQ97" s="12" t="str">
        <f>IFERROR(__xludf.DUMMYFUNCTION("IFERROR(VALUE(REGEXEXTRACT(AO97, ""\d+"")), """")"),"")</f>
        <v/>
      </c>
      <c r="AR97" s="12" t="str">
        <f>IFERROR(__xludf.DUMMYFUNCTION("TEXTJOIN("", "", TRUE, FILTER(Validations!$R$2:$R$100, ISNUMBER(SEARCH(Validations!$R$2:$R$100, AO97))))"),"Touch")</f>
        <v>Touch</v>
      </c>
      <c r="AS97" s="27"/>
      <c r="AT97" s="12" t="str">
        <f>IFERROR(__xludf.DUMMYFUNCTION("IFERROR(TEXTJOIN("", "", TRUE, FILTER(Validations!$I$2:$I$100, ISNUMBER(SEARCH(Validations!$I$2:$I$100, AS97)))), """")"),"")</f>
        <v/>
      </c>
      <c r="AU97" s="16" t="str">
        <f t="array" ref="AU97">IFERROR(INDEX(Validations!$J$2:$J$100, MATCH(TRUE, ISNUMBER(SEARCH(Validations!$I$2:$I$100, AT97)), 0)), "")</f>
        <v/>
      </c>
      <c r="AV97" s="12" t="str">
        <f>IFERROR(__xludf.DUMMYFUNCTION("IFERROR(VALUE(REGEXEXTRACT(AS97, ""\d+"")), """")"),"")</f>
        <v/>
      </c>
      <c r="AW97" s="12" t="str">
        <f>IFERROR(__xludf.DUMMYFUNCTION("IFERROR(TEXTJOIN("", "", TRUE, FILTER(Validations!$Q$2:$Q$100, ISNUMBER(SEARCH(Validations!$Q$2:$Q$100, AS97)))), """")"),"")</f>
        <v/>
      </c>
      <c r="AX97" s="28" t="s">
        <v>80</v>
      </c>
      <c r="AY97" s="28" t="str">
        <f>IFERROR(__xludf.DUMMYFUNCTION("TEXTJOIN("", "", TRUE, FILTER(Validations!$Y$2:$Y$100, ISNUMBER(SEARCH(Validations!$X$2:$X$100, AX97))))"),"S, R")</f>
        <v>S, R</v>
      </c>
      <c r="AZ97" s="20" t="s">
        <v>491</v>
      </c>
      <c r="BA97" s="22"/>
      <c r="BB97" s="22"/>
      <c r="BC97" s="22"/>
      <c r="BD97" s="22"/>
      <c r="BE97" s="27"/>
      <c r="BF97" s="22"/>
      <c r="BG97" s="27"/>
      <c r="BH97" s="27"/>
      <c r="BI97" s="12" t="str">
        <f>IFERROR(__xludf.DUMMYFUNCTION("IFERROR(TEXTJOIN("", "", TRUE, FILTER(SRD!$A$2:$A$1000, EXACT(SRD!$A$2:$A$1000, J97))), """")"),"")</f>
        <v/>
      </c>
      <c r="BJ97" s="29"/>
      <c r="BK97" s="29"/>
    </row>
    <row r="98" ht="15.75" customHeight="1">
      <c r="A98" s="11" t="s">
        <v>492</v>
      </c>
      <c r="B98" s="12"/>
      <c r="C98" s="16"/>
      <c r="D98" s="16" t="s">
        <v>345</v>
      </c>
      <c r="E98" s="16"/>
      <c r="F98" s="32" t="s">
        <v>493</v>
      </c>
      <c r="G98" s="50" t="s">
        <v>444</v>
      </c>
      <c r="H98" s="16" t="s">
        <v>144</v>
      </c>
      <c r="I98" s="16" t="str">
        <f t="array" ref="I98">INDEX(Validations!$C$2:$C$100, MATCH(TRUE, ISNUMBER(SEARCH(Validations!$B$2:$B$100, H98)), 0))</f>
        <v>D</v>
      </c>
      <c r="J98" s="17" t="s">
        <v>494</v>
      </c>
      <c r="K98" s="18"/>
      <c r="L98" s="17" t="s">
        <v>495</v>
      </c>
      <c r="M98" s="17"/>
      <c r="N98" s="27"/>
      <c r="O98" s="17"/>
      <c r="P98" s="21"/>
      <c r="Q98" s="21"/>
      <c r="R98" s="22"/>
      <c r="S98" s="17"/>
      <c r="T98" s="17"/>
      <c r="U98" s="17"/>
      <c r="V98" s="12"/>
      <c r="W98" s="12"/>
      <c r="X98" s="12"/>
      <c r="Y98" s="12"/>
      <c r="Z98" s="12" t="str">
        <f>IFERROR(__xludf.DUMMYFUNCTION("IFERROR(TEXTJOIN("", "", TRUE, FILTER(Validations!$N$2:$N$100, ISNUMBER(SEARCH(Validations!$N$2:$N$100 &amp; "" check"", J98)))), """")"),"")</f>
        <v/>
      </c>
      <c r="AA98" s="12"/>
      <c r="AB98" s="23"/>
      <c r="AC98" s="42" t="b">
        <v>1</v>
      </c>
      <c r="AD98" s="42" t="b">
        <v>0</v>
      </c>
      <c r="AE98" s="36" t="s">
        <v>69</v>
      </c>
      <c r="AF98" s="25">
        <f>IFERROR(__xludf.DUMMYFUNCTION("IFERROR(VALUE(REGEXEXTRACT(AE98, ""\d+"")), 1)"),1.0)</f>
        <v>1</v>
      </c>
      <c r="AG98" s="12" t="str">
        <f>IFERROR(__xludf.DUMMYFUNCTION("IF(
  ISNUMBER(SEARCH(""Bonus Action"", AE98)),
  ""Bonus Action"",
  IF(
    ISNUMBER(SEARCH(""Reaction"", AE98)),
    ""Reaction"",
    IF(
      ISNUMBER(SEARCH(""Action"", AE98)),
      ""Action"",
      TEXTJOIN("", "", TRUE, FILTER(Validations!$S$2:"&amp;"$S$100, ISNUMBER(SEARCH(Validations!$S$2:$S$100, AE98))))
    )
  )
)"),"Action")</f>
        <v>Action</v>
      </c>
      <c r="AH98" s="36"/>
      <c r="AI98" s="20" t="s">
        <v>70</v>
      </c>
      <c r="AJ98" s="26" t="str">
        <f>IFERROR(__xludf.DUMMYFUNCTION("TEXTJOIN("", "", TRUE, FILTER(Validations!$T$2:$T$100, ISNUMBER(SEARCH(Validations!$T$2:$T$100, AI98))))"),"Instantaneous")</f>
        <v>Instantaneous</v>
      </c>
      <c r="AK98" s="26" t="str">
        <f>IFERROR(__xludf.DUMMYFUNCTION("IFERROR(VALUE(REGEXEXTRACT(AI98, ""\d+"")), """")"),"")</f>
        <v/>
      </c>
      <c r="AL98" s="26" t="str">
        <f>IFERROR(__xludf.DUMMYFUNCTION("TEXTJOIN("", "", TRUE, FILTER(Validations!$U$2:$U$100, ISNUMBER(SEARCH(Validations!$U$2:$U$100, AI98))))"),"")</f>
        <v/>
      </c>
      <c r="AM98" s="24" t="b">
        <f t="shared" si="1"/>
        <v>0</v>
      </c>
      <c r="AN98" s="24" t="b">
        <v>0</v>
      </c>
      <c r="AO98" s="36" t="s">
        <v>112</v>
      </c>
      <c r="AP98" s="12" t="str">
        <f>IFERROR(__xludf.DUMMYFUNCTION("IF(TEXTJOIN("", "", TRUE, FILTER(Validations!$Q$2:$Q$100, ISNUMBER(SEARCH(Validations!$Q$2:$Q$100, AO98)))) = """", Validations!$Q$2, TEXTJOIN("", "", TRUE, FILTER(Validations!$Q$2:$Q$100, ISNUMBER(SEARCH(Validations!$Q$2:$Q$100, AO98)))))"),"Point")</f>
        <v>Point</v>
      </c>
      <c r="AQ98" s="12">
        <f>IFERROR(__xludf.DUMMYFUNCTION("IFERROR(VALUE(REGEXEXTRACT(AO98, ""\d+"")), """")"),30.0)</f>
        <v>30</v>
      </c>
      <c r="AR98" s="12" t="str">
        <f>IFERROR(__xludf.DUMMYFUNCTION("TEXTJOIN("", "", TRUE, FILTER(Validations!$R$2:$R$100, ISNUMBER(SEARCH(Validations!$R$2:$R$100, AO98))))"),"Feet")</f>
        <v>Feet</v>
      </c>
      <c r="AS98" s="27"/>
      <c r="AT98" s="12" t="str">
        <f>IFERROR(__xludf.DUMMYFUNCTION("IFERROR(TEXTJOIN("", "", TRUE, FILTER(Validations!$I$2:$I$100, ISNUMBER(SEARCH(Validations!$I$2:$I$100, AS98)))), """")"),"")</f>
        <v/>
      </c>
      <c r="AU98" s="16" t="str">
        <f t="array" ref="AU98">IFERROR(INDEX(Validations!$J$2:$J$100, MATCH(TRUE, ISNUMBER(SEARCH(Validations!$I$2:$I$100, AT98)), 0)), "")</f>
        <v/>
      </c>
      <c r="AV98" s="12" t="str">
        <f>IFERROR(__xludf.DUMMYFUNCTION("IFERROR(VALUE(REGEXEXTRACT(AS98, ""\d+"")), """")"),"")</f>
        <v/>
      </c>
      <c r="AW98" s="12" t="str">
        <f>IFERROR(__xludf.DUMMYFUNCTION("IFERROR(TEXTJOIN("", "", TRUE, FILTER(Validations!$Q$2:$Q$100, ISNUMBER(SEARCH(Validations!$Q$2:$Q$100, AS98)))), """")"),"")</f>
        <v/>
      </c>
      <c r="AX98" s="28" t="s">
        <v>94</v>
      </c>
      <c r="AY98" s="28" t="str">
        <f>IFERROR(__xludf.DUMMYFUNCTION("TEXTJOIN("", "", TRUE, FILTER(Validations!$Y$2:$Y$100, ISNUMBER(SEARCH(Validations!$X$2:$X$100, AX98))))"),"V, S, R")</f>
        <v>V, S, R</v>
      </c>
      <c r="AZ98" s="20" t="s">
        <v>496</v>
      </c>
      <c r="BA98" s="22"/>
      <c r="BB98" s="22"/>
      <c r="BC98" s="22"/>
      <c r="BD98" s="22"/>
      <c r="BE98" s="27"/>
      <c r="BF98" s="28" t="s">
        <v>497</v>
      </c>
      <c r="BG98" s="27"/>
      <c r="BH98" s="27"/>
      <c r="BI98" s="12" t="str">
        <f>IFERROR(__xludf.DUMMYFUNCTION("IFERROR(TEXTJOIN("", "", TRUE, FILTER(SRD!$A$2:$A$1000, EXACT(SRD!$A$2:$A$1000, J98))), """")"),"")</f>
        <v/>
      </c>
      <c r="BJ98" s="29"/>
      <c r="BK98" s="29"/>
    </row>
    <row r="99" ht="15.75" customHeight="1">
      <c r="A99" s="11" t="s">
        <v>498</v>
      </c>
      <c r="B99" s="12"/>
      <c r="C99" s="13"/>
      <c r="D99" s="13" t="s">
        <v>62</v>
      </c>
      <c r="E99" s="13"/>
      <c r="F99" s="14" t="s">
        <v>499</v>
      </c>
      <c r="G99" s="50" t="s">
        <v>444</v>
      </c>
      <c r="H99" s="16" t="s">
        <v>65</v>
      </c>
      <c r="I99" s="16" t="str">
        <f t="array" ref="I99">INDEX(Validations!$C$2:$C$100, MATCH(TRUE, ISNUMBER(SEARCH(Validations!$B$2:$B$100, H99)), 0))</f>
        <v>I</v>
      </c>
      <c r="J99" s="17" t="s">
        <v>500</v>
      </c>
      <c r="K99" s="18"/>
      <c r="L99" s="17" t="s">
        <v>501</v>
      </c>
      <c r="M99" s="37"/>
      <c r="N99" s="27"/>
      <c r="O99" s="17"/>
      <c r="P99" s="21"/>
      <c r="Q99" s="21"/>
      <c r="R99" s="22"/>
      <c r="S99" s="17" t="str">
        <f>IFERROR(__xludf.DUMMYFUNCTION("IFERROR(REGEXEXTRACT(J99, ""(\d{1,3}[dD]\d{1,3})""), """")"),"")</f>
        <v/>
      </c>
      <c r="T99" s="17" t="str">
        <f>IFERROR(__xludf.DUMMYFUNCTION("IF(COUNTIF(ARRAYFORMULA(LOWER(Validations!$O$2:$O$100)), LOWER(REGEXEXTRACT(J99, ""\d{1,3}[dD]\d{1,3}\s+(\w+)"")))&gt;0, REGEXEXTRACT(J99, ""\d{1,3}[dD]\d{1,3}\s+(\w+)""), """")"),"")</f>
        <v/>
      </c>
      <c r="U99" s="17" t="str">
        <f>IFERROR(__xludf.DUMMYFUNCTION("IF(COUNTIF(ARRAYFORMULA(LOWER(Validations!$P$2:$P$100)), LOWER(REGEXEXTRACT(J99, ""\d{1,3}[dD]\d{1,3}\s+(\w+)"")))&gt;0, REGEXEXTRACT(J99, ""\d{1,3}[dD]\d{1,3}\s+(\w+)""), """")"),"")</f>
        <v/>
      </c>
      <c r="V99" s="12" t="str">
        <f>IFERROR(__xludf.DUMMYFUNCTION("TEXTJOIN("", "", TRUE, FILTER(Validations!$L$2:$L$100, ISNUMBER(SEARCH(Validations!$L$2:$L$100, J99))))"),"")</f>
        <v/>
      </c>
      <c r="W99" s="12" t="str">
        <f>IFERROR(__xludf.DUMMYFUNCTION("IFERROR(TEXTJOIN("", "", TRUE, FILTER(Validations!$M$2:$M$100, ISNUMBER(SEARCH(Validations!$M$2:$M$100 &amp; "" saving throw"", J99)))), """")"),"Charisma")</f>
        <v>Charisma</v>
      </c>
      <c r="X99" s="12"/>
      <c r="Y99" s="12"/>
      <c r="Z99" s="12" t="str">
        <f>IFERROR(__xludf.DUMMYFUNCTION("IFERROR(TEXTJOIN("", "", TRUE, FILTER(Validations!$N$2:$N$100, ISNUMBER(SEARCH(Validations!$N$2:$N$100 &amp; "" check"", J99)))), """")"),"")</f>
        <v/>
      </c>
      <c r="AA99" s="12" t="str">
        <f>IFERROR(__xludf.DUMMYFUNCTION("IFERROR(TEXTJOIN("", "", TRUE, FILTER(Validations!$N$2:$N$100, ISNUMBER(SEARCH(Validations!$N$2:$N$100 &amp; "" check"", W99)))), """")"),"")</f>
        <v/>
      </c>
      <c r="AB99" s="23" t="str">
        <f>IFERROR(__xludf.DUMMYFUNCTION("IFERROR(CONCATENATE(IF(ISNUMBER(SEARCH(Validations!$M$2:$M$100 &amp; "" spell save"", J99)),""Spell Save"",""""), REGEXEXTRACT(J99, ""DC (\d+)"")), """")"),"")</f>
        <v/>
      </c>
      <c r="AC99" s="42" t="b">
        <v>1</v>
      </c>
      <c r="AD99" s="42" t="b">
        <v>0</v>
      </c>
      <c r="AE99" s="36" t="s">
        <v>92</v>
      </c>
      <c r="AF99" s="25">
        <f>IFERROR(__xludf.DUMMYFUNCTION("IFERROR(VALUE(REGEXEXTRACT(AE99, ""\d+"")), 1)"),1.0)</f>
        <v>1</v>
      </c>
      <c r="AG99" s="12" t="str">
        <f>IFERROR(__xludf.DUMMYFUNCTION("IF(
  ISNUMBER(SEARCH(""Bonus Action"", AE99)),
  ""Bonus Action"",
  IF(
    ISNUMBER(SEARCH(""Reaction"", AE99)),
    ""Reaction"",
    IF(
      ISNUMBER(SEARCH(""Action"", AE99)),
      ""Action"",
      TEXTJOIN("", "", TRUE, FILTER(Validations!$S$2:"&amp;"$S$100, ISNUMBER(SEARCH(Validations!$S$2:$S$100, AE99))))
    )
  )
)"),"Minutes")</f>
        <v>Minutes</v>
      </c>
      <c r="AH99" s="12"/>
      <c r="AI99" s="26" t="s">
        <v>70</v>
      </c>
      <c r="AJ99" s="26" t="str">
        <f>IFERROR(__xludf.DUMMYFUNCTION("TEXTJOIN("", "", TRUE, FILTER(Validations!$T$2:$T$100, ISNUMBER(SEARCH(Validations!$T$2:$T$100, AI99))))"),"Instantaneous")</f>
        <v>Instantaneous</v>
      </c>
      <c r="AK99" s="26" t="str">
        <f>IFERROR(__xludf.DUMMYFUNCTION("IFERROR(VALUE(REGEXEXTRACT(AI99, ""\d+"")), """")"),"")</f>
        <v/>
      </c>
      <c r="AL99" s="26" t="str">
        <f>IFERROR(__xludf.DUMMYFUNCTION("TEXTJOIN("", "", TRUE, FILTER(Validations!$U$2:$U$100, ISNUMBER(SEARCH(Validations!$U$2:$U$100, AI99))))"),"")</f>
        <v/>
      </c>
      <c r="AM99" s="24" t="b">
        <f t="shared" si="1"/>
        <v>0</v>
      </c>
      <c r="AN99" s="24" t="b">
        <v>0</v>
      </c>
      <c r="AO99" s="36" t="s">
        <v>502</v>
      </c>
      <c r="AP99" s="12" t="str">
        <f>IFERROR(__xludf.DUMMYFUNCTION("IF(TEXTJOIN("", "", TRUE, FILTER(Validations!$Q$2:$Q$100, ISNUMBER(SEARCH(Validations!$Q$2:$Q$100, AO99)))) = """", Validations!$Q$2, TEXTJOIN("", "", TRUE, FILTER(Validations!$Q$2:$Q$100, ISNUMBER(SEARCH(Validations!$Q$2:$Q$100, AO99)))))"),"Point")</f>
        <v>Point</v>
      </c>
      <c r="AQ99" s="12">
        <f>IFERROR(__xludf.DUMMYFUNCTION("IFERROR(VALUE(REGEXEXTRACT(AO99, ""\d+"")), """")"),120.0)</f>
        <v>120</v>
      </c>
      <c r="AR99" s="12" t="str">
        <f>IFERROR(__xludf.DUMMYFUNCTION("TEXTJOIN("", "", TRUE, FILTER(Validations!$R$2:$R$100, ISNUMBER(SEARCH(Validations!$R$2:$R$100, AO99))))"),"Feet")</f>
        <v>Feet</v>
      </c>
      <c r="AS99" s="27"/>
      <c r="AT99" s="12" t="str">
        <f>IFERROR(__xludf.DUMMYFUNCTION("IFERROR(TEXTJOIN("", "", TRUE, FILTER(Validations!$I$2:$I$100, ISNUMBER(SEARCH(Validations!$I$2:$I$100, AS99)))), """")"),"")</f>
        <v/>
      </c>
      <c r="AU99" s="16" t="str">
        <f t="array" ref="AU99">IFERROR(INDEX(Validations!$J$2:$J$100, MATCH(TRUE, ISNUMBER(SEARCH(Validations!$I$2:$I$100, AT99)), 0)), "")</f>
        <v/>
      </c>
      <c r="AV99" s="12" t="str">
        <f>IFERROR(__xludf.DUMMYFUNCTION("IFERROR(VALUE(REGEXEXTRACT(AS99, ""\d+"")), """")"),"")</f>
        <v/>
      </c>
      <c r="AW99" s="12" t="str">
        <f>IFERROR(__xludf.DUMMYFUNCTION("IFERROR(TEXTJOIN("", "", TRUE, FILTER(Validations!$Q$2:$Q$100, ISNUMBER(SEARCH(Validations!$Q$2:$Q$100, AS99)))), """")"),"")</f>
        <v/>
      </c>
      <c r="AX99" s="28" t="s">
        <v>72</v>
      </c>
      <c r="AY99" s="28" t="str">
        <f>IFERROR(__xludf.DUMMYFUNCTION("TEXTJOIN("", "", TRUE, FILTER(Validations!$Y$2:$Y$100, ISNUMBER(SEARCH(Validations!$X$2:$X$100, AX99))))"),"V, S")</f>
        <v>V, S</v>
      </c>
      <c r="AZ99" s="26"/>
      <c r="BA99" s="12"/>
      <c r="BB99" s="36"/>
      <c r="BC99" s="36" t="s">
        <v>503</v>
      </c>
      <c r="BD99" s="22"/>
      <c r="BE99" s="27"/>
      <c r="BF99" s="22"/>
      <c r="BG99" s="27"/>
      <c r="BH99" s="27"/>
      <c r="BI99" s="12" t="str">
        <f>IFERROR(__xludf.DUMMYFUNCTION("IFERROR(TEXTJOIN("", "", TRUE, FILTER(SRD!$A$2:$A$1000, EXACT(SRD!$A$2:$A$1000, J99))), """")"),"")</f>
        <v/>
      </c>
      <c r="BJ99" s="29"/>
      <c r="BK99" s="29"/>
    </row>
    <row r="100" ht="15.75" customHeight="1">
      <c r="A100" s="30" t="s">
        <v>504</v>
      </c>
      <c r="B100" s="22"/>
      <c r="C100" s="16"/>
      <c r="D100" s="16" t="s">
        <v>505</v>
      </c>
      <c r="E100" s="16"/>
      <c r="F100" s="32" t="s">
        <v>506</v>
      </c>
      <c r="G100" s="50" t="s">
        <v>444</v>
      </c>
      <c r="H100" s="31" t="s">
        <v>140</v>
      </c>
      <c r="I100" s="16" t="str">
        <f t="array" ref="I100">INDEX(Validations!$C$2:$C$100, MATCH(TRUE, ISNUMBER(SEARCH(Validations!$B$2:$B$100, H100)), 0))</f>
        <v>N</v>
      </c>
      <c r="J100" s="17" t="s">
        <v>507</v>
      </c>
      <c r="K100" s="18"/>
      <c r="L100" s="17"/>
      <c r="M100" s="17"/>
      <c r="N100" s="27"/>
      <c r="O100" s="17"/>
      <c r="P100" s="21"/>
      <c r="Q100" s="21"/>
      <c r="R100" s="22"/>
      <c r="S100" s="17" t="str">
        <f>IFERROR(__xludf.DUMMYFUNCTION("IFERROR(REGEXEXTRACT(J100, ""(\d{1,3}[dD]\d{1,3})""), """")"),"1d4")</f>
        <v>1d4</v>
      </c>
      <c r="T100" s="17" t="str">
        <f>IFERROR(__xludf.DUMMYFUNCTION("IF(COUNTIF(ARRAYFORMULA(LOWER(Validations!$O$2:$O$100)), LOWER(REGEXEXTRACT(J100, ""\d{1,3}[dD]\d{1,3}\s+(\w+)"")))&gt;0, REGEXEXTRACT(J100, ""\d{1,3}[dD]\d{1,3}\s+(\w+)""), """")"),"")</f>
        <v/>
      </c>
      <c r="U100" s="17" t="str">
        <f>IFERROR(__xludf.DUMMYFUNCTION("IF(COUNTIF(ARRAYFORMULA(LOWER(Validations!$P$2:$P$100)), LOWER(REGEXEXTRACT(J100, ""\d{1,3}[dD]\d{1,3}\s+(\w+)"")))&gt;0, REGEXEXTRACT(J100, ""\d{1,3}[dD]\d{1,3}\s+(\w+)""), """")"),"")</f>
        <v/>
      </c>
      <c r="V100" s="12" t="str">
        <f>IFERROR(__xludf.DUMMYFUNCTION("TEXTJOIN("", "", TRUE, FILTER(Validations!$L$2:$L$100, ISNUMBER(SEARCH(Validations!$L$2:$L$100, J100))))"),"Unconscious")</f>
        <v>Unconscious</v>
      </c>
      <c r="W100" s="12" t="str">
        <f>IFERROR(__xludf.DUMMYFUNCTION("IFERROR(TEXTJOIN("", "", TRUE, FILTER(Validations!$M$2:$M$100, ISNUMBER(SEARCH(Validations!$M$2:$M$100 &amp; "" saving throw"", J100)))), """")"),"")</f>
        <v/>
      </c>
      <c r="X100" s="12"/>
      <c r="Y100" s="12"/>
      <c r="Z100" s="12" t="str">
        <f>IFERROR(__xludf.DUMMYFUNCTION("IFERROR(TEXTJOIN("", "", TRUE, FILTER(Validations!$N$2:$N$100, ISNUMBER(SEARCH(Validations!$N$2:$N$100 &amp; "" check"", J100)))), """")"),"")</f>
        <v/>
      </c>
      <c r="AA100" s="12" t="str">
        <f>IFERROR(__xludf.DUMMYFUNCTION("IFERROR(TEXTJOIN("", "", TRUE, FILTER(Validations!$N$2:$N$100, ISNUMBER(SEARCH(Validations!$N$2:$N$100 &amp; "" check"", W100)))), """")"),"")</f>
        <v/>
      </c>
      <c r="AB100" s="23" t="str">
        <f>IFERROR(__xludf.DUMMYFUNCTION("IFERROR(CONCATENATE(IF(ISNUMBER(SEARCH(Validations!$M$2:$M$100 &amp; "" spell save"", J100)),""Spell Save"",""""), REGEXEXTRACT(J100, ""DC (\d+)"")), """")"),"")</f>
        <v/>
      </c>
      <c r="AC100" s="24" t="b">
        <v>0</v>
      </c>
      <c r="AD100" s="24" t="b">
        <v>0</v>
      </c>
      <c r="AE100" s="36" t="s">
        <v>69</v>
      </c>
      <c r="AF100" s="25">
        <f>IFERROR(__xludf.DUMMYFUNCTION("IFERROR(VALUE(REGEXEXTRACT(AE100, ""\d+"")), 1)"),1.0)</f>
        <v>1</v>
      </c>
      <c r="AG100" s="12" t="str">
        <f>IFERROR(__xludf.DUMMYFUNCTION("IF(
  ISNUMBER(SEARCH(""Bonus Action"", AE100)),
  ""Bonus Action"",
  IF(
    ISNUMBER(SEARCH(""Reaction"", AE100)),
    ""Reaction"",
    IF(
      ISNUMBER(SEARCH(""Action"", AE100)),
      ""Action"",
      TEXTJOIN("", "", TRUE, FILTER(Validations!$S"&amp;"$2:$S$100, ISNUMBER(SEARCH(Validations!$S$2:$S$100, AE100))))
    )
  )
)"),"Action")</f>
        <v>Action</v>
      </c>
      <c r="AH100" s="36"/>
      <c r="AI100" s="27" t="s">
        <v>70</v>
      </c>
      <c r="AJ100" s="26" t="str">
        <f>IFERROR(__xludf.DUMMYFUNCTION("TEXTJOIN("", "", TRUE, FILTER(Validations!$T$2:$T$100, ISNUMBER(SEARCH(Validations!$T$2:$T$100, AI100))))"),"Instantaneous")</f>
        <v>Instantaneous</v>
      </c>
      <c r="AK100" s="26" t="str">
        <f>IFERROR(__xludf.DUMMYFUNCTION("IFERROR(VALUE(REGEXEXTRACT(AI100, ""\d+"")), """")"),"")</f>
        <v/>
      </c>
      <c r="AL100" s="26" t="str">
        <f>IFERROR(__xludf.DUMMYFUNCTION("TEXTJOIN("", "", TRUE, FILTER(Validations!$U$2:$U$100, ISNUMBER(SEARCH(Validations!$U$2:$U$100, AI100))))"),"")</f>
        <v/>
      </c>
      <c r="AM100" s="24" t="b">
        <f t="shared" si="1"/>
        <v>0</v>
      </c>
      <c r="AN100" s="24" t="b">
        <v>0</v>
      </c>
      <c r="AO100" s="22" t="s">
        <v>71</v>
      </c>
      <c r="AP100" s="12" t="str">
        <f>IFERROR(__xludf.DUMMYFUNCTION("IF(TEXTJOIN("", "", TRUE, FILTER(Validations!$Q$2:$Q$100, ISNUMBER(SEARCH(Validations!$Q$2:$Q$100, AO100)))) = """", Validations!$Q$2, TEXTJOIN("", "", TRUE, FILTER(Validations!$Q$2:$Q$100, ISNUMBER(SEARCH(Validations!$Q$2:$Q$100, AO100)))))"),"Point")</f>
        <v>Point</v>
      </c>
      <c r="AQ100" s="12" t="str">
        <f>IFERROR(__xludf.DUMMYFUNCTION("IFERROR(VALUE(REGEXEXTRACT(AO100, ""\d+"")), """")"),"")</f>
        <v/>
      </c>
      <c r="AR100" s="12" t="str">
        <f>IFERROR(__xludf.DUMMYFUNCTION("TEXTJOIN("", "", TRUE, FILTER(Validations!$R$2:$R$100, ISNUMBER(SEARCH(Validations!$R$2:$R$100, AO100))))"),"Touch")</f>
        <v>Touch</v>
      </c>
      <c r="AS100" s="27"/>
      <c r="AT100" s="12" t="str">
        <f>IFERROR(__xludf.DUMMYFUNCTION("IFERROR(TEXTJOIN("", "", TRUE, FILTER(Validations!$I$2:$I$100, ISNUMBER(SEARCH(Validations!$I$2:$I$100, AS100)))), """")"),"")</f>
        <v/>
      </c>
      <c r="AU100" s="16" t="str">
        <f t="array" ref="AU100">IFERROR(INDEX(Validations!$J$2:$J$100, MATCH(TRUE, ISNUMBER(SEARCH(Validations!$I$2:$I$100, AT100)), 0)), "")</f>
        <v/>
      </c>
      <c r="AV100" s="12" t="str">
        <f>IFERROR(__xludf.DUMMYFUNCTION("IFERROR(VALUE(REGEXEXTRACT(AS100, ""\d+"")), """")"),"")</f>
        <v/>
      </c>
      <c r="AW100" s="12" t="str">
        <f>IFERROR(__xludf.DUMMYFUNCTION("IFERROR(TEXTJOIN("", "", TRUE, FILTER(Validations!$Q$2:$Q$100, ISNUMBER(SEARCH(Validations!$Q$2:$Q$100, AS100)))), """")"),"")</f>
        <v/>
      </c>
      <c r="AX100" s="28" t="s">
        <v>152</v>
      </c>
      <c r="AY100" s="28" t="str">
        <f>IFERROR(__xludf.DUMMYFUNCTION("TEXTJOIN("", "", TRUE, FILTER(Validations!$Y$2:$Y$100, ISNUMBER(SEARCH(Validations!$X$2:$X$100, AX100))))"),"V, S, R")</f>
        <v>V, S, R</v>
      </c>
      <c r="AZ100" s="20" t="s">
        <v>508</v>
      </c>
      <c r="BA100" s="22"/>
      <c r="BB100" s="22"/>
      <c r="BC100" s="22"/>
      <c r="BD100" s="36" t="s">
        <v>509</v>
      </c>
      <c r="BE100" s="27"/>
      <c r="BF100" s="22"/>
      <c r="BG100" s="27"/>
      <c r="BH100" s="20" t="s">
        <v>510</v>
      </c>
      <c r="BI100" s="12" t="str">
        <f>IFERROR(__xludf.DUMMYFUNCTION("IFERROR(TEXTJOIN("", "", TRUE, FILTER(SRD!$A$2:$A$1000, EXACT(SRD!$A$2:$A$1000, J100))), """")"),"")</f>
        <v/>
      </c>
      <c r="BJ100" s="29"/>
      <c r="BK100" s="29"/>
    </row>
    <row r="101" ht="15.75" customHeight="1">
      <c r="A101" s="30" t="s">
        <v>511</v>
      </c>
      <c r="B101" s="22"/>
      <c r="C101" s="16"/>
      <c r="D101" s="16" t="s">
        <v>302</v>
      </c>
      <c r="E101" s="16"/>
      <c r="F101" s="32" t="s">
        <v>506</v>
      </c>
      <c r="G101" s="50" t="s">
        <v>444</v>
      </c>
      <c r="H101" s="16" t="s">
        <v>144</v>
      </c>
      <c r="I101" s="16" t="str">
        <f t="array" ref="I101">INDEX(Validations!$C$2:$C$100, MATCH(TRUE, ISNUMBER(SEARCH(Validations!$B$2:$B$100, H101)), 0))</f>
        <v>D</v>
      </c>
      <c r="J101" s="17" t="s">
        <v>512</v>
      </c>
      <c r="K101" s="18"/>
      <c r="L101" s="17"/>
      <c r="M101" s="17"/>
      <c r="N101" s="20" t="s">
        <v>513</v>
      </c>
      <c r="O101" s="17"/>
      <c r="P101" s="21"/>
      <c r="Q101" s="21"/>
      <c r="R101" s="22"/>
      <c r="S101" s="17" t="str">
        <f>IFERROR(__xludf.DUMMYFUNCTION("IFERROR(REGEXEXTRACT(J101, ""(\d{1,3}[dD]\d{1,3})""), """")"),"")</f>
        <v/>
      </c>
      <c r="T101" s="17" t="str">
        <f>IFERROR(__xludf.DUMMYFUNCTION("IF(COUNTIF(ARRAYFORMULA(LOWER(Validations!$O$2:$O$100)), LOWER(REGEXEXTRACT(J101, ""\d{1,3}[dD]\d{1,3}\s+(\w+)"")))&gt;0, REGEXEXTRACT(J101, ""\d{1,3}[dD]\d{1,3}\s+(\w+)""), """")"),"")</f>
        <v/>
      </c>
      <c r="U101" s="17" t="str">
        <f>IFERROR(__xludf.DUMMYFUNCTION("IF(COUNTIF(ARRAYFORMULA(LOWER(Validations!$P$2:$P$100)), LOWER(REGEXEXTRACT(J101, ""\d{1,3}[dD]\d{1,3}\s+(\w+)"")))&gt;0, REGEXEXTRACT(J101, ""\d{1,3}[dD]\d{1,3}\s+(\w+)""), """")"),"")</f>
        <v/>
      </c>
      <c r="V101" s="12" t="str">
        <f>IFERROR(__xludf.DUMMYFUNCTION("TEXTJOIN("", "", TRUE, FILTER(Validations!$L$2:$L$100, ISNUMBER(SEARCH(Validations!$L$2:$L$100, J101))))"),"")</f>
        <v/>
      </c>
      <c r="W101" s="12" t="str">
        <f>IFERROR(__xludf.DUMMYFUNCTION("IFERROR(TEXTJOIN("", "", TRUE, FILTER(Validations!$M$2:$M$100, ISNUMBER(SEARCH(Validations!$M$2:$M$100 &amp; "" saving throw"", J101)))), """")"),"Wisdom")</f>
        <v>Wisdom</v>
      </c>
      <c r="X101" s="12"/>
      <c r="Y101" s="12"/>
      <c r="Z101" s="12" t="str">
        <f>IFERROR(__xludf.DUMMYFUNCTION("IFERROR(TEXTJOIN("", "", TRUE, FILTER(Validations!$N$2:$N$100, ISNUMBER(SEARCH(Validations!$N$2:$N$100 &amp; "" check"", J101)))), """")"),"Insight")</f>
        <v>Insight</v>
      </c>
      <c r="AA101" s="12" t="str">
        <f>IFERROR(__xludf.DUMMYFUNCTION("IFERROR(TEXTJOIN("", "", TRUE, FILTER(Validations!$N$2:$N$100, ISNUMBER(SEARCH(Validations!$N$2:$N$100 &amp; "" check"", W101)))), """")"),"")</f>
        <v/>
      </c>
      <c r="AB101" s="23" t="str">
        <f>IFERROR(__xludf.DUMMYFUNCTION("IFERROR(CONCATENATE(IF(ISNUMBER(SEARCH(Validations!$M$2:$M$100 &amp; "" spell save"", J101)),""Spell Save"",""""), REGEXEXTRACT(J101, ""DC (\d+)"")), """")"),"13")</f>
        <v>13</v>
      </c>
      <c r="AC101" s="24" t="b">
        <v>0</v>
      </c>
      <c r="AD101" s="24" t="b">
        <v>0</v>
      </c>
      <c r="AE101" s="36" t="s">
        <v>69</v>
      </c>
      <c r="AF101" s="25">
        <f>IFERROR(__xludf.DUMMYFUNCTION("IFERROR(VALUE(REGEXEXTRACT(AE101, ""\d+"")), 1)"),1.0)</f>
        <v>1</v>
      </c>
      <c r="AG101" s="12" t="str">
        <f>IFERROR(__xludf.DUMMYFUNCTION("IF(
  ISNUMBER(SEARCH(""Bonus Action"", AE101)),
  ""Bonus Action"",
  IF(
    ISNUMBER(SEARCH(""Reaction"", AE101)),
    ""Reaction"",
    IF(
      ISNUMBER(SEARCH(""Action"", AE101)),
      ""Action"",
      TEXTJOIN("", "", TRUE, FILTER(Validations!$S"&amp;"$2:$S$100, ISNUMBER(SEARCH(Validations!$S$2:$S$100, AE101))))
    )
  )
)"),"Action")</f>
        <v>Action</v>
      </c>
      <c r="AH101" s="36"/>
      <c r="AI101" s="20" t="s">
        <v>87</v>
      </c>
      <c r="AJ101" s="26" t="str">
        <f>IFERROR(__xludf.DUMMYFUNCTION("TEXTJOIN("", "", TRUE, FILTER(Validations!$T$2:$T$100, ISNUMBER(SEARCH(Validations!$T$2:$T$100, AI101))))"),"")</f>
        <v/>
      </c>
      <c r="AK101" s="26">
        <f>IFERROR(__xludf.DUMMYFUNCTION("IFERROR(VALUE(REGEXEXTRACT(AI101, ""\d+"")), """")"),1.0)</f>
        <v>1</v>
      </c>
      <c r="AL101" s="26" t="str">
        <f>IFERROR(__xludf.DUMMYFUNCTION("TEXTJOIN("", "", TRUE, FILTER(Validations!$U$2:$U$100, ISNUMBER(SEARCH(Validations!$U$2:$U$100, AI101))))"),"Rounds")</f>
        <v>Rounds</v>
      </c>
      <c r="AM101" s="24" t="b">
        <f t="shared" si="1"/>
        <v>0</v>
      </c>
      <c r="AN101" s="24" t="b">
        <v>0</v>
      </c>
      <c r="AO101" s="22" t="s">
        <v>112</v>
      </c>
      <c r="AP101" s="12" t="str">
        <f>IFERROR(__xludf.DUMMYFUNCTION("IF(TEXTJOIN("", "", TRUE, FILTER(Validations!$Q$2:$Q$100, ISNUMBER(SEARCH(Validations!$Q$2:$Q$100, AO101)))) = """", Validations!$Q$2, TEXTJOIN("", "", TRUE, FILTER(Validations!$Q$2:$Q$100, ISNUMBER(SEARCH(Validations!$Q$2:$Q$100, AO101)))))"),"Point")</f>
        <v>Point</v>
      </c>
      <c r="AQ101" s="12">
        <f>IFERROR(__xludf.DUMMYFUNCTION("IFERROR(VALUE(REGEXEXTRACT(AO101, ""\d+"")), """")"),30.0)</f>
        <v>30</v>
      </c>
      <c r="AR101" s="12" t="str">
        <f>IFERROR(__xludf.DUMMYFUNCTION("TEXTJOIN("", "", TRUE, FILTER(Validations!$R$2:$R$100, ISNUMBER(SEARCH(Validations!$R$2:$R$100, AO101))))"),"Feet")</f>
        <v>Feet</v>
      </c>
      <c r="AS101" s="27"/>
      <c r="AT101" s="12" t="str">
        <f>IFERROR(__xludf.DUMMYFUNCTION("IFERROR(TEXTJOIN("", "", TRUE, FILTER(Validations!$I$2:$I$100, ISNUMBER(SEARCH(Validations!$I$2:$I$100, AS101)))), """")"),"")</f>
        <v/>
      </c>
      <c r="AU101" s="16" t="str">
        <f t="array" ref="AU101">IFERROR(INDEX(Validations!$J$2:$J$100, MATCH(TRUE, ISNUMBER(SEARCH(Validations!$I$2:$I$100, AT101)), 0)), "")</f>
        <v/>
      </c>
      <c r="AV101" s="12" t="str">
        <f>IFERROR(__xludf.DUMMYFUNCTION("IFERROR(VALUE(REGEXEXTRACT(AS101, ""\d+"")), """")"),"")</f>
        <v/>
      </c>
      <c r="AW101" s="12" t="str">
        <f>IFERROR(__xludf.DUMMYFUNCTION("IFERROR(TEXTJOIN("", "", TRUE, FILTER(Validations!$Q$2:$Q$100, ISNUMBER(SEARCH(Validations!$Q$2:$Q$100, AS101)))), """")"),"")</f>
        <v/>
      </c>
      <c r="AX101" s="28" t="s">
        <v>142</v>
      </c>
      <c r="AY101" s="28" t="str">
        <f>IFERROR(__xludf.DUMMYFUNCTION("TEXTJOIN("", "", TRUE, FILTER(Validations!$Y$2:$Y$100, ISNUMBER(SEARCH(Validations!$X$2:$X$100, AX101))))"),"V, S")</f>
        <v>V, S</v>
      </c>
      <c r="AZ101" s="27"/>
      <c r="BA101" s="22"/>
      <c r="BB101" s="22"/>
      <c r="BC101" s="22"/>
      <c r="BD101" s="22"/>
      <c r="BE101" s="27"/>
      <c r="BF101" s="22"/>
      <c r="BG101" s="27"/>
      <c r="BH101" s="27"/>
      <c r="BI101" s="12" t="str">
        <f>IFERROR(__xludf.DUMMYFUNCTION("IFERROR(TEXTJOIN("", "", TRUE, FILTER(SRD!$A$2:$A$1000, EXACT(SRD!$A$2:$A$1000, J101))), """")"),"")</f>
        <v/>
      </c>
      <c r="BJ101" s="29"/>
      <c r="BK101" s="29"/>
    </row>
    <row r="102" ht="15.75" customHeight="1">
      <c r="A102" s="30" t="s">
        <v>514</v>
      </c>
      <c r="B102" s="22"/>
      <c r="C102" s="16"/>
      <c r="D102" s="16" t="s">
        <v>302</v>
      </c>
      <c r="E102" s="16"/>
      <c r="F102" s="40" t="s">
        <v>515</v>
      </c>
      <c r="G102" s="50" t="s">
        <v>444</v>
      </c>
      <c r="H102" s="31" t="s">
        <v>85</v>
      </c>
      <c r="I102" s="16" t="str">
        <f t="array" ref="I102">INDEX(Validations!$C$2:$C$100, MATCH(TRUE, ISNUMBER(SEARCH(Validations!$B$2:$B$100, H102)), 0))</f>
        <v>T</v>
      </c>
      <c r="J102" s="17" t="s">
        <v>516</v>
      </c>
      <c r="K102" s="18"/>
      <c r="L102" s="17"/>
      <c r="M102" s="17"/>
      <c r="N102" s="27"/>
      <c r="O102" s="17"/>
      <c r="P102" s="21"/>
      <c r="Q102" s="21"/>
      <c r="R102" s="22"/>
      <c r="S102" s="17" t="str">
        <f>IFERROR(__xludf.DUMMYFUNCTION("IFERROR(REGEXEXTRACT(J102, ""(\d{1,3}[dD]\d{1,3})""), """")"),"")</f>
        <v/>
      </c>
      <c r="T102" s="17" t="str">
        <f>IFERROR(__xludf.DUMMYFUNCTION("IF(COUNTIF(ARRAYFORMULA(LOWER(Validations!$O$2:$O$100)), LOWER(REGEXEXTRACT(J102, ""\d{1,3}[dD]\d{1,3}\s+(\w+)"")))&gt;0, REGEXEXTRACT(J102, ""\d{1,3}[dD]\d{1,3}\s+(\w+)""), """")"),"")</f>
        <v/>
      </c>
      <c r="U102" s="17" t="str">
        <f>IFERROR(__xludf.DUMMYFUNCTION("IF(COUNTIF(ARRAYFORMULA(LOWER(Validations!$P$2:$P$100)), LOWER(REGEXEXTRACT(J102, ""\d{1,3}[dD]\d{1,3}\s+(\w+)"")))&gt;0, REGEXEXTRACT(J102, ""\d{1,3}[dD]\d{1,3}\s+(\w+)""), """")"),"")</f>
        <v/>
      </c>
      <c r="V102" s="12" t="str">
        <f>IFERROR(__xludf.DUMMYFUNCTION("TEXTJOIN("", "", TRUE, FILTER(Validations!$L$2:$L$100, ISNUMBER(SEARCH(Validations!$L$2:$L$100, J102))))"),"Erased")</f>
        <v>Erased</v>
      </c>
      <c r="W102" s="12" t="str">
        <f>IFERROR(__xludf.DUMMYFUNCTION("IFERROR(TEXTJOIN("", "", TRUE, FILTER(Validations!$M$2:$M$100, ISNUMBER(SEARCH(Validations!$M$2:$M$100 &amp; "" saving throw"", J102)))), """")"),"")</f>
        <v/>
      </c>
      <c r="X102" s="12"/>
      <c r="Y102" s="12"/>
      <c r="Z102" s="12" t="str">
        <f>IFERROR(__xludf.DUMMYFUNCTION("IFERROR(TEXTJOIN("", "", TRUE, FILTER(Validations!$N$2:$N$100, ISNUMBER(SEARCH(Validations!$N$2:$N$100 &amp; "" check"", J102)))), """")"),"")</f>
        <v/>
      </c>
      <c r="AA102" s="12" t="str">
        <f>IFERROR(__xludf.DUMMYFUNCTION("IFERROR(TEXTJOIN("", "", TRUE, FILTER(Validations!$N$2:$N$100, ISNUMBER(SEARCH(Validations!$N$2:$N$100 &amp; "" check"", W102)))), """")"),"")</f>
        <v/>
      </c>
      <c r="AB102" s="23" t="str">
        <f>IFERROR(__xludf.DUMMYFUNCTION("IFERROR(CONCATENATE(IF(ISNUMBER(SEARCH(Validations!$M$2:$M$100 &amp; "" spell save"", J102)),""Spell Save"",""""), REGEXEXTRACT(J102, ""DC (\d+)"")), """")"),"")</f>
        <v/>
      </c>
      <c r="AC102" s="24" t="b">
        <v>0</v>
      </c>
      <c r="AD102" s="24" t="b">
        <v>0</v>
      </c>
      <c r="AE102" s="36" t="s">
        <v>69</v>
      </c>
      <c r="AF102" s="25">
        <f>IFERROR(__xludf.DUMMYFUNCTION("IFERROR(VALUE(REGEXEXTRACT(AE102, ""\d+"")), 1)"),1.0)</f>
        <v>1</v>
      </c>
      <c r="AG102" s="12" t="str">
        <f>IFERROR(__xludf.DUMMYFUNCTION("IF(
  ISNUMBER(SEARCH(""Bonus Action"", AE102)),
  ""Bonus Action"",
  IF(
    ISNUMBER(SEARCH(""Reaction"", AE102)),
    ""Reaction"",
    IF(
      ISNUMBER(SEARCH(""Action"", AE102)),
      ""Action"",
      TEXTJOIN("", "", TRUE, FILTER(Validations!$S"&amp;"$2:$S$100, ISNUMBER(SEARCH(Validations!$S$2:$S$100, AE102))))
    )
  )
)"),"Action")</f>
        <v>Action</v>
      </c>
      <c r="AH102" s="36"/>
      <c r="AI102" s="27" t="s">
        <v>255</v>
      </c>
      <c r="AJ102" s="26" t="str">
        <f>IFERROR(__xludf.DUMMYFUNCTION("TEXTJOIN("", "", TRUE, FILTER(Validations!$T$2:$T$100, ISNUMBER(SEARCH(Validations!$T$2:$T$100, AI102))))"),"Permanent")</f>
        <v>Permanent</v>
      </c>
      <c r="AK102" s="26" t="str">
        <f>IFERROR(__xludf.DUMMYFUNCTION("IFERROR(VALUE(REGEXEXTRACT(AI102, ""\d+"")), """")"),"")</f>
        <v/>
      </c>
      <c r="AL102" s="26" t="str">
        <f>IFERROR(__xludf.DUMMYFUNCTION("TEXTJOIN("", "", TRUE, FILTER(Validations!$U$2:$U$100, ISNUMBER(SEARCH(Validations!$U$2:$U$100, AI102))))"),"")</f>
        <v/>
      </c>
      <c r="AM102" s="24" t="b">
        <f t="shared" si="1"/>
        <v>0</v>
      </c>
      <c r="AN102" s="24" t="b">
        <v>0</v>
      </c>
      <c r="AO102" s="22" t="s">
        <v>71</v>
      </c>
      <c r="AP102" s="12" t="str">
        <f>IFERROR(__xludf.DUMMYFUNCTION("IF(TEXTJOIN("", "", TRUE, FILTER(Validations!$Q$2:$Q$100, ISNUMBER(SEARCH(Validations!$Q$2:$Q$100, AO102)))) = """", Validations!$Q$2, TEXTJOIN("", "", TRUE, FILTER(Validations!$Q$2:$Q$100, ISNUMBER(SEARCH(Validations!$Q$2:$Q$100, AO102)))))"),"Point")</f>
        <v>Point</v>
      </c>
      <c r="AQ102" s="12" t="str">
        <f>IFERROR(__xludf.DUMMYFUNCTION("IFERROR(VALUE(REGEXEXTRACT(AO102, ""\d+"")), """")"),"")</f>
        <v/>
      </c>
      <c r="AR102" s="12" t="str">
        <f>IFERROR(__xludf.DUMMYFUNCTION("TEXTJOIN("", "", TRUE, FILTER(Validations!$R$2:$R$100, ISNUMBER(SEARCH(Validations!$R$2:$R$100, AO102))))"),"Touch")</f>
        <v>Touch</v>
      </c>
      <c r="AS102" s="27"/>
      <c r="AT102" s="12" t="str">
        <f>IFERROR(__xludf.DUMMYFUNCTION("IFERROR(TEXTJOIN("", "", TRUE, FILTER(Validations!$I$2:$I$100, ISNUMBER(SEARCH(Validations!$I$2:$I$100, AS102)))), """")"),"")</f>
        <v/>
      </c>
      <c r="AU102" s="16" t="str">
        <f t="array" ref="AU102">IFERROR(INDEX(Validations!$J$2:$J$100, MATCH(TRUE, ISNUMBER(SEARCH(Validations!$I$2:$I$100, AT102)), 0)), "")</f>
        <v/>
      </c>
      <c r="AV102" s="12" t="str">
        <f>IFERROR(__xludf.DUMMYFUNCTION("IFERROR(VALUE(REGEXEXTRACT(AS102, ""\d+"")), """")"),"")</f>
        <v/>
      </c>
      <c r="AW102" s="12" t="str">
        <f>IFERROR(__xludf.DUMMYFUNCTION("IFERROR(TEXTJOIN("", "", TRUE, FILTER(Validations!$Q$2:$Q$100, ISNUMBER(SEARCH(Validations!$Q$2:$Q$100, AS102)))), """")"),"")</f>
        <v/>
      </c>
      <c r="AX102" s="28" t="s">
        <v>152</v>
      </c>
      <c r="AY102" s="28" t="str">
        <f>IFERROR(__xludf.DUMMYFUNCTION("TEXTJOIN("", "", TRUE, FILTER(Validations!$Y$2:$Y$100, ISNUMBER(SEARCH(Validations!$X$2:$X$100, AX102))))"),"V, S, R")</f>
        <v>V, S, R</v>
      </c>
      <c r="AZ102" s="20" t="s">
        <v>517</v>
      </c>
      <c r="BA102" s="22"/>
      <c r="BB102" s="22"/>
      <c r="BC102" s="22"/>
      <c r="BD102" s="22"/>
      <c r="BE102" s="27"/>
      <c r="BF102" s="22"/>
      <c r="BG102" s="27"/>
      <c r="BH102" s="27"/>
      <c r="BI102" s="12" t="str">
        <f>IFERROR(__xludf.DUMMYFUNCTION("IFERROR(TEXTJOIN("", "", TRUE, FILTER(SRD!$A$2:$A$1000, EXACT(SRD!$A$2:$A$1000, J102))), """")"),"")</f>
        <v/>
      </c>
      <c r="BJ102" s="29"/>
      <c r="BK102" s="29"/>
    </row>
    <row r="103" ht="15.75" customHeight="1">
      <c r="A103" s="38" t="s">
        <v>518</v>
      </c>
      <c r="B103" s="12"/>
      <c r="C103" s="13"/>
      <c r="D103" s="13" t="s">
        <v>62</v>
      </c>
      <c r="E103" s="13"/>
      <c r="F103" s="14" t="s">
        <v>519</v>
      </c>
      <c r="G103" s="15" t="s">
        <v>444</v>
      </c>
      <c r="H103" s="31" t="s">
        <v>103</v>
      </c>
      <c r="I103" s="16" t="str">
        <f t="array" ref="I103">INDEX(Validations!$C$2:$C$100, MATCH(TRUE, ISNUMBER(SEARCH(Validations!$B$2:$B$100, H103)), 0))</f>
        <v>C</v>
      </c>
      <c r="J103" s="17" t="s">
        <v>520</v>
      </c>
      <c r="K103" s="18"/>
      <c r="L103" s="17"/>
      <c r="M103" s="37" t="s">
        <v>521</v>
      </c>
      <c r="N103" s="20" t="s">
        <v>522</v>
      </c>
      <c r="O103" s="17" t="s">
        <v>523</v>
      </c>
      <c r="P103" s="21"/>
      <c r="Q103" s="21"/>
      <c r="R103" s="22"/>
      <c r="S103" s="17" t="str">
        <f>IFERROR(__xludf.DUMMYFUNCTION("IFERROR(REGEXEXTRACT(J103, ""(\d{1,3}[dD]\d{1,3})""), """")"),"")</f>
        <v/>
      </c>
      <c r="T103" s="17" t="str">
        <f>IFERROR(__xludf.DUMMYFUNCTION("IF(COUNTIF(ARRAYFORMULA(LOWER(Validations!$O$2:$O$100)), LOWER(REGEXEXTRACT(J103, ""\d{1,3}[dD]\d{1,3}\s+(\w+)"")))&gt;0, REGEXEXTRACT(J103, ""\d{1,3}[dD]\d{1,3}\s+(\w+)""), """")"),"")</f>
        <v/>
      </c>
      <c r="U103" s="17" t="str">
        <f>IFERROR(__xludf.DUMMYFUNCTION("IF(COUNTIF(ARRAYFORMULA(LOWER(Validations!$P$2:$P$100)), LOWER(REGEXEXTRACT(J103, ""\d{1,3}[dD]\d{1,3}\s+(\w+)"")))&gt;0, REGEXEXTRACT(J103, ""\d{1,3}[dD]\d{1,3}\s+(\w+)""), """")"),"")</f>
        <v/>
      </c>
      <c r="V103" s="12" t="str">
        <f>IFERROR(__xludf.DUMMYFUNCTION("TEXTJOIN("", "", TRUE, FILTER(Validations!$L$2:$L$100, ISNUMBER(SEARCH(Validations!$L$2:$L$100, J103))))"),"")</f>
        <v/>
      </c>
      <c r="W103" s="12" t="str">
        <f>IFERROR(__xludf.DUMMYFUNCTION("IFERROR(TEXTJOIN("", "", TRUE, FILTER(Validations!$M$2:$M$100, ISNUMBER(SEARCH(Validations!$M$2:$M$100 &amp; "" saving throw"", J103)))), """")"),"")</f>
        <v/>
      </c>
      <c r="X103" s="12"/>
      <c r="Y103" s="12"/>
      <c r="Z103" s="12" t="str">
        <f>IFERROR(__xludf.DUMMYFUNCTION("IFERROR(TEXTJOIN("", "", TRUE, FILTER(Validations!$N$2:$N$100, ISNUMBER(SEARCH(Validations!$N$2:$N$100 &amp; "" check"", J103)))), """")"),"")</f>
        <v/>
      </c>
      <c r="AA103" s="12" t="str">
        <f>IFERROR(__xludf.DUMMYFUNCTION("IFERROR(TEXTJOIN("", "", TRUE, FILTER(Validations!$N$2:$N$100, ISNUMBER(SEARCH(Validations!$N$2:$N$100 &amp; "" check"", W103)))), """")"),"")</f>
        <v/>
      </c>
      <c r="AB103" s="23" t="str">
        <f>IFERROR(__xludf.DUMMYFUNCTION("IFERROR(CONCATENATE(IF(ISNUMBER(SEARCH(Validations!$M$2:$M$100 &amp; "" spell save"", J103)),""Spell Save"",""""), REGEXEXTRACT(J103, ""DC (\d+)"")), """")"),"")</f>
        <v/>
      </c>
      <c r="AC103" s="24" t="b">
        <v>0</v>
      </c>
      <c r="AD103" s="24" t="b">
        <v>0</v>
      </c>
      <c r="AE103" s="12" t="s">
        <v>69</v>
      </c>
      <c r="AF103" s="25">
        <f>IFERROR(__xludf.DUMMYFUNCTION("IFERROR(VALUE(REGEXEXTRACT(AE103, ""\d+"")), 1)"),1.0)</f>
        <v>1</v>
      </c>
      <c r="AG103" s="12" t="str">
        <f>IFERROR(__xludf.DUMMYFUNCTION("IF(
  ISNUMBER(SEARCH(""Bonus Action"", AE103)),
  ""Bonus Action"",
  IF(
    ISNUMBER(SEARCH(""Reaction"", AE103)),
    ""Reaction"",
    IF(
      ISNUMBER(SEARCH(""Action"", AE103)),
      ""Action"",
      TEXTJOIN("", "", TRUE, FILTER(Validations!$S"&amp;"$2:$S$100, ISNUMBER(SEARCH(Validations!$S$2:$S$100, AE103))))
    )
  )
)"),"Action")</f>
        <v>Action</v>
      </c>
      <c r="AH103" s="12"/>
      <c r="AI103" s="26" t="s">
        <v>70</v>
      </c>
      <c r="AJ103" s="26" t="str">
        <f>IFERROR(__xludf.DUMMYFUNCTION("TEXTJOIN("", "", TRUE, FILTER(Validations!$T$2:$T$100, ISNUMBER(SEARCH(Validations!$T$2:$T$100, AI103))))"),"Instantaneous")</f>
        <v>Instantaneous</v>
      </c>
      <c r="AK103" s="26" t="str">
        <f>IFERROR(__xludf.DUMMYFUNCTION("IFERROR(VALUE(REGEXEXTRACT(AI103, ""\d+"")), """")"),"")</f>
        <v/>
      </c>
      <c r="AL103" s="26" t="str">
        <f>IFERROR(__xludf.DUMMYFUNCTION("TEXTJOIN("", "", TRUE, FILTER(Validations!$U$2:$U$100, ISNUMBER(SEARCH(Validations!$U$2:$U$100, AI103))))"),"")</f>
        <v/>
      </c>
      <c r="AM103" s="24" t="b">
        <f t="shared" si="1"/>
        <v>0</v>
      </c>
      <c r="AN103" s="24" t="b">
        <v>0</v>
      </c>
      <c r="AO103" s="36" t="s">
        <v>112</v>
      </c>
      <c r="AP103" s="12" t="str">
        <f>IFERROR(__xludf.DUMMYFUNCTION("IF(TEXTJOIN("", "", TRUE, FILTER(Validations!$Q$2:$Q$100, ISNUMBER(SEARCH(Validations!$Q$2:$Q$100, AO103)))) = """", Validations!$Q$2, TEXTJOIN("", "", TRUE, FILTER(Validations!$Q$2:$Q$100, ISNUMBER(SEARCH(Validations!$Q$2:$Q$100, AO103)))))"),"Point")</f>
        <v>Point</v>
      </c>
      <c r="AQ103" s="12">
        <f>IFERROR(__xludf.DUMMYFUNCTION("IFERROR(VALUE(REGEXEXTRACT(AO103, ""\d+"")), """")"),30.0)</f>
        <v>30</v>
      </c>
      <c r="AR103" s="12" t="str">
        <f>IFERROR(__xludf.DUMMYFUNCTION("TEXTJOIN("", "", TRUE, FILTER(Validations!$R$2:$R$100, ISNUMBER(SEARCH(Validations!$R$2:$R$100, AO103))))"),"Feet")</f>
        <v>Feet</v>
      </c>
      <c r="AS103" s="27"/>
      <c r="AT103" s="12" t="str">
        <f>IFERROR(__xludf.DUMMYFUNCTION("IFERROR(TEXTJOIN("", "", TRUE, FILTER(Validations!$I$2:$I$100, ISNUMBER(SEARCH(Validations!$I$2:$I$100, AS103)))), """")"),"")</f>
        <v/>
      </c>
      <c r="AU103" s="16" t="str">
        <f t="array" ref="AU103">IFERROR(INDEX(Validations!$J$2:$J$100, MATCH(TRUE, ISNUMBER(SEARCH(Validations!$I$2:$I$100, AT103)), 0)), "")</f>
        <v/>
      </c>
      <c r="AV103" s="12" t="str">
        <f>IFERROR(__xludf.DUMMYFUNCTION("IFERROR(VALUE(REGEXEXTRACT(AS103, ""\d+"")), """")"),"")</f>
        <v/>
      </c>
      <c r="AW103" s="12" t="str">
        <f>IFERROR(__xludf.DUMMYFUNCTION("IFERROR(TEXTJOIN("", "", TRUE, FILTER(Validations!$Q$2:$Q$100, ISNUMBER(SEARCH(Validations!$Q$2:$Q$100, AS103)))), """")"),"")</f>
        <v/>
      </c>
      <c r="AX103" s="28" t="s">
        <v>524</v>
      </c>
      <c r="AY103" s="28" t="str">
        <f>IFERROR(__xludf.DUMMYFUNCTION("TEXTJOIN("", "", TRUE, FILTER(Validations!$Y$2:$Y$100, ISNUMBER(SEARCH(Validations!$X$2:$X$100, AX103))))"),"V, S, R")</f>
        <v>V, S, R</v>
      </c>
      <c r="AZ103" s="20" t="s">
        <v>525</v>
      </c>
      <c r="BA103" s="12"/>
      <c r="BB103" s="22"/>
      <c r="BC103" s="22"/>
      <c r="BD103" s="22"/>
      <c r="BE103" s="27"/>
      <c r="BF103" s="22"/>
      <c r="BG103" s="27"/>
      <c r="BH103" s="27"/>
      <c r="BI103" s="12" t="str">
        <f>IFERROR(__xludf.DUMMYFUNCTION("IFERROR(TEXTJOIN("", "", TRUE, FILTER(SRD!$A$2:$A$1000, EXACT(SRD!$A$2:$A$1000, J103))), """")"),"")</f>
        <v/>
      </c>
      <c r="BJ103" s="29"/>
      <c r="BK103" s="29"/>
    </row>
    <row r="104" ht="15.75" customHeight="1">
      <c r="A104" s="30" t="s">
        <v>526</v>
      </c>
      <c r="B104" s="22"/>
      <c r="C104" s="16"/>
      <c r="D104" s="16" t="s">
        <v>527</v>
      </c>
      <c r="E104" s="16"/>
      <c r="F104" s="32" t="s">
        <v>123</v>
      </c>
      <c r="G104" s="50" t="s">
        <v>444</v>
      </c>
      <c r="H104" s="31" t="s">
        <v>183</v>
      </c>
      <c r="I104" s="16" t="str">
        <f t="array" ref="I104">INDEX(Validations!$C$2:$C$100, MATCH(TRUE, ISNUMBER(SEARCH(Validations!$B$2:$B$100, H104)), 0))</f>
        <v>E</v>
      </c>
      <c r="J104" s="17" t="s">
        <v>528</v>
      </c>
      <c r="K104" s="18"/>
      <c r="L104" s="17" t="s">
        <v>529</v>
      </c>
      <c r="M104" s="17"/>
      <c r="N104" s="27"/>
      <c r="O104" s="17"/>
      <c r="P104" s="21"/>
      <c r="Q104" s="21"/>
      <c r="R104" s="22"/>
      <c r="S104" s="17" t="str">
        <f>IFERROR(__xludf.DUMMYFUNCTION("IFERROR(REGEXEXTRACT(J104, ""(\d{1,3}[dD]\d{1,3})""), """")"),"")</f>
        <v/>
      </c>
      <c r="T104" s="17" t="str">
        <f>IFERROR(__xludf.DUMMYFUNCTION("IF(COUNTIF(ARRAYFORMULA(LOWER(Validations!$O$2:$O$100)), LOWER(REGEXEXTRACT(J104, ""\d{1,3}[dD]\d{1,3}\s+(\w+)"")))&gt;0, REGEXEXTRACT(J104, ""\d{1,3}[dD]\d{1,3}\s+(\w+)""), """")"),"")</f>
        <v/>
      </c>
      <c r="U104" s="17" t="str">
        <f>IFERROR(__xludf.DUMMYFUNCTION("IF(COUNTIF(ARRAYFORMULA(LOWER(Validations!$P$2:$P$100)), LOWER(REGEXEXTRACT(J104, ""\d{1,3}[dD]\d{1,3}\s+(\w+)"")))&gt;0, REGEXEXTRACT(J104, ""\d{1,3}[dD]\d{1,3}\s+(\w+)""), """")"),"")</f>
        <v/>
      </c>
      <c r="V104" s="12" t="str">
        <f>IFERROR(__xludf.DUMMYFUNCTION("TEXTJOIN("", "", TRUE, FILTER(Validations!$L$2:$L$100, ISNUMBER(SEARCH(Validations!$L$2:$L$100, J104))))"),"Charmed")</f>
        <v>Charmed</v>
      </c>
      <c r="W104" s="12" t="str">
        <f>IFERROR(__xludf.DUMMYFUNCTION("IFERROR(TEXTJOIN("", "", TRUE, FILTER(Validations!$M$2:$M$100, ISNUMBER(SEARCH(Validations!$M$2:$M$100 &amp; "" saving throw"", J104)))), """")"),"")</f>
        <v/>
      </c>
      <c r="X104" s="12"/>
      <c r="Y104" s="12"/>
      <c r="Z104" s="12" t="str">
        <f>IFERROR(__xludf.DUMMYFUNCTION("IFERROR(TEXTJOIN("", "", TRUE, FILTER(Validations!$N$2:$N$100, ISNUMBER(SEARCH(Validations!$N$2:$N$100 &amp; "" check"", J104)))), """")"),"Stealth")</f>
        <v>Stealth</v>
      </c>
      <c r="AA104" s="12" t="str">
        <f>IFERROR(__xludf.DUMMYFUNCTION("IFERROR(TEXTJOIN("", "", TRUE, FILTER(Validations!$N$2:$N$100, ISNUMBER(SEARCH(Validations!$N$2:$N$100 &amp; "" check"", W104)))), """")"),"")</f>
        <v/>
      </c>
      <c r="AB104" s="23" t="str">
        <f>IFERROR(__xludf.DUMMYFUNCTION("IFERROR(CONCATENATE(IF(ISNUMBER(SEARCH(Validations!$M$2:$M$100 &amp; "" spell save"", J104)),""Spell Save"",""""), REGEXEXTRACT(J104, ""DC (\d+)"")), """")"),"")</f>
        <v/>
      </c>
      <c r="AC104" s="24" t="b">
        <v>0</v>
      </c>
      <c r="AD104" s="24" t="b">
        <v>0</v>
      </c>
      <c r="AE104" s="36" t="s">
        <v>69</v>
      </c>
      <c r="AF104" s="25">
        <f>IFERROR(__xludf.DUMMYFUNCTION("IFERROR(VALUE(REGEXEXTRACT(AE104, ""\d+"")), 1)"),1.0)</f>
        <v>1</v>
      </c>
      <c r="AG104" s="12" t="str">
        <f>IFERROR(__xludf.DUMMYFUNCTION("IF(
  ISNUMBER(SEARCH(""Bonus Action"", AE104)),
  ""Bonus Action"",
  IF(
    ISNUMBER(SEARCH(""Reaction"", AE104)),
    ""Reaction"",
    IF(
      ISNUMBER(SEARCH(""Action"", AE104)),
      ""Action"",
      TEXTJOIN("", "", TRUE, FILTER(Validations!$S"&amp;"$2:$S$100, ISNUMBER(SEARCH(Validations!$S$2:$S$100, AE104))))
    )
  )
)"),"Action")</f>
        <v>Action</v>
      </c>
      <c r="AH104" s="36"/>
      <c r="AI104" s="20" t="s">
        <v>530</v>
      </c>
      <c r="AJ104" s="26" t="str">
        <f>IFERROR(__xludf.DUMMYFUNCTION("TEXTJOIN("", "", TRUE, FILTER(Validations!$T$2:$T$100, ISNUMBER(SEARCH(Validations!$T$2:$T$100, AI104))))"),"")</f>
        <v/>
      </c>
      <c r="AK104" s="26">
        <f>IFERROR(__xludf.DUMMYFUNCTION("IFERROR(VALUE(REGEXEXTRACT(AI104, ""\d+"")), """")"),1.0)</f>
        <v>1</v>
      </c>
      <c r="AL104" s="26" t="str">
        <f>IFERROR(__xludf.DUMMYFUNCTION("TEXTJOIN("", "", TRUE, FILTER(Validations!$U$2:$U$100, ISNUMBER(SEARCH(Validations!$U$2:$U$100, AI104))))"),"Rounds")</f>
        <v>Rounds</v>
      </c>
      <c r="AM104" s="24" t="b">
        <f t="shared" si="1"/>
        <v>0</v>
      </c>
      <c r="AN104" s="24" t="b">
        <v>0</v>
      </c>
      <c r="AO104" s="36" t="s">
        <v>93</v>
      </c>
      <c r="AP104" s="12" t="str">
        <f>IFERROR(__xludf.DUMMYFUNCTION("IF(TEXTJOIN("", "", TRUE, FILTER(Validations!$Q$2:$Q$100, ISNUMBER(SEARCH(Validations!$Q$2:$Q$100, AO104)))) = """", Validations!$Q$2, TEXTJOIN("", "", TRUE, FILTER(Validations!$Q$2:$Q$100, ISNUMBER(SEARCH(Validations!$Q$2:$Q$100, AO104)))))"),"Point")</f>
        <v>Point</v>
      </c>
      <c r="AQ104" s="12">
        <f>IFERROR(__xludf.DUMMYFUNCTION("IFERROR(VALUE(REGEXEXTRACT(AO104, ""\d+"")), """")"),20.0)</f>
        <v>20</v>
      </c>
      <c r="AR104" s="12" t="str">
        <f>IFERROR(__xludf.DUMMYFUNCTION("TEXTJOIN("", "", TRUE, FILTER(Validations!$R$2:$R$100, ISNUMBER(SEARCH(Validations!$R$2:$R$100, AO104))))"),"Feet")</f>
        <v>Feet</v>
      </c>
      <c r="AS104" s="27"/>
      <c r="AT104" s="12" t="str">
        <f>IFERROR(__xludf.DUMMYFUNCTION("IFERROR(TEXTJOIN("", "", TRUE, FILTER(Validations!$I$2:$I$100, ISNUMBER(SEARCH(Validations!$I$2:$I$100, AS104)))), """")"),"")</f>
        <v/>
      </c>
      <c r="AU104" s="16" t="str">
        <f t="array" ref="AU104">IFERROR(INDEX(Validations!$J$2:$J$100, MATCH(TRUE, ISNUMBER(SEARCH(Validations!$I$2:$I$100, AT104)), 0)), "")</f>
        <v/>
      </c>
      <c r="AV104" s="12" t="str">
        <f>IFERROR(__xludf.DUMMYFUNCTION("IFERROR(VALUE(REGEXEXTRACT(AS104, ""\d+"")), """")"),"")</f>
        <v/>
      </c>
      <c r="AW104" s="12" t="str">
        <f>IFERROR(__xludf.DUMMYFUNCTION("IFERROR(TEXTJOIN("", "", TRUE, FILTER(Validations!$Q$2:$Q$100, ISNUMBER(SEARCH(Validations!$Q$2:$Q$100, AS104)))), """")"),"")</f>
        <v/>
      </c>
      <c r="AX104" s="28" t="s">
        <v>152</v>
      </c>
      <c r="AY104" s="28" t="str">
        <f>IFERROR(__xludf.DUMMYFUNCTION("TEXTJOIN("", "", TRUE, FILTER(Validations!$Y$2:$Y$100, ISNUMBER(SEARCH(Validations!$X$2:$X$100, AX104))))"),"V, S, R")</f>
        <v>V, S, R</v>
      </c>
      <c r="AZ104" s="20" t="s">
        <v>531</v>
      </c>
      <c r="BA104" s="22"/>
      <c r="BB104" s="22"/>
      <c r="BC104" s="22"/>
      <c r="BD104" s="22"/>
      <c r="BE104" s="27"/>
      <c r="BF104" s="28" t="s">
        <v>463</v>
      </c>
      <c r="BG104" s="27"/>
      <c r="BH104" s="27"/>
      <c r="BI104" s="12" t="str">
        <f>IFERROR(__xludf.DUMMYFUNCTION("IFERROR(TEXTJOIN("", "", TRUE, FILTER(SRD!$A$2:$A$1000, EXACT(SRD!$A$2:$A$1000, J104))), """")"),"")</f>
        <v/>
      </c>
      <c r="BJ104" s="29"/>
      <c r="BK104" s="29"/>
    </row>
    <row r="105" ht="15.75" customHeight="1">
      <c r="A105" s="30" t="s">
        <v>532</v>
      </c>
      <c r="B105" s="22"/>
      <c r="C105" s="16"/>
      <c r="D105" s="16" t="s">
        <v>533</v>
      </c>
      <c r="E105" s="16"/>
      <c r="F105" s="32" t="s">
        <v>216</v>
      </c>
      <c r="G105" s="50" t="s">
        <v>444</v>
      </c>
      <c r="H105" s="31" t="s">
        <v>103</v>
      </c>
      <c r="I105" s="16" t="str">
        <f t="array" ref="I105">INDEX(Validations!$C$2:$C$100, MATCH(TRUE, ISNUMBER(SEARCH(Validations!$B$2:$B$100, H105)), 0))</f>
        <v>C</v>
      </c>
      <c r="J105" s="17" t="s">
        <v>534</v>
      </c>
      <c r="K105" s="51"/>
      <c r="L105" s="52"/>
      <c r="M105" s="52"/>
      <c r="N105" s="27"/>
      <c r="O105" s="52"/>
      <c r="P105" s="53"/>
      <c r="Q105" s="53"/>
      <c r="R105" s="22"/>
      <c r="S105" s="17" t="str">
        <f>IFERROR(__xludf.DUMMYFUNCTION("IFERROR(REGEXEXTRACT(J105, ""(\d{1,3}[dD]\d{1,3})""), """")"),"")</f>
        <v/>
      </c>
      <c r="T105" s="17" t="str">
        <f>IFERROR(__xludf.DUMMYFUNCTION("IF(COUNTIF(ARRAYFORMULA(LOWER(Validations!$O$2:$O$100)), LOWER(REGEXEXTRACT(J105, ""\d{1,3}[dD]\d{1,3}\s+(\w+)"")))&gt;0, REGEXEXTRACT(J105, ""\d{1,3}[dD]\d{1,3}\s+(\w+)""), """")"),"")</f>
        <v/>
      </c>
      <c r="U105" s="17" t="str">
        <f>IFERROR(__xludf.DUMMYFUNCTION("IF(COUNTIF(ARRAYFORMULA(LOWER(Validations!$P$2:$P$100)), LOWER(REGEXEXTRACT(J105, ""\d{1,3}[dD]\d{1,3}\s+(\w+)"")))&gt;0, REGEXEXTRACT(J105, ""\d{1,3}[dD]\d{1,3}\s+(\w+)""), """")"),"")</f>
        <v/>
      </c>
      <c r="V105" s="12" t="str">
        <f>IFERROR(__xludf.DUMMYFUNCTION("TEXTJOIN("", "", TRUE, FILTER(Validations!$L$2:$L$100, ISNUMBER(SEARCH(Validations!$L$2:$L$100, J105))))"),"Erased")</f>
        <v>Erased</v>
      </c>
      <c r="W105" s="12" t="str">
        <f>IFERROR(__xludf.DUMMYFUNCTION("IFERROR(TEXTJOIN("", "", TRUE, FILTER(Validations!$M$2:$M$100, ISNUMBER(SEARCH(Validations!$M$2:$M$100 &amp; "" saving throw"", J105)))), """")"),"")</f>
        <v/>
      </c>
      <c r="X105" s="12"/>
      <c r="Y105" s="12"/>
      <c r="Z105" s="12" t="str">
        <f>IFERROR(__xludf.DUMMYFUNCTION("IFERROR(TEXTJOIN("", "", TRUE, FILTER(Validations!$N$2:$N$100, ISNUMBER(SEARCH(Validations!$N$2:$N$100 &amp; "" check"", J105)))), """")"),"")</f>
        <v/>
      </c>
      <c r="AA105" s="12" t="str">
        <f>IFERROR(__xludf.DUMMYFUNCTION("IFERROR(TEXTJOIN("", "", TRUE, FILTER(Validations!$N$2:$N$100, ISNUMBER(SEARCH(Validations!$N$2:$N$100 &amp; "" check"", W105)))), """")"),"")</f>
        <v/>
      </c>
      <c r="AB105" s="23" t="str">
        <f>IFERROR(__xludf.DUMMYFUNCTION("IFERROR(CONCATENATE(IF(ISNUMBER(SEARCH(Validations!$M$2:$M$100 &amp; "" spell save"", J105)),""Spell Save"",""""), REGEXEXTRACT(J105, ""DC (\d+)"")), """")"),"")</f>
        <v/>
      </c>
      <c r="AC105" s="24" t="b">
        <v>0</v>
      </c>
      <c r="AD105" s="24" t="b">
        <v>0</v>
      </c>
      <c r="AE105" s="36" t="s">
        <v>296</v>
      </c>
      <c r="AF105" s="25">
        <f>IFERROR(__xludf.DUMMYFUNCTION("IFERROR(VALUE(REGEXEXTRACT(AE105, ""\d+"")), 1)"),1.0)</f>
        <v>1</v>
      </c>
      <c r="AG105" s="12" t="str">
        <f>IFERROR(__xludf.DUMMYFUNCTION("IF(
  ISNUMBER(SEARCH(""Bonus Action"", AE105)),
  ""Bonus Action"",
  IF(
    ISNUMBER(SEARCH(""Reaction"", AE105)),
    ""Reaction"",
    IF(
      ISNUMBER(SEARCH(""Action"", AE105)),
      ""Action"",
      TEXTJOIN("", "", TRUE, FILTER(Validations!$S"&amp;"$2:$S$100, ISNUMBER(SEARCH(Validations!$S$2:$S$100, AE105))))
    )
  )
)"),"Hours")</f>
        <v>Hours</v>
      </c>
      <c r="AH105" s="22"/>
      <c r="AI105" s="27" t="s">
        <v>255</v>
      </c>
      <c r="AJ105" s="26" t="str">
        <f>IFERROR(__xludf.DUMMYFUNCTION("TEXTJOIN("", "", TRUE, FILTER(Validations!$T$2:$T$100, ISNUMBER(SEARCH(Validations!$T$2:$T$100, AI105))))"),"Permanent")</f>
        <v>Permanent</v>
      </c>
      <c r="AK105" s="26" t="str">
        <f>IFERROR(__xludf.DUMMYFUNCTION("IFERROR(VALUE(REGEXEXTRACT(AI105, ""\d+"")), """")"),"")</f>
        <v/>
      </c>
      <c r="AL105" s="26" t="str">
        <f>IFERROR(__xludf.DUMMYFUNCTION("TEXTJOIN("", "", TRUE, FILTER(Validations!$U$2:$U$100, ISNUMBER(SEARCH(Validations!$U$2:$U$100, AI105))))"),"")</f>
        <v/>
      </c>
      <c r="AM105" s="24" t="b">
        <f t="shared" si="1"/>
        <v>0</v>
      </c>
      <c r="AN105" s="24" t="b">
        <v>0</v>
      </c>
      <c r="AO105" s="22" t="s">
        <v>71</v>
      </c>
      <c r="AP105" s="12" t="str">
        <f>IFERROR(__xludf.DUMMYFUNCTION("IF(TEXTJOIN("", "", TRUE, FILTER(Validations!$Q$2:$Q$100, ISNUMBER(SEARCH(Validations!$Q$2:$Q$100, AO105)))) = """", Validations!$Q$2, TEXTJOIN("", "", TRUE, FILTER(Validations!$Q$2:$Q$100, ISNUMBER(SEARCH(Validations!$Q$2:$Q$100, AO105)))))"),"Point")</f>
        <v>Point</v>
      </c>
      <c r="AQ105" s="12" t="str">
        <f>IFERROR(__xludf.DUMMYFUNCTION("IFERROR(VALUE(REGEXEXTRACT(AO105, ""\d+"")), """")"),"")</f>
        <v/>
      </c>
      <c r="AR105" s="12" t="str">
        <f>IFERROR(__xludf.DUMMYFUNCTION("TEXTJOIN("", "", TRUE, FILTER(Validations!$R$2:$R$100, ISNUMBER(SEARCH(Validations!$R$2:$R$100, AO105))))"),"Touch")</f>
        <v>Touch</v>
      </c>
      <c r="AS105" s="27"/>
      <c r="AT105" s="12" t="str">
        <f>IFERROR(__xludf.DUMMYFUNCTION("IFERROR(TEXTJOIN("", "", TRUE, FILTER(Validations!$I$2:$I$100, ISNUMBER(SEARCH(Validations!$I$2:$I$100, AS105)))), """")"),"")</f>
        <v/>
      </c>
      <c r="AU105" s="16" t="str">
        <f t="array" ref="AU105">IFERROR(INDEX(Validations!$J$2:$J$100, MATCH(TRUE, ISNUMBER(SEARCH(Validations!$I$2:$I$100, AT105)), 0)), "")</f>
        <v/>
      </c>
      <c r="AV105" s="12" t="str">
        <f>IFERROR(__xludf.DUMMYFUNCTION("IFERROR(VALUE(REGEXEXTRACT(AS105, ""\d+"")), """")"),"")</f>
        <v/>
      </c>
      <c r="AW105" s="12" t="str">
        <f>IFERROR(__xludf.DUMMYFUNCTION("IFERROR(TEXTJOIN("", "", TRUE, FILTER(Validations!$Q$2:$Q$100, ISNUMBER(SEARCH(Validations!$Q$2:$Q$100, AS105)))), """")"),"")</f>
        <v/>
      </c>
      <c r="AX105" s="28" t="s">
        <v>152</v>
      </c>
      <c r="AY105" s="28" t="str">
        <f>IFERROR(__xludf.DUMMYFUNCTION("TEXTJOIN("", "", TRUE, FILTER(Validations!$Y$2:$Y$100, ISNUMBER(SEARCH(Validations!$X$2:$X$100, AX105))))"),"V, S, R")</f>
        <v>V, S, R</v>
      </c>
      <c r="AZ105" s="20" t="s">
        <v>535</v>
      </c>
      <c r="BA105" s="22"/>
      <c r="BB105" s="22"/>
      <c r="BC105" s="22"/>
      <c r="BD105" s="36" t="s">
        <v>536</v>
      </c>
      <c r="BE105" s="27"/>
      <c r="BF105" s="22"/>
      <c r="BG105" s="27"/>
      <c r="BH105" s="27"/>
      <c r="BI105" s="12" t="str">
        <f>IFERROR(__xludf.DUMMYFUNCTION("IFERROR(TEXTJOIN("", "", TRUE, FILTER(SRD!$A$2:$A$1000, EXACT(SRD!$A$2:$A$1000, J105))), """")"),"")</f>
        <v/>
      </c>
      <c r="BJ105" s="29"/>
      <c r="BK105" s="29"/>
    </row>
    <row r="106" ht="15.75" customHeight="1">
      <c r="A106" s="11" t="s">
        <v>537</v>
      </c>
      <c r="B106" s="12"/>
      <c r="C106" s="16"/>
      <c r="D106" s="16" t="s">
        <v>538</v>
      </c>
      <c r="E106" s="16"/>
      <c r="F106" s="32" t="s">
        <v>123</v>
      </c>
      <c r="G106" s="15" t="s">
        <v>444</v>
      </c>
      <c r="H106" s="31" t="s">
        <v>140</v>
      </c>
      <c r="I106" s="16" t="str">
        <f t="array" ref="I106">INDEX(Validations!$C$2:$C$100, MATCH(TRUE, ISNUMBER(SEARCH(Validations!$B$2:$B$100, H106)), 0))</f>
        <v>N</v>
      </c>
      <c r="J106" s="17" t="s">
        <v>539</v>
      </c>
      <c r="K106" s="18"/>
      <c r="L106" s="17"/>
      <c r="M106" s="17"/>
      <c r="N106" s="27"/>
      <c r="O106" s="17" t="s">
        <v>540</v>
      </c>
      <c r="P106" s="21"/>
      <c r="Q106" s="21"/>
      <c r="R106" s="22"/>
      <c r="S106" s="17" t="str">
        <f>IFERROR(__xludf.DUMMYFUNCTION("IFERROR(REGEXEXTRACT(J106, ""(\d{1,3}[dD]\d{1,3})""), """")"),"1d3")</f>
        <v>1d3</v>
      </c>
      <c r="T106" s="17" t="str">
        <f>IFERROR(__xludf.DUMMYFUNCTION("IF(COUNTIF(ARRAYFORMULA(LOWER(Validations!$O$2:$O$100)), LOWER(REGEXEXTRACT(J106, ""\d{1,3}[dD]\d{1,3}\s+(\w+)"")))&gt;0, REGEXEXTRACT(J106, ""\d{1,3}[dD]\d{1,3}\s+(\w+)""), """")"),"chiaric")</f>
        <v>chiaric</v>
      </c>
      <c r="U106" s="17" t="str">
        <f>IFERROR(__xludf.DUMMYFUNCTION("IF(COUNTIF(ARRAYFORMULA(LOWER(Validations!$P$2:$P$100)), LOWER(REGEXEXTRACT(J106, ""\d{1,3}[dD]\d{1,3}\s+(\w+)"")))&gt;0, REGEXEXTRACT(J106, ""\d{1,3}[dD]\d{1,3}\s+(\w+)""), """")"),"")</f>
        <v/>
      </c>
      <c r="V106" s="12" t="str">
        <f>IFERROR(__xludf.DUMMYFUNCTION("TEXTJOIN("", "", TRUE, FILTER(Validations!$L$2:$L$100, ISNUMBER(SEARCH(Validations!$L$2:$L$100, J106))))"),"")</f>
        <v/>
      </c>
      <c r="W106" s="12" t="str">
        <f>IFERROR(__xludf.DUMMYFUNCTION("IFERROR(TEXTJOIN("", "", TRUE, FILTER(Validations!$M$2:$M$100, ISNUMBER(SEARCH(Validations!$M$2:$M$100 &amp; "" saving throw"", J106)))), """")"),"Dexterity")</f>
        <v>Dexterity</v>
      </c>
      <c r="X106" s="36" t="s">
        <v>541</v>
      </c>
      <c r="Y106" s="12"/>
      <c r="Z106" s="12" t="str">
        <f>IFERROR(__xludf.DUMMYFUNCTION("IFERROR(TEXTJOIN("", "", TRUE, FILTER(Validations!$N$2:$N$100, ISNUMBER(SEARCH(Validations!$N$2:$N$100 &amp; "" check"", J106)))), """")"),"")</f>
        <v/>
      </c>
      <c r="AA106" s="12" t="str">
        <f>IFERROR(__xludf.DUMMYFUNCTION("IFERROR(TEXTJOIN("", "", TRUE, FILTER(Validations!$N$2:$N$100, ISNUMBER(SEARCH(Validations!$N$2:$N$100 &amp; "" check"", W106)))), """")"),"")</f>
        <v/>
      </c>
      <c r="AB106" s="23" t="str">
        <f>IFERROR(__xludf.DUMMYFUNCTION("IFERROR(CONCATENATE(IF(ISNUMBER(SEARCH(Validations!$M$2:$M$100 &amp; "" spell save"", J106)),""Spell Save"",""""), REGEXEXTRACT(J106, ""DC (\d+)"")), """")"),"")</f>
        <v/>
      </c>
      <c r="AC106" s="24" t="b">
        <v>0</v>
      </c>
      <c r="AD106" s="24" t="b">
        <v>0</v>
      </c>
      <c r="AE106" s="36" t="s">
        <v>69</v>
      </c>
      <c r="AF106" s="25">
        <f>IFERROR(__xludf.DUMMYFUNCTION("IFERROR(VALUE(REGEXEXTRACT(AE106, ""\d+"")), 1)"),1.0)</f>
        <v>1</v>
      </c>
      <c r="AG106" s="12" t="str">
        <f>IFERROR(__xludf.DUMMYFUNCTION("IF(
  ISNUMBER(SEARCH(""Bonus Action"", AE106)),
  ""Bonus Action"",
  IF(
    ISNUMBER(SEARCH(""Reaction"", AE106)),
    ""Reaction"",
    IF(
      ISNUMBER(SEARCH(""Action"", AE106)),
      ""Action"",
      TEXTJOIN("", "", TRUE, FILTER(Validations!$S"&amp;"$2:$S$100, ISNUMBER(SEARCH(Validations!$S$2:$S$100, AE106))))
    )
  )
)"),"Action")</f>
        <v>Action</v>
      </c>
      <c r="AH106" s="36"/>
      <c r="AI106" s="27" t="s">
        <v>70</v>
      </c>
      <c r="AJ106" s="26" t="str">
        <f>IFERROR(__xludf.DUMMYFUNCTION("TEXTJOIN("", "", TRUE, FILTER(Validations!$T$2:$T$100, ISNUMBER(SEARCH(Validations!$T$2:$T$100, AI106))))"),"Instantaneous")</f>
        <v>Instantaneous</v>
      </c>
      <c r="AK106" s="26" t="str">
        <f>IFERROR(__xludf.DUMMYFUNCTION("IFERROR(VALUE(REGEXEXTRACT(AI106, ""\d+"")), """")"),"")</f>
        <v/>
      </c>
      <c r="AL106" s="26" t="str">
        <f>IFERROR(__xludf.DUMMYFUNCTION("TEXTJOIN("", "", TRUE, FILTER(Validations!$U$2:$U$100, ISNUMBER(SEARCH(Validations!$U$2:$U$100, AI106))))"),"")</f>
        <v/>
      </c>
      <c r="AM106" s="24" t="b">
        <f t="shared" si="1"/>
        <v>0</v>
      </c>
      <c r="AN106" s="24" t="b">
        <v>0</v>
      </c>
      <c r="AO106" s="22" t="s">
        <v>71</v>
      </c>
      <c r="AP106" s="12" t="str">
        <f>IFERROR(__xludf.DUMMYFUNCTION("IF(TEXTJOIN("", "", TRUE, FILTER(Validations!$Q$2:$Q$100, ISNUMBER(SEARCH(Validations!$Q$2:$Q$100, AO106)))) = """", Validations!$Q$2, TEXTJOIN("", "", TRUE, FILTER(Validations!$Q$2:$Q$100, ISNUMBER(SEARCH(Validations!$Q$2:$Q$100, AO106)))))"),"Point")</f>
        <v>Point</v>
      </c>
      <c r="AQ106" s="12" t="str">
        <f>IFERROR(__xludf.DUMMYFUNCTION("IFERROR(VALUE(REGEXEXTRACT(AO106, ""\d+"")), """")"),"")</f>
        <v/>
      </c>
      <c r="AR106" s="12" t="str">
        <f>IFERROR(__xludf.DUMMYFUNCTION("TEXTJOIN("", "", TRUE, FILTER(Validations!$R$2:$R$100, ISNUMBER(SEARCH(Validations!$R$2:$R$100, AO106))))"),"Touch")</f>
        <v>Touch</v>
      </c>
      <c r="AS106" s="27"/>
      <c r="AT106" s="12" t="str">
        <f>IFERROR(__xludf.DUMMYFUNCTION("IFERROR(TEXTJOIN("", "", TRUE, FILTER(Validations!$I$2:$I$100, ISNUMBER(SEARCH(Validations!$I$2:$I$100, AS106)))), """")"),"")</f>
        <v/>
      </c>
      <c r="AU106" s="16" t="str">
        <f t="array" ref="AU106">IFERROR(INDEX(Validations!$J$2:$J$100, MATCH(TRUE, ISNUMBER(SEARCH(Validations!$I$2:$I$100, AT106)), 0)), "")</f>
        <v/>
      </c>
      <c r="AV106" s="12" t="str">
        <f>IFERROR(__xludf.DUMMYFUNCTION("IFERROR(VALUE(REGEXEXTRACT(AS106, ""\d+"")), """")"),"")</f>
        <v/>
      </c>
      <c r="AW106" s="12" t="str">
        <f>IFERROR(__xludf.DUMMYFUNCTION("IFERROR(TEXTJOIN("", "", TRUE, FILTER(Validations!$Q$2:$Q$100, ISNUMBER(SEARCH(Validations!$Q$2:$Q$100, AS106)))), """")"),"")</f>
        <v/>
      </c>
      <c r="AX106" s="28" t="s">
        <v>106</v>
      </c>
      <c r="AY106" s="28" t="str">
        <f>IFERROR(__xludf.DUMMYFUNCTION("TEXTJOIN("", "", TRUE, FILTER(Validations!$Y$2:$Y$100, ISNUMBER(SEARCH(Validations!$X$2:$X$100, AX106))))"),"S")</f>
        <v>S</v>
      </c>
      <c r="AZ106" s="27"/>
      <c r="BA106" s="22"/>
      <c r="BB106" s="22"/>
      <c r="BC106" s="22"/>
      <c r="BD106" s="22"/>
      <c r="BE106" s="27"/>
      <c r="BF106" s="22"/>
      <c r="BG106" s="27"/>
      <c r="BH106" s="27"/>
      <c r="BI106" s="12" t="str">
        <f>IFERROR(__xludf.DUMMYFUNCTION("IFERROR(TEXTJOIN("", "", TRUE, FILTER(SRD!$A$2:$A$1000, EXACT(SRD!$A$2:$A$1000, J106))), """")"),"")</f>
        <v/>
      </c>
      <c r="BJ106" s="29"/>
      <c r="BK106" s="29"/>
    </row>
    <row r="107" ht="15.75" customHeight="1">
      <c r="A107" s="11" t="s">
        <v>542</v>
      </c>
      <c r="B107" s="12"/>
      <c r="C107" s="13"/>
      <c r="D107" s="13" t="s">
        <v>62</v>
      </c>
      <c r="E107" s="13"/>
      <c r="F107" s="14" t="s">
        <v>199</v>
      </c>
      <c r="G107" s="50" t="s">
        <v>444</v>
      </c>
      <c r="H107" s="16" t="s">
        <v>178</v>
      </c>
      <c r="I107" s="16" t="str">
        <f t="array" ref="I107">INDEX(Validations!$C$2:$C$100, MATCH(TRUE, ISNUMBER(SEARCH(Validations!$B$2:$B$100, H107)), 0))</f>
        <v>A</v>
      </c>
      <c r="J107" s="17" t="s">
        <v>543</v>
      </c>
      <c r="K107" s="18"/>
      <c r="L107" s="17"/>
      <c r="M107" s="37"/>
      <c r="N107" s="20" t="s">
        <v>544</v>
      </c>
      <c r="O107" s="17" t="s">
        <v>545</v>
      </c>
      <c r="P107" s="21"/>
      <c r="Q107" s="21"/>
      <c r="R107" s="22"/>
      <c r="S107" s="17" t="str">
        <f>IFERROR(__xludf.DUMMYFUNCTION("IFERROR(REGEXEXTRACT(J107, ""(\d{1,3}[dD]\d{1,3})""), """")"),"")</f>
        <v/>
      </c>
      <c r="T107" s="17" t="str">
        <f>IFERROR(__xludf.DUMMYFUNCTION("IF(COUNTIF(ARRAYFORMULA(LOWER(Validations!$O$2:$O$100)), LOWER(REGEXEXTRACT(J107, ""\d{1,3}[dD]\d{1,3}\s+(\w+)"")))&gt;0, REGEXEXTRACT(J107, ""\d{1,3}[dD]\d{1,3}\s+(\w+)""), """")"),"")</f>
        <v/>
      </c>
      <c r="U107" s="17" t="str">
        <f>IFERROR(__xludf.DUMMYFUNCTION("IF(COUNTIF(ARRAYFORMULA(LOWER(Validations!$P$2:$P$100)), LOWER(REGEXEXTRACT(J107, ""\d{1,3}[dD]\d{1,3}\s+(\w+)"")))&gt;0, REGEXEXTRACT(J107, ""\d{1,3}[dD]\d{1,3}\s+(\w+)""), """")"),"")</f>
        <v/>
      </c>
      <c r="V107" s="12" t="str">
        <f>IFERROR(__xludf.DUMMYFUNCTION("TEXTJOIN("", "", TRUE, FILTER(Validations!$L$2:$L$100, ISNUMBER(SEARCH(Validations!$L$2:$L$100, J107))))"),"")</f>
        <v/>
      </c>
      <c r="W107" s="12" t="str">
        <f>IFERROR(__xludf.DUMMYFUNCTION("IFERROR(TEXTJOIN("", "", TRUE, FILTER(Validations!$M$2:$M$100, ISNUMBER(SEARCH(Validations!$M$2:$M$100 &amp; "" saving throw"", J107)))), """")"),"Wisdom")</f>
        <v>Wisdom</v>
      </c>
      <c r="X107" s="12"/>
      <c r="Y107" s="12"/>
      <c r="Z107" s="12" t="str">
        <f>IFERROR(__xludf.DUMMYFUNCTION("IFERROR(TEXTJOIN("", "", TRUE, FILTER(Validations!$N$2:$N$100, ISNUMBER(SEARCH(Validations!$N$2:$N$100 &amp; "" check"", J107)))), """")"),"")</f>
        <v/>
      </c>
      <c r="AA107" s="12" t="str">
        <f>IFERROR(__xludf.DUMMYFUNCTION("IFERROR(TEXTJOIN("", "", TRUE, FILTER(Validations!$N$2:$N$100, ISNUMBER(SEARCH(Validations!$N$2:$N$100 &amp; "" check"", W107)))), """")"),"")</f>
        <v/>
      </c>
      <c r="AB107" s="23" t="str">
        <f>IFERROR(__xludf.DUMMYFUNCTION("IFERROR(CONCATENATE(IF(ISNUMBER(SEARCH(Validations!$M$2:$M$100 &amp; "" spell save"", J107)),""Spell Save"",""""), REGEXEXTRACT(J107, ""DC (\d+)"")), """")"),"10")</f>
        <v>10</v>
      </c>
      <c r="AC107" s="24" t="b">
        <v>0</v>
      </c>
      <c r="AD107" s="24" t="b">
        <v>0</v>
      </c>
      <c r="AE107" s="12" t="s">
        <v>69</v>
      </c>
      <c r="AF107" s="25">
        <f>IFERROR(__xludf.DUMMYFUNCTION("IFERROR(VALUE(REGEXEXTRACT(AE107, ""\d+"")), 1)"),1.0)</f>
        <v>1</v>
      </c>
      <c r="AG107" s="12" t="str">
        <f>IFERROR(__xludf.DUMMYFUNCTION("IF(
  ISNUMBER(SEARCH(""Bonus Action"", AE107)),
  ""Bonus Action"",
  IF(
    ISNUMBER(SEARCH(""Reaction"", AE107)),
    ""Reaction"",
    IF(
      ISNUMBER(SEARCH(""Action"", AE107)),
      ""Action"",
      TEXTJOIN("", "", TRUE, FILTER(Validations!$S"&amp;"$2:$S$100, ISNUMBER(SEARCH(Validations!$S$2:$S$100, AE107))))
    )
  )
)"),"Action")</f>
        <v>Action</v>
      </c>
      <c r="AH107" s="12"/>
      <c r="AI107" s="26" t="s">
        <v>70</v>
      </c>
      <c r="AJ107" s="26" t="str">
        <f>IFERROR(__xludf.DUMMYFUNCTION("TEXTJOIN("", "", TRUE, FILTER(Validations!$T$2:$T$100, ISNUMBER(SEARCH(Validations!$T$2:$T$100, AI107))))"),"Instantaneous")</f>
        <v>Instantaneous</v>
      </c>
      <c r="AK107" s="26" t="str">
        <f>IFERROR(__xludf.DUMMYFUNCTION("IFERROR(VALUE(REGEXEXTRACT(AI107, ""\d+"")), """")"),"")</f>
        <v/>
      </c>
      <c r="AL107" s="26" t="str">
        <f>IFERROR(__xludf.DUMMYFUNCTION("TEXTJOIN("", "", TRUE, FILTER(Validations!$U$2:$U$100, ISNUMBER(SEARCH(Validations!$U$2:$U$100, AI107))))"),"")</f>
        <v/>
      </c>
      <c r="AM107" s="24" t="b">
        <f t="shared" si="1"/>
        <v>0</v>
      </c>
      <c r="AN107" s="24" t="b">
        <v>0</v>
      </c>
      <c r="AO107" s="36" t="s">
        <v>546</v>
      </c>
      <c r="AP107" s="12" t="str">
        <f>IFERROR(__xludf.DUMMYFUNCTION("IF(TEXTJOIN("", "", TRUE, FILTER(Validations!$Q$2:$Q$100, ISNUMBER(SEARCH(Validations!$Q$2:$Q$100, AO107)))) = """", Validations!$Q$2, TEXTJOIN("", "", TRUE, FILTER(Validations!$Q$2:$Q$100, ISNUMBER(SEARCH(Validations!$Q$2:$Q$100, AO107)))))"),"Point")</f>
        <v>Point</v>
      </c>
      <c r="AQ107" s="12" t="str">
        <f>IFERROR(__xludf.DUMMYFUNCTION("IFERROR(VALUE(REGEXEXTRACT(AO107, ""\d+"")), """")"),"")</f>
        <v/>
      </c>
      <c r="AR107" s="12" t="str">
        <f>IFERROR(__xludf.DUMMYFUNCTION("TEXTJOIN("", "", TRUE, FILTER(Validations!$R$2:$R$100, ISNUMBER(SEARCH(Validations!$R$2:$R$100, AO107))))"),"Self")</f>
        <v>Self</v>
      </c>
      <c r="AS107" s="27"/>
      <c r="AT107" s="12" t="str">
        <f>IFERROR(__xludf.DUMMYFUNCTION("IFERROR(TEXTJOIN("", "", TRUE, FILTER(Validations!$I$2:$I$100, ISNUMBER(SEARCH(Validations!$I$2:$I$100, AS107)))), """")"),"")</f>
        <v/>
      </c>
      <c r="AU107" s="16" t="str">
        <f t="array" ref="AU107">IFERROR(INDEX(Validations!$J$2:$J$100, MATCH(TRUE, ISNUMBER(SEARCH(Validations!$I$2:$I$100, AT107)), 0)), "")</f>
        <v/>
      </c>
      <c r="AV107" s="12" t="str">
        <f>IFERROR(__xludf.DUMMYFUNCTION("IFERROR(VALUE(REGEXEXTRACT(AS107, ""\d+"")), """")"),"")</f>
        <v/>
      </c>
      <c r="AW107" s="12" t="str">
        <f>IFERROR(__xludf.DUMMYFUNCTION("IFERROR(TEXTJOIN("", "", TRUE, FILTER(Validations!$Q$2:$Q$100, ISNUMBER(SEARCH(Validations!$Q$2:$Q$100, AS107)))), """")"),"")</f>
        <v/>
      </c>
      <c r="AX107" s="28" t="s">
        <v>72</v>
      </c>
      <c r="AY107" s="28" t="str">
        <f>IFERROR(__xludf.DUMMYFUNCTION("TEXTJOIN("", "", TRUE, FILTER(Validations!$Y$2:$Y$100, ISNUMBER(SEARCH(Validations!$X$2:$X$100, AX107))))"),"V, S")</f>
        <v>V, S</v>
      </c>
      <c r="AZ107" s="26"/>
      <c r="BA107" s="12"/>
      <c r="BB107" s="22"/>
      <c r="BC107" s="22"/>
      <c r="BD107" s="22"/>
      <c r="BE107" s="27"/>
      <c r="BF107" s="22"/>
      <c r="BG107" s="27"/>
      <c r="BH107" s="27"/>
      <c r="BI107" s="12" t="str">
        <f>IFERROR(__xludf.DUMMYFUNCTION("IFERROR(TEXTJOIN("", "", TRUE, FILTER(SRD!$A$2:$A$1000, EXACT(SRD!$A$2:$A$1000, J107))), """")"),"")</f>
        <v/>
      </c>
      <c r="BJ107" s="29"/>
      <c r="BK107" s="29"/>
    </row>
    <row r="108" ht="15.75" customHeight="1">
      <c r="A108" s="11" t="s">
        <v>547</v>
      </c>
      <c r="B108" s="12"/>
      <c r="C108" s="13"/>
      <c r="D108" s="13" t="s">
        <v>122</v>
      </c>
      <c r="E108" s="13"/>
      <c r="F108" s="14" t="s">
        <v>548</v>
      </c>
      <c r="G108" s="50" t="s">
        <v>444</v>
      </c>
      <c r="H108" s="31" t="s">
        <v>76</v>
      </c>
      <c r="I108" s="16" t="str">
        <f t="array" ref="I108">INDEX(Validations!$C$2:$C$100, MATCH(TRUE, ISNUMBER(SEARCH(Validations!$B$2:$B$100, H108)), 0))</f>
        <v>V</v>
      </c>
      <c r="J108" s="17" t="s">
        <v>549</v>
      </c>
      <c r="K108" s="18"/>
      <c r="L108" s="17"/>
      <c r="M108" s="37"/>
      <c r="N108" s="27"/>
      <c r="O108" s="17" t="s">
        <v>550</v>
      </c>
      <c r="P108" s="21"/>
      <c r="Q108" s="21"/>
      <c r="R108" s="22"/>
      <c r="S108" s="17" t="str">
        <f>IFERROR(__xludf.DUMMYFUNCTION("IFERROR(REGEXEXTRACT(J108, ""(\d{1,3}[dD]\d{1,3})""), """")"),"1d8")</f>
        <v>1d8</v>
      </c>
      <c r="T108" s="17" t="str">
        <f>IFERROR(__xludf.DUMMYFUNCTION("IF(COUNTIF(ARRAYFORMULA(LOWER(Validations!$O$2:$O$100)), LOWER(REGEXEXTRACT(J108, ""\d{1,3}[dD]\d{1,3}\s+(\w+)"")))&gt;0, REGEXEXTRACT(J108, ""\d{1,3}[dD]\d{1,3}\s+(\w+)""), """")"),"impact")</f>
        <v>impact</v>
      </c>
      <c r="U108" s="17" t="str">
        <f>IFERROR(__xludf.DUMMYFUNCTION("IF(COUNTIF(ARRAYFORMULA(LOWER(Validations!$P$2:$P$100)), LOWER(REGEXEXTRACT(J108, ""\d{1,3}[dD]\d{1,3}\s+(\w+)"")))&gt;0, REGEXEXTRACT(J108, ""\d{1,3}[dD]\d{1,3}\s+(\w+)""), """")"),"")</f>
        <v/>
      </c>
      <c r="V108" s="12" t="str">
        <f>IFERROR(__xludf.DUMMYFUNCTION("TEXTJOIN("", "", TRUE, FILTER(Validations!$L$2:$L$100, ISNUMBER(SEARCH(Validations!$L$2:$L$100, J108))))"),"")</f>
        <v/>
      </c>
      <c r="W108" s="12" t="str">
        <f>IFERROR(__xludf.DUMMYFUNCTION("IFERROR(TEXTJOIN("", "", TRUE, FILTER(Validations!$M$2:$M$100, ISNUMBER(SEARCH(Validations!$M$2:$M$100 &amp; "" saving throw"", J108)))), """")"),"Charisma")</f>
        <v>Charisma</v>
      </c>
      <c r="X108" s="12"/>
      <c r="Y108" s="12"/>
      <c r="Z108" s="12" t="str">
        <f>IFERROR(__xludf.DUMMYFUNCTION("IFERROR(TEXTJOIN("", "", TRUE, FILTER(Validations!$N$2:$N$100, ISNUMBER(SEARCH(Validations!$N$2:$N$100 &amp; "" check"", J108)))), """")"),"")</f>
        <v/>
      </c>
      <c r="AA108" s="12" t="str">
        <f>IFERROR(__xludf.DUMMYFUNCTION("IFERROR(TEXTJOIN("", "", TRUE, FILTER(Validations!$N$2:$N$100, ISNUMBER(SEARCH(Validations!$N$2:$N$100 &amp; "" check"", W108)))), """")"),"")</f>
        <v/>
      </c>
      <c r="AB108" s="23" t="str">
        <f>IFERROR(__xludf.DUMMYFUNCTION("IFERROR(CONCATENATE(IF(ISNUMBER(SEARCH(Validations!$M$2:$M$100 &amp; "" spell save"", J108)),""Spell Save"",""""), REGEXEXTRACT(J108, ""DC (\d+)"")), """")"),"")</f>
        <v/>
      </c>
      <c r="AC108" s="24" t="b">
        <v>0</v>
      </c>
      <c r="AD108" s="24" t="b">
        <v>0</v>
      </c>
      <c r="AE108" s="12" t="s">
        <v>69</v>
      </c>
      <c r="AF108" s="25">
        <f>IFERROR(__xludf.DUMMYFUNCTION("IFERROR(VALUE(REGEXEXTRACT(AE108, ""\d+"")), 1)"),1.0)</f>
        <v>1</v>
      </c>
      <c r="AG108" s="12" t="str">
        <f>IFERROR(__xludf.DUMMYFUNCTION("IF(
  ISNUMBER(SEARCH(""Bonus Action"", AE108)),
  ""Bonus Action"",
  IF(
    ISNUMBER(SEARCH(""Reaction"", AE108)),
    ""Reaction"",
    IF(
      ISNUMBER(SEARCH(""Action"", AE108)),
      ""Action"",
      TEXTJOIN("", "", TRUE, FILTER(Validations!$S"&amp;"$2:$S$100, ISNUMBER(SEARCH(Validations!$S$2:$S$100, AE108))))
    )
  )
)"),"Action")</f>
        <v>Action</v>
      </c>
      <c r="AH108" s="12"/>
      <c r="AI108" s="26" t="s">
        <v>70</v>
      </c>
      <c r="AJ108" s="26" t="str">
        <f>IFERROR(__xludf.DUMMYFUNCTION("TEXTJOIN("", "", TRUE, FILTER(Validations!$T$2:$T$100, ISNUMBER(SEARCH(Validations!$T$2:$T$100, AI108))))"),"Instantaneous")</f>
        <v>Instantaneous</v>
      </c>
      <c r="AK108" s="26" t="str">
        <f>IFERROR(__xludf.DUMMYFUNCTION("IFERROR(VALUE(REGEXEXTRACT(AI108, ""\d+"")), """")"),"")</f>
        <v/>
      </c>
      <c r="AL108" s="26" t="str">
        <f>IFERROR(__xludf.DUMMYFUNCTION("TEXTJOIN("", "", TRUE, FILTER(Validations!$U$2:$U$100, ISNUMBER(SEARCH(Validations!$U$2:$U$100, AI108))))"),"")</f>
        <v/>
      </c>
      <c r="AM108" s="24" t="b">
        <f t="shared" si="1"/>
        <v>0</v>
      </c>
      <c r="AN108" s="24" t="b">
        <v>0</v>
      </c>
      <c r="AO108" s="12" t="s">
        <v>71</v>
      </c>
      <c r="AP108" s="12" t="str">
        <f>IFERROR(__xludf.DUMMYFUNCTION("IF(TEXTJOIN("", "", TRUE, FILTER(Validations!$Q$2:$Q$100, ISNUMBER(SEARCH(Validations!$Q$2:$Q$100, AO108)))) = """", Validations!$Q$2, TEXTJOIN("", "", TRUE, FILTER(Validations!$Q$2:$Q$100, ISNUMBER(SEARCH(Validations!$Q$2:$Q$100, AO108)))))"),"Point")</f>
        <v>Point</v>
      </c>
      <c r="AQ108" s="12" t="str">
        <f>IFERROR(__xludf.DUMMYFUNCTION("IFERROR(VALUE(REGEXEXTRACT(AO108, ""\d+"")), """")"),"")</f>
        <v/>
      </c>
      <c r="AR108" s="12" t="str">
        <f>IFERROR(__xludf.DUMMYFUNCTION("TEXTJOIN("", "", TRUE, FILTER(Validations!$R$2:$R$100, ISNUMBER(SEARCH(Validations!$R$2:$R$100, AO108))))"),"Touch")</f>
        <v>Touch</v>
      </c>
      <c r="AS108" s="27"/>
      <c r="AT108" s="12" t="str">
        <f>IFERROR(__xludf.DUMMYFUNCTION("IFERROR(TEXTJOIN("", "", TRUE, FILTER(Validations!$I$2:$I$100, ISNUMBER(SEARCH(Validations!$I$2:$I$100, AS108)))), """")"),"")</f>
        <v/>
      </c>
      <c r="AU108" s="16" t="str">
        <f t="array" ref="AU108">IFERROR(INDEX(Validations!$J$2:$J$100, MATCH(TRUE, ISNUMBER(SEARCH(Validations!$I$2:$I$100, AT108)), 0)), "")</f>
        <v/>
      </c>
      <c r="AV108" s="12" t="str">
        <f>IFERROR(__xludf.DUMMYFUNCTION("IFERROR(VALUE(REGEXEXTRACT(AS108, ""\d+"")), """")"),"")</f>
        <v/>
      </c>
      <c r="AW108" s="12" t="str">
        <f>IFERROR(__xludf.DUMMYFUNCTION("IFERROR(TEXTJOIN("", "", TRUE, FILTER(Validations!$Q$2:$Q$100, ISNUMBER(SEARCH(Validations!$Q$2:$Q$100, AS108)))), """")"),"")</f>
        <v/>
      </c>
      <c r="AX108" s="28" t="s">
        <v>72</v>
      </c>
      <c r="AY108" s="28" t="str">
        <f>IFERROR(__xludf.DUMMYFUNCTION("TEXTJOIN("", "", TRUE, FILTER(Validations!$Y$2:$Y$100, ISNUMBER(SEARCH(Validations!$X$2:$X$100, AX108))))"),"V, S")</f>
        <v>V, S</v>
      </c>
      <c r="AZ108" s="26"/>
      <c r="BA108" s="12"/>
      <c r="BB108" s="22"/>
      <c r="BC108" s="22"/>
      <c r="BD108" s="22"/>
      <c r="BE108" s="27"/>
      <c r="BF108" s="22"/>
      <c r="BG108" s="27"/>
      <c r="BH108" s="27"/>
      <c r="BI108" s="12" t="str">
        <f>IFERROR(__xludf.DUMMYFUNCTION("IFERROR(TEXTJOIN("", "", TRUE, FILTER(SRD!$A$2:$A$1000, EXACT(SRD!$A$2:$A$1000, J108))), """")"),"")</f>
        <v/>
      </c>
      <c r="BJ108" s="29"/>
      <c r="BK108" s="29"/>
    </row>
    <row r="109" ht="15.75" customHeight="1">
      <c r="A109" s="11" t="s">
        <v>551</v>
      </c>
      <c r="B109" s="12"/>
      <c r="C109" s="13"/>
      <c r="D109" s="13" t="s">
        <v>62</v>
      </c>
      <c r="E109" s="13"/>
      <c r="F109" s="14" t="s">
        <v>552</v>
      </c>
      <c r="G109" s="50" t="s">
        <v>444</v>
      </c>
      <c r="H109" s="31" t="s">
        <v>85</v>
      </c>
      <c r="I109" s="16" t="str">
        <f t="array" ref="I109">INDEX(Validations!$C$2:$C$100, MATCH(TRUE, ISNUMBER(SEARCH(Validations!$B$2:$B$100, H109)), 0))</f>
        <v>T</v>
      </c>
      <c r="J109" s="17" t="s">
        <v>553</v>
      </c>
      <c r="K109" s="18"/>
      <c r="L109" s="17"/>
      <c r="M109" s="37" t="s">
        <v>554</v>
      </c>
      <c r="N109" s="27"/>
      <c r="O109" s="17"/>
      <c r="P109" s="21"/>
      <c r="Q109" s="21"/>
      <c r="R109" s="22"/>
      <c r="S109" s="17" t="str">
        <f>IFERROR(__xludf.DUMMYFUNCTION("IFERROR(REGEXEXTRACT(J109, ""(\d{1,3}[dD]\d{1,3})""), """")"),"")</f>
        <v/>
      </c>
      <c r="T109" s="17" t="str">
        <f>IFERROR(__xludf.DUMMYFUNCTION("IF(COUNTIF(ARRAYFORMULA(LOWER(Validations!$O$2:$O$100)), LOWER(REGEXEXTRACT(J109, ""\d{1,3}[dD]\d{1,3}\s+(\w+)"")))&gt;0, REGEXEXTRACT(J109, ""\d{1,3}[dD]\d{1,3}\s+(\w+)""), """")"),"")</f>
        <v/>
      </c>
      <c r="U109" s="17" t="str">
        <f>IFERROR(__xludf.DUMMYFUNCTION("IF(COUNTIF(ARRAYFORMULA(LOWER(Validations!$P$2:$P$100)), LOWER(REGEXEXTRACT(J109, ""\d{1,3}[dD]\d{1,3}\s+(\w+)"")))&gt;0, REGEXEXTRACT(J109, ""\d{1,3}[dD]\d{1,3}\s+(\w+)""), """")"),"")</f>
        <v/>
      </c>
      <c r="V109" s="12" t="str">
        <f>IFERROR(__xludf.DUMMYFUNCTION("TEXTJOIN("", "", TRUE, FILTER(Validations!$L$2:$L$100, ISNUMBER(SEARCH(Validations!$L$2:$L$100, J109))))"),"")</f>
        <v/>
      </c>
      <c r="W109" s="12" t="str">
        <f>IFERROR(__xludf.DUMMYFUNCTION("IFERROR(TEXTJOIN("", "", TRUE, FILTER(Validations!$M$2:$M$100, ISNUMBER(SEARCH(Validations!$M$2:$M$100 &amp; "" saving throw"", J109)))), """")"),"Wisdom")</f>
        <v>Wisdom</v>
      </c>
      <c r="X109" s="12"/>
      <c r="Y109" s="12"/>
      <c r="Z109" s="12" t="str">
        <f>IFERROR(__xludf.DUMMYFUNCTION("IFERROR(TEXTJOIN("", "", TRUE, FILTER(Validations!$N$2:$N$100, ISNUMBER(SEARCH(Validations!$N$2:$N$100 &amp; "" check"", J109)))), """")"),"")</f>
        <v/>
      </c>
      <c r="AA109" s="12" t="str">
        <f>IFERROR(__xludf.DUMMYFUNCTION("IFERROR(TEXTJOIN("", "", TRUE, FILTER(Validations!$N$2:$N$100, ISNUMBER(SEARCH(Validations!$N$2:$N$100 &amp; "" check"", W109)))), """")"),"")</f>
        <v/>
      </c>
      <c r="AB109" s="54" t="s">
        <v>555</v>
      </c>
      <c r="AC109" s="42" t="b">
        <v>0</v>
      </c>
      <c r="AD109" s="42" t="b">
        <v>0</v>
      </c>
      <c r="AE109" s="12" t="s">
        <v>69</v>
      </c>
      <c r="AF109" s="25">
        <f>IFERROR(__xludf.DUMMYFUNCTION("IFERROR(VALUE(REGEXEXTRACT(AE109, ""\d+"")), 1)"),1.0)</f>
        <v>1</v>
      </c>
      <c r="AG109" s="12" t="str">
        <f>IFERROR(__xludf.DUMMYFUNCTION("IF(
  ISNUMBER(SEARCH(""Bonus Action"", AE109)),
  ""Bonus Action"",
  IF(
    ISNUMBER(SEARCH(""Reaction"", AE109)),
    ""Reaction"",
    IF(
      ISNUMBER(SEARCH(""Action"", AE109)),
      ""Action"",
      TEXTJOIN("", "", TRUE, FILTER(Validations!$S"&amp;"$2:$S$100, ISNUMBER(SEARCH(Validations!$S$2:$S$100, AE109))))
    )
  )
)"),"Action")</f>
        <v>Action</v>
      </c>
      <c r="AH109" s="12"/>
      <c r="AI109" s="20" t="s">
        <v>556</v>
      </c>
      <c r="AJ109" s="26" t="str">
        <f>IFERROR(__xludf.DUMMYFUNCTION("TEXTJOIN("", "", TRUE, FILTER(Validations!$T$2:$T$100, ISNUMBER(SEARCH(Validations!$T$2:$T$100, AI109))))"),"")</f>
        <v/>
      </c>
      <c r="AK109" s="26">
        <f>IFERROR(__xludf.DUMMYFUNCTION("IFERROR(VALUE(REGEXEXTRACT(AI109, ""\d+"")), """")"),1.0)</f>
        <v>1</v>
      </c>
      <c r="AL109" s="26" t="str">
        <f>IFERROR(__xludf.DUMMYFUNCTION("TEXTJOIN("", "", TRUE, FILTER(Validations!$U$2:$U$100, ISNUMBER(SEARCH(Validations!$U$2:$U$100, AI109))))"),"Minutes")</f>
        <v>Minutes</v>
      </c>
      <c r="AM109" s="24" t="b">
        <f t="shared" si="1"/>
        <v>1</v>
      </c>
      <c r="AN109" s="24" t="b">
        <v>0</v>
      </c>
      <c r="AO109" s="36" t="s">
        <v>440</v>
      </c>
      <c r="AP109" s="12" t="str">
        <f>IFERROR(__xludf.DUMMYFUNCTION("IF(TEXTJOIN("", "", TRUE, FILTER(Validations!$Q$2:$Q$100, ISNUMBER(SEARCH(Validations!$Q$2:$Q$100, AO109)))) = """", Validations!$Q$2, TEXTJOIN("", "", TRUE, FILTER(Validations!$Q$2:$Q$100, ISNUMBER(SEARCH(Validations!$Q$2:$Q$100, AO109)))))"),"Point")</f>
        <v>Point</v>
      </c>
      <c r="AQ109" s="12">
        <f>IFERROR(__xludf.DUMMYFUNCTION("IFERROR(VALUE(REGEXEXTRACT(AO109, ""\d+"")), """")"),60.0)</f>
        <v>60</v>
      </c>
      <c r="AR109" s="12" t="str">
        <f>IFERROR(__xludf.DUMMYFUNCTION("TEXTJOIN("", "", TRUE, FILTER(Validations!$R$2:$R$100, ISNUMBER(SEARCH(Validations!$R$2:$R$100, AO109))))"),"Feet")</f>
        <v>Feet</v>
      </c>
      <c r="AS109" s="27"/>
      <c r="AT109" s="12" t="str">
        <f>IFERROR(__xludf.DUMMYFUNCTION("IFERROR(TEXTJOIN("", "", TRUE, FILTER(Validations!$I$2:$I$100, ISNUMBER(SEARCH(Validations!$I$2:$I$100, AS109)))), """")"),"")</f>
        <v/>
      </c>
      <c r="AU109" s="16" t="str">
        <f t="array" ref="AU109">IFERROR(INDEX(Validations!$J$2:$J$100, MATCH(TRUE, ISNUMBER(SEARCH(Validations!$I$2:$I$100, AT109)), 0)), "")</f>
        <v/>
      </c>
      <c r="AV109" s="12" t="str">
        <f>IFERROR(__xludf.DUMMYFUNCTION("IFERROR(VALUE(REGEXEXTRACT(AS109, ""\d+"")), """")"),"")</f>
        <v/>
      </c>
      <c r="AW109" s="12" t="str">
        <f>IFERROR(__xludf.DUMMYFUNCTION("IFERROR(TEXTJOIN("", "", TRUE, FILTER(Validations!$Q$2:$Q$100, ISNUMBER(SEARCH(Validations!$Q$2:$Q$100, AS109)))), """")"),"")</f>
        <v/>
      </c>
      <c r="AX109" s="28" t="s">
        <v>557</v>
      </c>
      <c r="AY109" s="28" t="str">
        <f>IFERROR(__xludf.DUMMYFUNCTION("TEXTJOIN("", "", TRUE, FILTER(Validations!$Y$2:$Y$100, ISNUMBER(SEARCH(Validations!$X$2:$X$100, AX109))))"),"S, R")</f>
        <v>S, R</v>
      </c>
      <c r="AZ109" s="20" t="s">
        <v>558</v>
      </c>
      <c r="BA109" s="12"/>
      <c r="BB109" s="22"/>
      <c r="BC109" s="22"/>
      <c r="BD109" s="22"/>
      <c r="BE109" s="27"/>
      <c r="BF109" s="22"/>
      <c r="BG109" s="27"/>
      <c r="BH109" s="27"/>
      <c r="BI109" s="12" t="str">
        <f>IFERROR(__xludf.DUMMYFUNCTION("IFERROR(TEXTJOIN("", "", TRUE, FILTER(SRD!$A$2:$A$1000, EXACT(SRD!$A$2:$A$1000, J109))), """")"),"")</f>
        <v/>
      </c>
      <c r="BJ109" s="29"/>
      <c r="BK109" s="29"/>
    </row>
    <row r="110" ht="15.75" customHeight="1">
      <c r="A110" s="30" t="s">
        <v>559</v>
      </c>
      <c r="B110" s="22"/>
      <c r="C110" s="16"/>
      <c r="D110" s="16" t="s">
        <v>302</v>
      </c>
      <c r="E110" s="16"/>
      <c r="F110" s="32" t="s">
        <v>560</v>
      </c>
      <c r="G110" s="50" t="s">
        <v>444</v>
      </c>
      <c r="H110" s="16" t="s">
        <v>178</v>
      </c>
      <c r="I110" s="16" t="str">
        <f t="array" ref="I110">INDEX(Validations!$C$2:$C$100, MATCH(TRUE, ISNUMBER(SEARCH(Validations!$B$2:$B$100, H110)), 0))</f>
        <v>A</v>
      </c>
      <c r="J110" s="17" t="s">
        <v>561</v>
      </c>
      <c r="K110" s="18"/>
      <c r="L110" s="17"/>
      <c r="M110" s="17"/>
      <c r="N110" s="27"/>
      <c r="O110" s="17"/>
      <c r="P110" s="21"/>
      <c r="Q110" s="21"/>
      <c r="R110" s="22"/>
      <c r="S110" s="17" t="str">
        <f>IFERROR(__xludf.DUMMYFUNCTION("IFERROR(REGEXEXTRACT(J110, ""(\d{1,3}[dD]\d{1,3})""), """")"),"")</f>
        <v/>
      </c>
      <c r="T110" s="17" t="str">
        <f>IFERROR(__xludf.DUMMYFUNCTION("IF(COUNTIF(ARRAYFORMULA(LOWER(Validations!$O$2:$O$100)), LOWER(REGEXEXTRACT(J110, ""\d{1,3}[dD]\d{1,3}\s+(\w+)"")))&gt;0, REGEXEXTRACT(J110, ""\d{1,3}[dD]\d{1,3}\s+(\w+)""), """")"),"")</f>
        <v/>
      </c>
      <c r="U110" s="17" t="str">
        <f>IFERROR(__xludf.DUMMYFUNCTION("IF(COUNTIF(ARRAYFORMULA(LOWER(Validations!$P$2:$P$100)), LOWER(REGEXEXTRACT(J110, ""\d{1,3}[dD]\d{1,3}\s+(\w+)"")))&gt;0, REGEXEXTRACT(J110, ""\d{1,3}[dD]\d{1,3}\s+(\w+)""), """")"),"")</f>
        <v/>
      </c>
      <c r="V110" s="12" t="str">
        <f>IFERROR(__xludf.DUMMYFUNCTION("TEXTJOIN("", "", TRUE, FILTER(Validations!$L$2:$L$100, ISNUMBER(SEARCH(Validations!$L$2:$L$100, J110))))"),"Exhaustion")</f>
        <v>Exhaustion</v>
      </c>
      <c r="W110" s="12" t="str">
        <f>IFERROR(__xludf.DUMMYFUNCTION("IFERROR(TEXTJOIN("", "", TRUE, FILTER(Validations!$M$2:$M$100, ISNUMBER(SEARCH(Validations!$M$2:$M$100 &amp; "" saving throw"", J110)))), """")"),"")</f>
        <v/>
      </c>
      <c r="X110" s="12"/>
      <c r="Y110" s="12"/>
      <c r="Z110" s="12" t="str">
        <f>IFERROR(__xludf.DUMMYFUNCTION("IFERROR(TEXTJOIN("", "", TRUE, FILTER(Validations!$N$2:$N$100, ISNUMBER(SEARCH(Validations!$N$2:$N$100 &amp; "" check"", J110)))), """")"),"")</f>
        <v/>
      </c>
      <c r="AA110" s="12" t="str">
        <f>IFERROR(__xludf.DUMMYFUNCTION("IFERROR(TEXTJOIN("", "", TRUE, FILTER(Validations!$N$2:$N$100, ISNUMBER(SEARCH(Validations!$N$2:$N$100 &amp; "" check"", W110)))), """")"),"")</f>
        <v/>
      </c>
      <c r="AB110" s="23" t="str">
        <f>IFERROR(__xludf.DUMMYFUNCTION("IFERROR(CONCATENATE(IF(ISNUMBER(SEARCH(Validations!$M$2:$M$100 &amp; "" spell save"", J110)),""Spell Save"",""""), REGEXEXTRACT(J110, ""DC (\d+)"")), """")"),"")</f>
        <v/>
      </c>
      <c r="AC110" s="24" t="b">
        <v>0</v>
      </c>
      <c r="AD110" s="24" t="b">
        <v>0</v>
      </c>
      <c r="AE110" s="36" t="s">
        <v>69</v>
      </c>
      <c r="AF110" s="25">
        <f>IFERROR(__xludf.DUMMYFUNCTION("IFERROR(VALUE(REGEXEXTRACT(AE110, ""\d+"")), 1)"),1.0)</f>
        <v>1</v>
      </c>
      <c r="AG110" s="12" t="str">
        <f>IFERROR(__xludf.DUMMYFUNCTION("IF(
  ISNUMBER(SEARCH(""Bonus Action"", AE110)),
  ""Bonus Action"",
  IF(
    ISNUMBER(SEARCH(""Reaction"", AE110)),
    ""Reaction"",
    IF(
      ISNUMBER(SEARCH(""Action"", AE110)),
      ""Action"",
      TEXTJOIN("", "", TRUE, FILTER(Validations!$S"&amp;"$2:$S$100, ISNUMBER(SEARCH(Validations!$S$2:$S$100, AE110))))
    )
  )
)"),"Action")</f>
        <v>Action</v>
      </c>
      <c r="AH110" s="36"/>
      <c r="AI110" s="20" t="s">
        <v>92</v>
      </c>
      <c r="AJ110" s="26" t="str">
        <f>IFERROR(__xludf.DUMMYFUNCTION("TEXTJOIN("", "", TRUE, FILTER(Validations!$T$2:$T$100, ISNUMBER(SEARCH(Validations!$T$2:$T$100, AI110))))"),"")</f>
        <v/>
      </c>
      <c r="AK110" s="26">
        <f>IFERROR(__xludf.DUMMYFUNCTION("IFERROR(VALUE(REGEXEXTRACT(AI110, ""\d+"")), """")"),1.0)</f>
        <v>1</v>
      </c>
      <c r="AL110" s="26" t="str">
        <f>IFERROR(__xludf.DUMMYFUNCTION("TEXTJOIN("", "", TRUE, FILTER(Validations!$U$2:$U$100, ISNUMBER(SEARCH(Validations!$U$2:$U$100, AI110))))"),"Minutes")</f>
        <v>Minutes</v>
      </c>
      <c r="AM110" s="24" t="b">
        <f t="shared" si="1"/>
        <v>0</v>
      </c>
      <c r="AN110" s="24" t="b">
        <v>0</v>
      </c>
      <c r="AO110" s="22" t="s">
        <v>71</v>
      </c>
      <c r="AP110" s="12" t="str">
        <f>IFERROR(__xludf.DUMMYFUNCTION("IF(TEXTJOIN("", "", TRUE, FILTER(Validations!$Q$2:$Q$100, ISNUMBER(SEARCH(Validations!$Q$2:$Q$100, AO110)))) = """", Validations!$Q$2, TEXTJOIN("", "", TRUE, FILTER(Validations!$Q$2:$Q$100, ISNUMBER(SEARCH(Validations!$Q$2:$Q$100, AO110)))))"),"Point")</f>
        <v>Point</v>
      </c>
      <c r="AQ110" s="12" t="str">
        <f>IFERROR(__xludf.DUMMYFUNCTION("IFERROR(VALUE(REGEXEXTRACT(AO110, ""\d+"")), """")"),"")</f>
        <v/>
      </c>
      <c r="AR110" s="12" t="str">
        <f>IFERROR(__xludf.DUMMYFUNCTION("TEXTJOIN("", "", TRUE, FILTER(Validations!$R$2:$R$100, ISNUMBER(SEARCH(Validations!$R$2:$R$100, AO110))))"),"Touch")</f>
        <v>Touch</v>
      </c>
      <c r="AS110" s="27"/>
      <c r="AT110" s="12" t="str">
        <f>IFERROR(__xludf.DUMMYFUNCTION("IFERROR(TEXTJOIN("", "", TRUE, FILTER(Validations!$I$2:$I$100, ISNUMBER(SEARCH(Validations!$I$2:$I$100, AS110)))), """")"),"")</f>
        <v/>
      </c>
      <c r="AU110" s="16" t="str">
        <f t="array" ref="AU110">IFERROR(INDEX(Validations!$J$2:$J$100, MATCH(TRUE, ISNUMBER(SEARCH(Validations!$I$2:$I$100, AT110)), 0)), "")</f>
        <v/>
      </c>
      <c r="AV110" s="12" t="str">
        <f>IFERROR(__xludf.DUMMYFUNCTION("IFERROR(VALUE(REGEXEXTRACT(AS110, ""\d+"")), """")"),"")</f>
        <v/>
      </c>
      <c r="AW110" s="12" t="str">
        <f>IFERROR(__xludf.DUMMYFUNCTION("IFERROR(TEXTJOIN("", "", TRUE, FILTER(Validations!$Q$2:$Q$100, ISNUMBER(SEARCH(Validations!$Q$2:$Q$100, AS110)))), """")"),"")</f>
        <v/>
      </c>
      <c r="AX110" s="28" t="s">
        <v>142</v>
      </c>
      <c r="AY110" s="28" t="str">
        <f>IFERROR(__xludf.DUMMYFUNCTION("TEXTJOIN("", "", TRUE, FILTER(Validations!$Y$2:$Y$100, ISNUMBER(SEARCH(Validations!$X$2:$X$100, AX110))))"),"V, S")</f>
        <v>V, S</v>
      </c>
      <c r="AZ110" s="27"/>
      <c r="BA110" s="22"/>
      <c r="BB110" s="22"/>
      <c r="BC110" s="22"/>
      <c r="BD110" s="22"/>
      <c r="BE110" s="27"/>
      <c r="BF110" s="22"/>
      <c r="BG110" s="27"/>
      <c r="BH110" s="27"/>
      <c r="BI110" s="12" t="str">
        <f>IFERROR(__xludf.DUMMYFUNCTION("IFERROR(TEXTJOIN("", "", TRUE, FILTER(SRD!$A$2:$A$1000, EXACT(SRD!$A$2:$A$1000, J110))), """")"),"")</f>
        <v/>
      </c>
      <c r="BJ110" s="29"/>
      <c r="BK110" s="29"/>
    </row>
    <row r="111" ht="15.75" customHeight="1">
      <c r="A111" s="11" t="s">
        <v>562</v>
      </c>
      <c r="B111" s="12"/>
      <c r="C111" s="13"/>
      <c r="D111" s="13" t="s">
        <v>62</v>
      </c>
      <c r="E111" s="13"/>
      <c r="F111" s="39" t="s">
        <v>519</v>
      </c>
      <c r="G111" s="50" t="s">
        <v>444</v>
      </c>
      <c r="H111" s="31" t="s">
        <v>103</v>
      </c>
      <c r="I111" s="16" t="str">
        <f t="array" ref="I111">INDEX(Validations!$C$2:$C$100, MATCH(TRUE, ISNUMBER(SEARCH(Validations!$B$2:$B$100, H111)), 0))</f>
        <v>C</v>
      </c>
      <c r="J111" s="17" t="s">
        <v>563</v>
      </c>
      <c r="K111" s="18"/>
      <c r="L111" s="17"/>
      <c r="M111" s="37"/>
      <c r="N111" s="27"/>
      <c r="O111" s="17" t="s">
        <v>564</v>
      </c>
      <c r="P111" s="21"/>
      <c r="Q111" s="21"/>
      <c r="R111" s="22"/>
      <c r="S111" s="17" t="str">
        <f>IFERROR(__xludf.DUMMYFUNCTION("IFERROR(REGEXEXTRACT(J111, ""(\d{1,3}[dD]\d{1,3})""), """")"),"")</f>
        <v/>
      </c>
      <c r="T111" s="17" t="str">
        <f>IFERROR(__xludf.DUMMYFUNCTION("IF(COUNTIF(ARRAYFORMULA(LOWER(Validations!$O$2:$O$100)), LOWER(REGEXEXTRACT(J111, ""\d{1,3}[dD]\d{1,3}\s+(\w+)"")))&gt;0, REGEXEXTRACT(J111, ""\d{1,3}[dD]\d{1,3}\s+(\w+)""), """")"),"")</f>
        <v/>
      </c>
      <c r="U111" s="17" t="str">
        <f>IFERROR(__xludf.DUMMYFUNCTION("IF(COUNTIF(ARRAYFORMULA(LOWER(Validations!$P$2:$P$100)), LOWER(REGEXEXTRACT(J111, ""\d{1,3}[dD]\d{1,3}\s+(\w+)"")))&gt;0, REGEXEXTRACT(J111, ""\d{1,3}[dD]\d{1,3}\s+(\w+)""), """")"),"")</f>
        <v/>
      </c>
      <c r="V111" s="12" t="str">
        <f>IFERROR(__xludf.DUMMYFUNCTION("TEXTJOIN("", "", TRUE, FILTER(Validations!$L$2:$L$100, ISNUMBER(SEARCH(Validations!$L$2:$L$100, J111))))"),"Exhaustion")</f>
        <v>Exhaustion</v>
      </c>
      <c r="W111" s="12" t="str">
        <f>IFERROR(__xludf.DUMMYFUNCTION("IFERROR(TEXTJOIN("", "", TRUE, FILTER(Validations!$M$2:$M$100, ISNUMBER(SEARCH(Validations!$M$2:$M$100 &amp; "" saving throw"", J111)))), """")"),"Wisdom, Charisma")</f>
        <v>Wisdom, Charisma</v>
      </c>
      <c r="X111" s="12"/>
      <c r="Y111" s="12"/>
      <c r="Z111" s="12" t="str">
        <f>IFERROR(__xludf.DUMMYFUNCTION("IFERROR(TEXTJOIN("", "", TRUE, FILTER(Validations!$N$2:$N$100, ISNUMBER(SEARCH(Validations!$N$2:$N$100 &amp; "" check"", J111)))), """")"),"")</f>
        <v/>
      </c>
      <c r="AA111" s="12" t="str">
        <f>IFERROR(__xludf.DUMMYFUNCTION("IFERROR(TEXTJOIN("", "", TRUE, FILTER(Validations!$N$2:$N$100, ISNUMBER(SEARCH(Validations!$N$2:$N$100 &amp; "" check"", W111)))), """")"),"")</f>
        <v/>
      </c>
      <c r="AB111" s="23" t="str">
        <f>IFERROR(__xludf.DUMMYFUNCTION("IFERROR(CONCATENATE(IF(ISNUMBER(SEARCH(Validations!$M$2:$M$100 &amp; "" spell save"", J111)),""Spell Save"",""""), REGEXEXTRACT(J111, ""DC (\d+)"")), """")"),"")</f>
        <v/>
      </c>
      <c r="AC111" s="24" t="b">
        <v>0</v>
      </c>
      <c r="AD111" s="24" t="b">
        <v>0</v>
      </c>
      <c r="AE111" s="12" t="s">
        <v>69</v>
      </c>
      <c r="AF111" s="25">
        <f>IFERROR(__xludf.DUMMYFUNCTION("IFERROR(VALUE(REGEXEXTRACT(AE111, ""\d+"")), 1)"),1.0)</f>
        <v>1</v>
      </c>
      <c r="AG111" s="12" t="str">
        <f>IFERROR(__xludf.DUMMYFUNCTION("IF(
  ISNUMBER(SEARCH(""Bonus Action"", AE111)),
  ""Bonus Action"",
  IF(
    ISNUMBER(SEARCH(""Reaction"", AE111)),
    ""Reaction"",
    IF(
      ISNUMBER(SEARCH(""Action"", AE111)),
      ""Action"",
      TEXTJOIN("", "", TRUE, FILTER(Validations!$S"&amp;"$2:$S$100, ISNUMBER(SEARCH(Validations!$S$2:$S$100, AE111))))
    )
  )
)"),"Action")</f>
        <v>Action</v>
      </c>
      <c r="AH111" s="12"/>
      <c r="AI111" s="20" t="s">
        <v>92</v>
      </c>
      <c r="AJ111" s="26" t="str">
        <f>IFERROR(__xludf.DUMMYFUNCTION("TEXTJOIN("", "", TRUE, FILTER(Validations!$T$2:$T$100, ISNUMBER(SEARCH(Validations!$T$2:$T$100, AI111))))"),"")</f>
        <v/>
      </c>
      <c r="AK111" s="26">
        <f>IFERROR(__xludf.DUMMYFUNCTION("IFERROR(VALUE(REGEXEXTRACT(AI111, ""\d+"")), """")"),1.0)</f>
        <v>1</v>
      </c>
      <c r="AL111" s="26" t="str">
        <f>IFERROR(__xludf.DUMMYFUNCTION("TEXTJOIN("", "", TRUE, FILTER(Validations!$U$2:$U$100, ISNUMBER(SEARCH(Validations!$U$2:$U$100, AI111))))"),"Minutes")</f>
        <v>Minutes</v>
      </c>
      <c r="AM111" s="24" t="b">
        <f t="shared" si="1"/>
        <v>0</v>
      </c>
      <c r="AN111" s="24" t="b">
        <v>0</v>
      </c>
      <c r="AO111" s="12" t="s">
        <v>78</v>
      </c>
      <c r="AP111" s="12" t="str">
        <f>IFERROR(__xludf.DUMMYFUNCTION("IF(TEXTJOIN("", "", TRUE, FILTER(Validations!$Q$2:$Q$100, ISNUMBER(SEARCH(Validations!$Q$2:$Q$100, AO111)))) = """", Validations!$Q$2, TEXTJOIN("", "", TRUE, FILTER(Validations!$Q$2:$Q$100, ISNUMBER(SEARCH(Validations!$Q$2:$Q$100, AO111)))))"),"Point")</f>
        <v>Point</v>
      </c>
      <c r="AQ111" s="12" t="str">
        <f>IFERROR(__xludf.DUMMYFUNCTION("IFERROR(VALUE(REGEXEXTRACT(AO111, ""\d+"")), """")"),"")</f>
        <v/>
      </c>
      <c r="AR111" s="12" t="str">
        <f>IFERROR(__xludf.DUMMYFUNCTION("TEXTJOIN("", "", TRUE, FILTER(Validations!$R$2:$R$100, ISNUMBER(SEARCH(Validations!$R$2:$R$100, AO111))))"),"Self")</f>
        <v>Self</v>
      </c>
      <c r="AS111" s="27"/>
      <c r="AT111" s="12" t="str">
        <f>IFERROR(__xludf.DUMMYFUNCTION("IFERROR(TEXTJOIN("", "", TRUE, FILTER(Validations!$I$2:$I$100, ISNUMBER(SEARCH(Validations!$I$2:$I$100, AS111)))), """")"),"")</f>
        <v/>
      </c>
      <c r="AU111" s="16" t="str">
        <f t="array" ref="AU111">IFERROR(INDEX(Validations!$J$2:$J$100, MATCH(TRUE, ISNUMBER(SEARCH(Validations!$I$2:$I$100, AT111)), 0)), "")</f>
        <v/>
      </c>
      <c r="AV111" s="12" t="str">
        <f>IFERROR(__xludf.DUMMYFUNCTION("IFERROR(VALUE(REGEXEXTRACT(AS111, ""\d+"")), """")"),"")</f>
        <v/>
      </c>
      <c r="AW111" s="12" t="str">
        <f>IFERROR(__xludf.DUMMYFUNCTION("IFERROR(TEXTJOIN("", "", TRUE, FILTER(Validations!$Q$2:$Q$100, ISNUMBER(SEARCH(Validations!$Q$2:$Q$100, AS111)))), """")"),"")</f>
        <v/>
      </c>
      <c r="AX111" s="28" t="s">
        <v>248</v>
      </c>
      <c r="AY111" s="28" t="str">
        <f>IFERROR(__xludf.DUMMYFUNCTION("TEXTJOIN("", "", TRUE, FILTER(Validations!$Y$2:$Y$100, ISNUMBER(SEARCH(Validations!$X$2:$X$100, AX111))))"),"V")</f>
        <v>V</v>
      </c>
      <c r="AZ111" s="26"/>
      <c r="BA111" s="12"/>
      <c r="BB111" s="22"/>
      <c r="BC111" s="22"/>
      <c r="BD111" s="22"/>
      <c r="BE111" s="27"/>
      <c r="BF111" s="22"/>
      <c r="BG111" s="27"/>
      <c r="BH111" s="27"/>
      <c r="BI111" s="12" t="str">
        <f>IFERROR(__xludf.DUMMYFUNCTION("IFERROR(TEXTJOIN("", "", TRUE, FILTER(SRD!$A$2:$A$1000, EXACT(SRD!$A$2:$A$1000, J111))), """")"),"")</f>
        <v/>
      </c>
      <c r="BJ111" s="29"/>
      <c r="BK111" s="29"/>
    </row>
    <row r="112" ht="15.75" customHeight="1">
      <c r="A112" s="30" t="s">
        <v>565</v>
      </c>
      <c r="B112" s="22"/>
      <c r="C112" s="16"/>
      <c r="D112" s="16" t="s">
        <v>302</v>
      </c>
      <c r="E112" s="16"/>
      <c r="F112" s="32" t="s">
        <v>566</v>
      </c>
      <c r="G112" s="50" t="s">
        <v>444</v>
      </c>
      <c r="H112" s="31" t="s">
        <v>85</v>
      </c>
      <c r="I112" s="16" t="str">
        <f t="array" ref="I112">INDEX(Validations!$C$2:$C$100, MATCH(TRUE, ISNUMBER(SEARCH(Validations!$B$2:$B$100, H112)), 0))</f>
        <v>T</v>
      </c>
      <c r="J112" s="17" t="s">
        <v>567</v>
      </c>
      <c r="K112" s="18"/>
      <c r="L112" s="17"/>
      <c r="M112" s="17"/>
      <c r="N112" s="27"/>
      <c r="O112" s="17"/>
      <c r="P112" s="21"/>
      <c r="Q112" s="21"/>
      <c r="R112" s="22"/>
      <c r="S112" s="17" t="str">
        <f>IFERROR(__xludf.DUMMYFUNCTION("IFERROR(REGEXEXTRACT(J112, ""(\d{1,3}[dD]\d{1,3})""), """")"),"1d8")</f>
        <v>1d8</v>
      </c>
      <c r="T112" s="17" t="str">
        <f>IFERROR(__xludf.DUMMYFUNCTION("IF(COUNTIF(ARRAYFORMULA(LOWER(Validations!$O$2:$O$100)), LOWER(REGEXEXTRACT(J112, ""\d{1,3}[dD]\d{1,3}\s+(\w+)"")))&gt;0, REGEXEXTRACT(J112, ""\d{1,3}[dD]\d{1,3}\s+(\w+)""), """")"),"impact")</f>
        <v>impact</v>
      </c>
      <c r="U112" s="17" t="str">
        <f>IFERROR(__xludf.DUMMYFUNCTION("IF(COUNTIF(ARRAYFORMULA(LOWER(Validations!$P$2:$P$100)), LOWER(REGEXEXTRACT(J112, ""\d{1,3}[dD]\d{1,3}\s+(\w+)"")))&gt;0, REGEXEXTRACT(J112, ""\d{1,3}[dD]\d{1,3}\s+(\w+)""), """")"),"")</f>
        <v/>
      </c>
      <c r="V112" s="12" t="str">
        <f>IFERROR(__xludf.DUMMYFUNCTION("TEXTJOIN("", "", TRUE, FILTER(Validations!$L$2:$L$100, ISNUMBER(SEARCH(Validations!$L$2:$L$100, J112))))"),"")</f>
        <v/>
      </c>
      <c r="W112" s="12" t="str">
        <f>IFERROR(__xludf.DUMMYFUNCTION("IFERROR(TEXTJOIN("", "", TRUE, FILTER(Validations!$M$2:$M$100, ISNUMBER(SEARCH(Validations!$M$2:$M$100 &amp; "" saving throw"", J112)))), """")"),"")</f>
        <v/>
      </c>
      <c r="X112" s="12"/>
      <c r="Y112" s="12"/>
      <c r="Z112" s="12" t="str">
        <f>IFERROR(__xludf.DUMMYFUNCTION("IFERROR(TEXTJOIN("", "", TRUE, FILTER(Validations!$N$2:$N$100, ISNUMBER(SEARCH(Validations!$N$2:$N$100 &amp; "" check"", J112)))), """")"),"")</f>
        <v/>
      </c>
      <c r="AA112" s="12" t="str">
        <f>IFERROR(__xludf.DUMMYFUNCTION("IFERROR(TEXTJOIN("", "", TRUE, FILTER(Validations!$N$2:$N$100, ISNUMBER(SEARCH(Validations!$N$2:$N$100 &amp; "" check"", W112)))), """")"),"")</f>
        <v/>
      </c>
      <c r="AB112" s="23" t="str">
        <f>IFERROR(__xludf.DUMMYFUNCTION("IFERROR(CONCATENATE(IF(ISNUMBER(SEARCH(Validations!$M$2:$M$100 &amp; "" spell save"", J112)),""Spell Save"",""""), REGEXEXTRACT(J112, ""DC (\d+)"")), """")"),"")</f>
        <v/>
      </c>
      <c r="AC112" s="24" t="b">
        <v>0</v>
      </c>
      <c r="AD112" s="24" t="b">
        <v>0</v>
      </c>
      <c r="AE112" s="36" t="s">
        <v>435</v>
      </c>
      <c r="AF112" s="25">
        <f>IFERROR(__xludf.DUMMYFUNCTION("IFERROR(VALUE(REGEXEXTRACT(AE112, ""\d+"")), 1)"),1.0)</f>
        <v>1</v>
      </c>
      <c r="AG112" s="12" t="str">
        <f>IFERROR(__xludf.DUMMYFUNCTION("IF(
  ISNUMBER(SEARCH(""Bonus Action"", AE112)),
  ""Bonus Action"",
  IF(
    ISNUMBER(SEARCH(""Reaction"", AE112)),
    ""Reaction"",
    IF(
      ISNUMBER(SEARCH(""Action"", AE112)),
      ""Action"",
      TEXTJOIN("", "", TRUE, FILTER(Validations!$S"&amp;"$2:$S$100, ISNUMBER(SEARCH(Validations!$S$2:$S$100, AE112))))
    )
  )
)"),"Bonus Action")</f>
        <v>Bonus Action</v>
      </c>
      <c r="AH112" s="22"/>
      <c r="AI112" s="27" t="s">
        <v>70</v>
      </c>
      <c r="AJ112" s="26" t="str">
        <f>IFERROR(__xludf.DUMMYFUNCTION("TEXTJOIN("", "", TRUE, FILTER(Validations!$T$2:$T$100, ISNUMBER(SEARCH(Validations!$T$2:$T$100, AI112))))"),"Instantaneous")</f>
        <v>Instantaneous</v>
      </c>
      <c r="AK112" s="26" t="str">
        <f>IFERROR(__xludf.DUMMYFUNCTION("IFERROR(VALUE(REGEXEXTRACT(AI112, ""\d+"")), """")"),"")</f>
        <v/>
      </c>
      <c r="AL112" s="26" t="str">
        <f>IFERROR(__xludf.DUMMYFUNCTION("TEXTJOIN("", "", TRUE, FILTER(Validations!$U$2:$U$100, ISNUMBER(SEARCH(Validations!$U$2:$U$100, AI112))))"),"")</f>
        <v/>
      </c>
      <c r="AM112" s="24" t="b">
        <f t="shared" si="1"/>
        <v>0</v>
      </c>
      <c r="AN112" s="24" t="b">
        <v>0</v>
      </c>
      <c r="AO112" s="22" t="s">
        <v>78</v>
      </c>
      <c r="AP112" s="12" t="str">
        <f>IFERROR(__xludf.DUMMYFUNCTION("IF(TEXTJOIN("", "", TRUE, FILTER(Validations!$Q$2:$Q$100, ISNUMBER(SEARCH(Validations!$Q$2:$Q$100, AO112)))) = """", Validations!$Q$2, TEXTJOIN("", "", TRUE, FILTER(Validations!$Q$2:$Q$100, ISNUMBER(SEARCH(Validations!$Q$2:$Q$100, AO112)))))"),"Point")</f>
        <v>Point</v>
      </c>
      <c r="AQ112" s="12" t="str">
        <f>IFERROR(__xludf.DUMMYFUNCTION("IFERROR(VALUE(REGEXEXTRACT(AO112, ""\d+"")), """")"),"")</f>
        <v/>
      </c>
      <c r="AR112" s="12" t="str">
        <f>IFERROR(__xludf.DUMMYFUNCTION("TEXTJOIN("", "", TRUE, FILTER(Validations!$R$2:$R$100, ISNUMBER(SEARCH(Validations!$R$2:$R$100, AO112))))"),"Self")</f>
        <v>Self</v>
      </c>
      <c r="AS112" s="27"/>
      <c r="AT112" s="12" t="str">
        <f>IFERROR(__xludf.DUMMYFUNCTION("IFERROR(TEXTJOIN("", "", TRUE, FILTER(Validations!$I$2:$I$100, ISNUMBER(SEARCH(Validations!$I$2:$I$100, AS112)))), """")"),"")</f>
        <v/>
      </c>
      <c r="AU112" s="16" t="str">
        <f t="array" ref="AU112">IFERROR(INDEX(Validations!$J$2:$J$100, MATCH(TRUE, ISNUMBER(SEARCH(Validations!$I$2:$I$100, AT112)), 0)), "")</f>
        <v/>
      </c>
      <c r="AV112" s="12" t="str">
        <f>IFERROR(__xludf.DUMMYFUNCTION("IFERROR(VALUE(REGEXEXTRACT(AS112, ""\d+"")), """")"),"")</f>
        <v/>
      </c>
      <c r="AW112" s="12" t="str">
        <f>IFERROR(__xludf.DUMMYFUNCTION("IFERROR(TEXTJOIN("", "", TRUE, FILTER(Validations!$Q$2:$Q$100, ISNUMBER(SEARCH(Validations!$Q$2:$Q$100, AS112)))), """")"),"")</f>
        <v/>
      </c>
      <c r="AX112" s="28" t="s">
        <v>248</v>
      </c>
      <c r="AY112" s="28" t="str">
        <f>IFERROR(__xludf.DUMMYFUNCTION("TEXTJOIN("", "", TRUE, FILTER(Validations!$Y$2:$Y$100, ISNUMBER(SEARCH(Validations!$X$2:$X$100, AX112))))"),"V")</f>
        <v>V</v>
      </c>
      <c r="AZ112" s="27"/>
      <c r="BA112" s="22"/>
      <c r="BB112" s="22"/>
      <c r="BC112" s="22"/>
      <c r="BD112" s="22"/>
      <c r="BE112" s="27"/>
      <c r="BF112" s="22"/>
      <c r="BG112" s="27"/>
      <c r="BH112" s="27"/>
      <c r="BI112" s="12" t="str">
        <f>IFERROR(__xludf.DUMMYFUNCTION("IFERROR(TEXTJOIN("", "", TRUE, FILTER(SRD!$A$2:$A$1000, EXACT(SRD!$A$2:$A$1000, J112))), """")"),"")</f>
        <v/>
      </c>
      <c r="BJ112" s="29"/>
      <c r="BK112" s="29"/>
    </row>
    <row r="113" ht="15.75" customHeight="1">
      <c r="A113" s="30" t="s">
        <v>568</v>
      </c>
      <c r="B113" s="22"/>
      <c r="C113" s="16"/>
      <c r="D113" s="16" t="s">
        <v>569</v>
      </c>
      <c r="E113" s="16"/>
      <c r="F113" s="32" t="s">
        <v>570</v>
      </c>
      <c r="G113" s="50" t="s">
        <v>444</v>
      </c>
      <c r="H113" s="16" t="s">
        <v>178</v>
      </c>
      <c r="I113" s="16" t="str">
        <f t="array" ref="I113">INDEX(Validations!$C$2:$C$100, MATCH(TRUE, ISNUMBER(SEARCH(Validations!$B$2:$B$100, H113)), 0))</f>
        <v>A</v>
      </c>
      <c r="J113" s="17" t="s">
        <v>571</v>
      </c>
      <c r="K113" s="18"/>
      <c r="L113" s="17"/>
      <c r="M113" s="17"/>
      <c r="N113" s="27"/>
      <c r="O113" s="17" t="s">
        <v>572</v>
      </c>
      <c r="P113" s="21"/>
      <c r="Q113" s="21"/>
      <c r="R113" s="22"/>
      <c r="S113" s="17" t="str">
        <f>IFERROR(__xludf.DUMMYFUNCTION("IFERROR(REGEXEXTRACT(J113, ""(\d{1,3}[dD]\d{1,3})""), """")"),"")</f>
        <v/>
      </c>
      <c r="T113" s="17" t="str">
        <f>IFERROR(__xludf.DUMMYFUNCTION("IF(COUNTIF(ARRAYFORMULA(LOWER(Validations!$O$2:$O$100)), LOWER(REGEXEXTRACT(J113, ""\d{1,3}[dD]\d{1,3}\s+(\w+)"")))&gt;0, REGEXEXTRACT(J113, ""\d{1,3}[dD]\d{1,3}\s+(\w+)""), """")"),"")</f>
        <v/>
      </c>
      <c r="U113" s="17" t="str">
        <f>IFERROR(__xludf.DUMMYFUNCTION("IF(COUNTIF(ARRAYFORMULA(LOWER(Validations!$P$2:$P$100)), LOWER(REGEXEXTRACT(J113, ""\d{1,3}[dD]\d{1,3}\s+(\w+)"")))&gt;0, REGEXEXTRACT(J113, ""\d{1,3}[dD]\d{1,3}\s+(\w+)""), """")"),"")</f>
        <v/>
      </c>
      <c r="V113" s="12" t="str">
        <f>IFERROR(__xludf.DUMMYFUNCTION("TEXTJOIN("", "", TRUE, FILTER(Validations!$L$2:$L$100, ISNUMBER(SEARCH(Validations!$L$2:$L$100, J113))))"),"Incapacitated")</f>
        <v>Incapacitated</v>
      </c>
      <c r="W113" s="12" t="str">
        <f>IFERROR(__xludf.DUMMYFUNCTION("IFERROR(TEXTJOIN("", "", TRUE, FILTER(Validations!$M$2:$M$100, ISNUMBER(SEARCH(Validations!$M$2:$M$100 &amp; "" saving throw"", J113)))), """")"),"")</f>
        <v/>
      </c>
      <c r="X113" s="12"/>
      <c r="Y113" s="12"/>
      <c r="Z113" s="12" t="str">
        <f>IFERROR(__xludf.DUMMYFUNCTION("IFERROR(TEXTJOIN("", "", TRUE, FILTER(Validations!$N$2:$N$100, ISNUMBER(SEARCH(Validations!$N$2:$N$100 &amp; "" check"", J113)))), """")"),"")</f>
        <v/>
      </c>
      <c r="AA113" s="12" t="str">
        <f>IFERROR(__xludf.DUMMYFUNCTION("IFERROR(TEXTJOIN("", "", TRUE, FILTER(Validations!$N$2:$N$100, ISNUMBER(SEARCH(Validations!$N$2:$N$100 &amp; "" check"", W113)))), """")"),"")</f>
        <v/>
      </c>
      <c r="AB113" s="23" t="str">
        <f>IFERROR(__xludf.DUMMYFUNCTION("IFERROR(CONCATENATE(IF(ISNUMBER(SEARCH(Validations!$M$2:$M$100 &amp; "" spell save"", J113)),""Spell Save"",""""), REGEXEXTRACT(J113, ""DC (\d+)"")), """")"),"")</f>
        <v/>
      </c>
      <c r="AC113" s="24" t="b">
        <v>0</v>
      </c>
      <c r="AD113" s="24" t="b">
        <v>0</v>
      </c>
      <c r="AE113" s="36" t="s">
        <v>573</v>
      </c>
      <c r="AF113" s="25">
        <f>IFERROR(__xludf.DUMMYFUNCTION("IFERROR(VALUE(REGEXEXTRACT(AE113, ""\d+"")), 1)"),1.0)</f>
        <v>1</v>
      </c>
      <c r="AG113" s="12" t="str">
        <f>IFERROR(__xludf.DUMMYFUNCTION("IF(
  ISNUMBER(SEARCH(""Bonus Action"", AE113)),
  ""Bonus Action"",
  IF(
    ISNUMBER(SEARCH(""Reaction"", AE113)),
    ""Reaction"",
    IF(
      ISNUMBER(SEARCH(""Action"", AE113)),
      ""Action"",
      TEXTJOIN("", "", TRUE, FILTER(Validations!$S"&amp;"$2:$S$100, ISNUMBER(SEARCH(Validations!$S$2:$S$100, AE113))))
    )
  )
)"),"Reaction")</f>
        <v>Reaction</v>
      </c>
      <c r="AH113" s="36" t="s">
        <v>574</v>
      </c>
      <c r="AI113" s="20" t="s">
        <v>92</v>
      </c>
      <c r="AJ113" s="26" t="str">
        <f>IFERROR(__xludf.DUMMYFUNCTION("TEXTJOIN("", "", TRUE, FILTER(Validations!$T$2:$T$100, ISNUMBER(SEARCH(Validations!$T$2:$T$100, AI113))))"),"")</f>
        <v/>
      </c>
      <c r="AK113" s="26">
        <f>IFERROR(__xludf.DUMMYFUNCTION("IFERROR(VALUE(REGEXEXTRACT(AI113, ""\d+"")), """")"),1.0)</f>
        <v>1</v>
      </c>
      <c r="AL113" s="26" t="str">
        <f>IFERROR(__xludf.DUMMYFUNCTION("TEXTJOIN("", "", TRUE, FILTER(Validations!$U$2:$U$100, ISNUMBER(SEARCH(Validations!$U$2:$U$100, AI113))))"),"Minutes")</f>
        <v>Minutes</v>
      </c>
      <c r="AM113" s="24" t="b">
        <f t="shared" si="1"/>
        <v>0</v>
      </c>
      <c r="AN113" s="24" t="b">
        <v>0</v>
      </c>
      <c r="AO113" s="22" t="s">
        <v>78</v>
      </c>
      <c r="AP113" s="12" t="str">
        <f>IFERROR(__xludf.DUMMYFUNCTION("IF(TEXTJOIN("", "", TRUE, FILTER(Validations!$Q$2:$Q$100, ISNUMBER(SEARCH(Validations!$Q$2:$Q$100, AO113)))) = """", Validations!$Q$2, TEXTJOIN("", "", TRUE, FILTER(Validations!$Q$2:$Q$100, ISNUMBER(SEARCH(Validations!$Q$2:$Q$100, AO113)))))"),"Point")</f>
        <v>Point</v>
      </c>
      <c r="AQ113" s="12" t="str">
        <f>IFERROR(__xludf.DUMMYFUNCTION("IFERROR(VALUE(REGEXEXTRACT(AO113, ""\d+"")), """")"),"")</f>
        <v/>
      </c>
      <c r="AR113" s="12" t="str">
        <f>IFERROR(__xludf.DUMMYFUNCTION("TEXTJOIN("", "", TRUE, FILTER(Validations!$R$2:$R$100, ISNUMBER(SEARCH(Validations!$R$2:$R$100, AO113))))"),"Self")</f>
        <v>Self</v>
      </c>
      <c r="AS113" s="27"/>
      <c r="AT113" s="12" t="str">
        <f>IFERROR(__xludf.DUMMYFUNCTION("IFERROR(TEXTJOIN("", "", TRUE, FILTER(Validations!$I$2:$I$100, ISNUMBER(SEARCH(Validations!$I$2:$I$100, AS113)))), """")"),"")</f>
        <v/>
      </c>
      <c r="AU113" s="16" t="str">
        <f t="array" ref="AU113">IFERROR(INDEX(Validations!$J$2:$J$100, MATCH(TRUE, ISNUMBER(SEARCH(Validations!$I$2:$I$100, AT113)), 0)), "")</f>
        <v/>
      </c>
      <c r="AV113" s="12" t="str">
        <f>IFERROR(__xludf.DUMMYFUNCTION("IFERROR(VALUE(REGEXEXTRACT(AS113, ""\d+"")), """")"),"")</f>
        <v/>
      </c>
      <c r="AW113" s="12" t="str">
        <f>IFERROR(__xludf.DUMMYFUNCTION("IFERROR(TEXTJOIN("", "", TRUE, FILTER(Validations!$Q$2:$Q$100, ISNUMBER(SEARCH(Validations!$Q$2:$Q$100, AS113)))), """")"),"")</f>
        <v/>
      </c>
      <c r="AX113" s="28" t="s">
        <v>142</v>
      </c>
      <c r="AY113" s="28" t="str">
        <f>IFERROR(__xludf.DUMMYFUNCTION("TEXTJOIN("", "", TRUE, FILTER(Validations!$Y$2:$Y$100, ISNUMBER(SEARCH(Validations!$X$2:$X$100, AX113))))"),"V, S")</f>
        <v>V, S</v>
      </c>
      <c r="AZ113" s="27"/>
      <c r="BA113" s="22"/>
      <c r="BB113" s="22"/>
      <c r="BC113" s="22"/>
      <c r="BD113" s="22"/>
      <c r="BE113" s="27"/>
      <c r="BF113" s="22"/>
      <c r="BG113" s="27"/>
      <c r="BH113" s="27"/>
      <c r="BI113" s="12" t="str">
        <f>IFERROR(__xludf.DUMMYFUNCTION("IFERROR(TEXTJOIN("", "", TRUE, FILTER(SRD!$A$2:$A$1000, EXACT(SRD!$A$2:$A$1000, J113))), """")"),"")</f>
        <v/>
      </c>
      <c r="BJ113" s="29"/>
      <c r="BK113" s="29"/>
    </row>
    <row r="114" ht="15.75" customHeight="1">
      <c r="A114" s="30" t="s">
        <v>575</v>
      </c>
      <c r="B114" s="22"/>
      <c r="C114" s="16"/>
      <c r="D114" s="16" t="s">
        <v>576</v>
      </c>
      <c r="E114" s="16"/>
      <c r="F114" s="32" t="s">
        <v>577</v>
      </c>
      <c r="G114" s="50" t="s">
        <v>444</v>
      </c>
      <c r="H114" s="16" t="s">
        <v>76</v>
      </c>
      <c r="I114" s="16" t="str">
        <f t="array" ref="I114">INDEX(Validations!$C$2:$C$100, MATCH(TRUE, ISNUMBER(SEARCH(Validations!$B$2:$B$100, H114)), 0))</f>
        <v>V</v>
      </c>
      <c r="J114" s="17" t="s">
        <v>578</v>
      </c>
      <c r="K114" s="18"/>
      <c r="L114" s="17"/>
      <c r="M114" s="17"/>
      <c r="N114" s="20" t="s">
        <v>579</v>
      </c>
      <c r="O114" s="17"/>
      <c r="P114" s="21"/>
      <c r="Q114" s="21"/>
      <c r="R114" s="22"/>
      <c r="S114" s="17" t="str">
        <f>IFERROR(__xludf.DUMMYFUNCTION("IFERROR(REGEXEXTRACT(J114, ""(\d{1,3}[dD]\d{1,3})""), """")"),"2d8")</f>
        <v>2d8</v>
      </c>
      <c r="T114" s="17" t="str">
        <f>IFERROR(__xludf.DUMMYFUNCTION("IF(COUNTIF(ARRAYFORMULA(LOWER(Validations!$O$2:$O$100)), LOWER(REGEXEXTRACT(J114, ""\d{1,3}[dD]\d{1,3}\s+(\w+)"")))&gt;0, REGEXEXTRACT(J114, ""\d{1,3}[dD]\d{1,3}\s+(\w+)""), """")"),"electric")</f>
        <v>electric</v>
      </c>
      <c r="U114" s="17" t="str">
        <f>IFERROR(__xludf.DUMMYFUNCTION("IF(COUNTIF(ARRAYFORMULA(LOWER(Validations!$P$2:$P$100)), LOWER(REGEXEXTRACT(J114, ""\d{1,3}[dD]\d{1,3}\s+(\w+)"")))&gt;0, REGEXEXTRACT(J114, ""\d{1,3}[dD]\d{1,3}\s+(\w+)""), """")"),"")</f>
        <v/>
      </c>
      <c r="V114" s="12" t="str">
        <f>IFERROR(__xludf.DUMMYFUNCTION("TEXTJOIN("", "", TRUE, FILTER(Validations!$L$2:$L$100, ISNUMBER(SEARCH(Validations!$L$2:$L$100, J114))))"),"Stunned")</f>
        <v>Stunned</v>
      </c>
      <c r="W114" s="12" t="str">
        <f>IFERROR(__xludf.DUMMYFUNCTION("IFERROR(TEXTJOIN("", "", TRUE, FILTER(Validations!$M$2:$M$100, ISNUMBER(SEARCH(Validations!$M$2:$M$100 &amp; "" saving throw"", J114)))), """")"),"Intelligence")</f>
        <v>Intelligence</v>
      </c>
      <c r="X114" s="12"/>
      <c r="Y114" s="12"/>
      <c r="Z114" s="12" t="str">
        <f>IFERROR(__xludf.DUMMYFUNCTION("IFERROR(TEXTJOIN("", "", TRUE, FILTER(Validations!$N$2:$N$100, ISNUMBER(SEARCH(Validations!$N$2:$N$100 &amp; "" check"", J114)))), """")"),"")</f>
        <v/>
      </c>
      <c r="AA114" s="12" t="str">
        <f>IFERROR(__xludf.DUMMYFUNCTION("IFERROR(TEXTJOIN("", "", TRUE, FILTER(Validations!$N$2:$N$100, ISNUMBER(SEARCH(Validations!$N$2:$N$100 &amp; "" check"", W114)))), """")"),"")</f>
        <v/>
      </c>
      <c r="AB114" s="23" t="str">
        <f>IFERROR(__xludf.DUMMYFUNCTION("IFERROR(CONCATENATE(IF(ISNUMBER(SEARCH(Validations!$M$2:$M$100 &amp; "" spell save"", J114)),""Spell Save"",""""), REGEXEXTRACT(J114, ""DC (\d+)"")), """")"),"")</f>
        <v/>
      </c>
      <c r="AC114" s="24" t="b">
        <v>0</v>
      </c>
      <c r="AD114" s="24" t="b">
        <v>0</v>
      </c>
      <c r="AE114" s="36" t="s">
        <v>69</v>
      </c>
      <c r="AF114" s="25">
        <f>IFERROR(__xludf.DUMMYFUNCTION("IFERROR(VALUE(REGEXEXTRACT(AE114, ""\d+"")), 1)"),1.0)</f>
        <v>1</v>
      </c>
      <c r="AG114" s="12" t="str">
        <f>IFERROR(__xludf.DUMMYFUNCTION("IF(
  ISNUMBER(SEARCH(""Bonus Action"", AE114)),
  ""Bonus Action"",
  IF(
    ISNUMBER(SEARCH(""Reaction"", AE114)),
    ""Reaction"",
    IF(
      ISNUMBER(SEARCH(""Action"", AE114)),
      ""Action"",
      TEXTJOIN("", "", TRUE, FILTER(Validations!$S"&amp;"$2:$S$100, ISNUMBER(SEARCH(Validations!$S$2:$S$100, AE114))))
    )
  )
)"),"Action")</f>
        <v>Action</v>
      </c>
      <c r="AH114" s="36"/>
      <c r="AI114" s="20" t="s">
        <v>92</v>
      </c>
      <c r="AJ114" s="26" t="str">
        <f>IFERROR(__xludf.DUMMYFUNCTION("TEXTJOIN("", "", TRUE, FILTER(Validations!$T$2:$T$100, ISNUMBER(SEARCH(Validations!$T$2:$T$100, AI114))))"),"")</f>
        <v/>
      </c>
      <c r="AK114" s="26">
        <f>IFERROR(__xludf.DUMMYFUNCTION("IFERROR(VALUE(REGEXEXTRACT(AI114, ""\d+"")), """")"),1.0)</f>
        <v>1</v>
      </c>
      <c r="AL114" s="26" t="str">
        <f>IFERROR(__xludf.DUMMYFUNCTION("TEXTJOIN("", "", TRUE, FILTER(Validations!$U$2:$U$100, ISNUMBER(SEARCH(Validations!$U$2:$U$100, AI114))))"),"Minutes")</f>
        <v>Minutes</v>
      </c>
      <c r="AM114" s="24" t="b">
        <f t="shared" si="1"/>
        <v>0</v>
      </c>
      <c r="AN114" s="24" t="b">
        <v>1</v>
      </c>
      <c r="AO114" s="22" t="s">
        <v>112</v>
      </c>
      <c r="AP114" s="12" t="str">
        <f>IFERROR(__xludf.DUMMYFUNCTION("IF(TEXTJOIN("", "", TRUE, FILTER(Validations!$Q$2:$Q$100, ISNUMBER(SEARCH(Validations!$Q$2:$Q$100, AO114)))) = """", Validations!$Q$2, TEXTJOIN("", "", TRUE, FILTER(Validations!$Q$2:$Q$100, ISNUMBER(SEARCH(Validations!$Q$2:$Q$100, AO114)))))"),"Point")</f>
        <v>Point</v>
      </c>
      <c r="AQ114" s="12">
        <f>IFERROR(__xludf.DUMMYFUNCTION("IFERROR(VALUE(REGEXEXTRACT(AO114, ""\d+"")), """")"),30.0)</f>
        <v>30</v>
      </c>
      <c r="AR114" s="12" t="str">
        <f>IFERROR(__xludf.DUMMYFUNCTION("TEXTJOIN("", "", TRUE, FILTER(Validations!$R$2:$R$100, ISNUMBER(SEARCH(Validations!$R$2:$R$100, AO114))))"),"Feet")</f>
        <v>Feet</v>
      </c>
      <c r="AS114" s="27"/>
      <c r="AT114" s="12" t="str">
        <f>IFERROR(__xludf.DUMMYFUNCTION("IFERROR(TEXTJOIN("", "", TRUE, FILTER(Validations!$I$2:$I$100, ISNUMBER(SEARCH(Validations!$I$2:$I$100, AS114)))), """")"),"")</f>
        <v/>
      </c>
      <c r="AU114" s="16" t="str">
        <f t="array" ref="AU114">IFERROR(INDEX(Validations!$J$2:$J$100, MATCH(TRUE, ISNUMBER(SEARCH(Validations!$I$2:$I$100, AT114)), 0)), "")</f>
        <v/>
      </c>
      <c r="AV114" s="12" t="str">
        <f>IFERROR(__xludf.DUMMYFUNCTION("IFERROR(VALUE(REGEXEXTRACT(AS114, ""\d+"")), """")"),"")</f>
        <v/>
      </c>
      <c r="AW114" s="12" t="str">
        <f>IFERROR(__xludf.DUMMYFUNCTION("IFERROR(TEXTJOIN("", "", TRUE, FILTER(Validations!$Q$2:$Q$100, ISNUMBER(SEARCH(Validations!$Q$2:$Q$100, AS114)))), """")"),"")</f>
        <v/>
      </c>
      <c r="AX114" s="28" t="s">
        <v>142</v>
      </c>
      <c r="AY114" s="28" t="str">
        <f>IFERROR(__xludf.DUMMYFUNCTION("TEXTJOIN("", "", TRUE, FILTER(Validations!$Y$2:$Y$100, ISNUMBER(SEARCH(Validations!$X$2:$X$100, AX114))))"),"V, S")</f>
        <v>V, S</v>
      </c>
      <c r="AZ114" s="27"/>
      <c r="BA114" s="22"/>
      <c r="BB114" s="22"/>
      <c r="BC114" s="22"/>
      <c r="BD114" s="22"/>
      <c r="BE114" s="27"/>
      <c r="BF114" s="22"/>
      <c r="BG114" s="27"/>
      <c r="BH114" s="27"/>
      <c r="BI114" s="12" t="str">
        <f>IFERROR(__xludf.DUMMYFUNCTION("IFERROR(TEXTJOIN("", "", TRUE, FILTER(SRD!$A$2:$A$1000, EXACT(SRD!$A$2:$A$1000, J114))), """")"),"")</f>
        <v/>
      </c>
      <c r="BJ114" s="29"/>
      <c r="BK114" s="29"/>
    </row>
    <row r="115" ht="15.75" customHeight="1">
      <c r="A115" s="30" t="s">
        <v>580</v>
      </c>
      <c r="B115" s="22"/>
      <c r="C115" s="16"/>
      <c r="D115" s="16" t="s">
        <v>581</v>
      </c>
      <c r="E115" s="16"/>
      <c r="F115" s="32" t="s">
        <v>582</v>
      </c>
      <c r="G115" s="50" t="s">
        <v>444</v>
      </c>
      <c r="H115" s="16" t="s">
        <v>178</v>
      </c>
      <c r="I115" s="16" t="str">
        <f t="array" ref="I115">INDEX(Validations!$C$2:$C$100, MATCH(TRUE, ISNUMBER(SEARCH(Validations!$B$2:$B$100, H115)), 0))</f>
        <v>A</v>
      </c>
      <c r="J115" s="17" t="s">
        <v>583</v>
      </c>
      <c r="K115" s="18"/>
      <c r="L115" s="17"/>
      <c r="M115" s="17"/>
      <c r="N115" s="27"/>
      <c r="O115" s="17"/>
      <c r="P115" s="21"/>
      <c r="Q115" s="21"/>
      <c r="R115" s="22"/>
      <c r="S115" s="17" t="str">
        <f>IFERROR(__xludf.DUMMYFUNCTION("IFERROR(REGEXEXTRACT(J115, ""(\d{1,3}[dD]\d{1,3})""), """")"),"")</f>
        <v/>
      </c>
      <c r="T115" s="17" t="str">
        <f>IFERROR(__xludf.DUMMYFUNCTION("IF(COUNTIF(ARRAYFORMULA(LOWER(Validations!$O$2:$O$100)), LOWER(REGEXEXTRACT(J115, ""\d{1,3}[dD]\d{1,3}\s+(\w+)"")))&gt;0, REGEXEXTRACT(J115, ""\d{1,3}[dD]\d{1,3}\s+(\w+)""), """")"),"")</f>
        <v/>
      </c>
      <c r="U115" s="17" t="str">
        <f>IFERROR(__xludf.DUMMYFUNCTION("IF(COUNTIF(ARRAYFORMULA(LOWER(Validations!$P$2:$P$100)), LOWER(REGEXEXTRACT(J115, ""\d{1,3}[dD]\d{1,3}\s+(\w+)"")))&gt;0, REGEXEXTRACT(J115, ""\d{1,3}[dD]\d{1,3}\s+(\w+)""), """")"),"")</f>
        <v/>
      </c>
      <c r="V115" s="12" t="str">
        <f>IFERROR(__xludf.DUMMYFUNCTION("TEXTJOIN("", "", TRUE, FILTER(Validations!$L$2:$L$100, ISNUMBER(SEARCH(Validations!$L$2:$L$100, J115))))"),"Invisible")</f>
        <v>Invisible</v>
      </c>
      <c r="W115" s="12" t="str">
        <f>IFERROR(__xludf.DUMMYFUNCTION("IFERROR(TEXTJOIN("", "", TRUE, FILTER(Validations!$M$2:$M$100, ISNUMBER(SEARCH(Validations!$M$2:$M$100 &amp; "" saving throw"", J115)))), """")"),"")</f>
        <v/>
      </c>
      <c r="X115" s="12"/>
      <c r="Y115" s="12"/>
      <c r="Z115" s="12" t="str">
        <f>IFERROR(__xludf.DUMMYFUNCTION("IFERROR(TEXTJOIN("", "", TRUE, FILTER(Validations!$N$2:$N$100, ISNUMBER(SEARCH(Validations!$N$2:$N$100 &amp; "" check"", J115)))), """")"),"")</f>
        <v/>
      </c>
      <c r="AA115" s="12" t="str">
        <f>IFERROR(__xludf.DUMMYFUNCTION("IFERROR(TEXTJOIN("", "", TRUE, FILTER(Validations!$N$2:$N$100, ISNUMBER(SEARCH(Validations!$N$2:$N$100 &amp; "" check"", W115)))), """")"),"")</f>
        <v/>
      </c>
      <c r="AB115" s="23" t="str">
        <f>IFERROR(__xludf.DUMMYFUNCTION("IFERROR(CONCATENATE(IF(ISNUMBER(SEARCH(Validations!$M$2:$M$100 &amp; "" spell save"", J115)),""Spell Save"",""""), REGEXEXTRACT(J115, ""DC (\d+)"")), """")"),"")</f>
        <v/>
      </c>
      <c r="AC115" s="24" t="b">
        <v>0</v>
      </c>
      <c r="AD115" s="24" t="b">
        <v>0</v>
      </c>
      <c r="AE115" s="36" t="s">
        <v>69</v>
      </c>
      <c r="AF115" s="25">
        <f>IFERROR(__xludf.DUMMYFUNCTION("IFERROR(VALUE(REGEXEXTRACT(AE115, ""\d+"")), 1)"),1.0)</f>
        <v>1</v>
      </c>
      <c r="AG115" s="12" t="str">
        <f>IFERROR(__xludf.DUMMYFUNCTION("IF(
  ISNUMBER(SEARCH(""Bonus Action"", AE115)),
  ""Bonus Action"",
  IF(
    ISNUMBER(SEARCH(""Reaction"", AE115)),
    ""Reaction"",
    IF(
      ISNUMBER(SEARCH(""Action"", AE115)),
      ""Action"",
      TEXTJOIN("", "", TRUE, FILTER(Validations!$S"&amp;"$2:$S$100, ISNUMBER(SEARCH(Validations!$S$2:$S$100, AE115))))
    )
  )
)"),"Action")</f>
        <v>Action</v>
      </c>
      <c r="AH115" s="36"/>
      <c r="AI115" s="20" t="s">
        <v>134</v>
      </c>
      <c r="AJ115" s="26" t="str">
        <f>IFERROR(__xludf.DUMMYFUNCTION("TEXTJOIN("", "", TRUE, FILTER(Validations!$T$2:$T$100, ISNUMBER(SEARCH(Validations!$T$2:$T$100, AI115))))"),"")</f>
        <v/>
      </c>
      <c r="AK115" s="26">
        <f>IFERROR(__xludf.DUMMYFUNCTION("IFERROR(VALUE(REGEXEXTRACT(AI115, ""\d+"")), """")"),10.0)</f>
        <v>10</v>
      </c>
      <c r="AL115" s="26" t="str">
        <f>IFERROR(__xludf.DUMMYFUNCTION("TEXTJOIN("", "", TRUE, FILTER(Validations!$U$2:$U$100, ISNUMBER(SEARCH(Validations!$U$2:$U$100, AI115))))"),"Minutes")</f>
        <v>Minutes</v>
      </c>
      <c r="AM115" s="24" t="b">
        <f t="shared" si="1"/>
        <v>0</v>
      </c>
      <c r="AN115" s="24" t="b">
        <v>1</v>
      </c>
      <c r="AO115" s="36" t="s">
        <v>440</v>
      </c>
      <c r="AP115" s="12" t="str">
        <f>IFERROR(__xludf.DUMMYFUNCTION("IF(TEXTJOIN("", "", TRUE, FILTER(Validations!$Q$2:$Q$100, ISNUMBER(SEARCH(Validations!$Q$2:$Q$100, AO115)))) = """", Validations!$Q$2, TEXTJOIN("", "", TRUE, FILTER(Validations!$Q$2:$Q$100, ISNUMBER(SEARCH(Validations!$Q$2:$Q$100, AO115)))))"),"Point")</f>
        <v>Point</v>
      </c>
      <c r="AQ115" s="12">
        <f>IFERROR(__xludf.DUMMYFUNCTION("IFERROR(VALUE(REGEXEXTRACT(AO115, ""\d+"")), """")"),60.0)</f>
        <v>60</v>
      </c>
      <c r="AR115" s="12" t="str">
        <f>IFERROR(__xludf.DUMMYFUNCTION("TEXTJOIN("", "", TRUE, FILTER(Validations!$R$2:$R$100, ISNUMBER(SEARCH(Validations!$R$2:$R$100, AO115))))"),"Feet")</f>
        <v>Feet</v>
      </c>
      <c r="AS115" s="20" t="s">
        <v>584</v>
      </c>
      <c r="AT115" s="12" t="str">
        <f>IFERROR(__xludf.DUMMYFUNCTION("IFERROR(TEXTJOIN("", "", TRUE, FILTER(Validations!$I$2:$I$100, ISNUMBER(SEARCH(Validations!$I$2:$I$100, AS115)))), """")"),"Sphere")</f>
        <v>Sphere</v>
      </c>
      <c r="AU115" s="16" t="str">
        <f t="array" ref="AU115">IFERROR(INDEX(Validations!$J$2:$J$100, MATCH(TRUE, ISNUMBER(SEARCH(Validations!$I$2:$I$100, AT115)), 0)), "")</f>
        <v>S</v>
      </c>
      <c r="AV115" s="12">
        <f>IFERROR(__xludf.DUMMYFUNCTION("IFERROR(VALUE(REGEXEXTRACT(AS115, ""\d+"")), """")"),20.0)</f>
        <v>20</v>
      </c>
      <c r="AW115" s="12" t="str">
        <f>IFERROR(__xludf.DUMMYFUNCTION("IFERROR(TEXTJOIN("", "", TRUE, FILTER(Validations!$Q$2:$Q$100, ISNUMBER(SEARCH(Validations!$Q$2:$Q$100, AS115)))), """")"),"Radius, Sphere")</f>
        <v>Radius, Sphere</v>
      </c>
      <c r="AX115" s="28" t="s">
        <v>152</v>
      </c>
      <c r="AY115" s="28" t="str">
        <f>IFERROR(__xludf.DUMMYFUNCTION("TEXTJOIN("", "", TRUE, FILTER(Validations!$Y$2:$Y$100, ISNUMBER(SEARCH(Validations!$X$2:$X$100, AX115))))"),"V, S, R")</f>
        <v>V, S, R</v>
      </c>
      <c r="AZ115" s="20" t="s">
        <v>585</v>
      </c>
      <c r="BA115" s="22"/>
      <c r="BB115" s="22"/>
      <c r="BC115" s="22"/>
      <c r="BD115" s="22"/>
      <c r="BE115" s="27"/>
      <c r="BF115" s="22"/>
      <c r="BG115" s="27"/>
      <c r="BH115" s="27"/>
      <c r="BI115" s="12" t="str">
        <f>IFERROR(__xludf.DUMMYFUNCTION("IFERROR(TEXTJOIN("", "", TRUE, FILTER(SRD!$A$2:$A$1000, EXACT(SRD!$A$2:$A$1000, J115))), """")"),"")</f>
        <v/>
      </c>
      <c r="BJ115" s="29"/>
      <c r="BK115" s="29"/>
    </row>
    <row r="116" ht="15.75" customHeight="1">
      <c r="A116" s="11" t="s">
        <v>586</v>
      </c>
      <c r="B116" s="12"/>
      <c r="C116" s="16"/>
      <c r="D116" s="16" t="s">
        <v>587</v>
      </c>
      <c r="E116" s="16"/>
      <c r="F116" s="32" t="s">
        <v>365</v>
      </c>
      <c r="G116" s="50" t="s">
        <v>444</v>
      </c>
      <c r="H116" s="31" t="s">
        <v>183</v>
      </c>
      <c r="I116" s="16" t="str">
        <f t="array" ref="I116">INDEX(Validations!$C$2:$C$100, MATCH(TRUE, ISNUMBER(SEARCH(Validations!$B$2:$B$100, H116)), 0))</f>
        <v>E</v>
      </c>
      <c r="J116" s="17" t="s">
        <v>588</v>
      </c>
      <c r="K116" s="18"/>
      <c r="L116" s="17"/>
      <c r="M116" s="17"/>
      <c r="N116" s="27"/>
      <c r="O116" s="17"/>
      <c r="P116" s="21"/>
      <c r="Q116" s="21"/>
      <c r="R116" s="22"/>
      <c r="S116" s="17" t="str">
        <f>IFERROR(__xludf.DUMMYFUNCTION("IFERROR(REGEXEXTRACT(J116, ""(\d{1,3}[dD]\d{1,3})""), """")"),"")</f>
        <v/>
      </c>
      <c r="T116" s="17" t="str">
        <f>IFERROR(__xludf.DUMMYFUNCTION("IF(COUNTIF(ARRAYFORMULA(LOWER(Validations!$O$2:$O$100)), LOWER(REGEXEXTRACT(J116, ""\d{1,3}[dD]\d{1,3}\s+(\w+)"")))&gt;0, REGEXEXTRACT(J116, ""\d{1,3}[dD]\d{1,3}\s+(\w+)""), """")"),"")</f>
        <v/>
      </c>
      <c r="U116" s="17" t="str">
        <f>IFERROR(__xludf.DUMMYFUNCTION("IF(COUNTIF(ARRAYFORMULA(LOWER(Validations!$P$2:$P$100)), LOWER(REGEXEXTRACT(J116, ""\d{1,3}[dD]\d{1,3}\s+(\w+)"")))&gt;0, REGEXEXTRACT(J116, ""\d{1,3}[dD]\d{1,3}\s+(\w+)""), """")"),"")</f>
        <v/>
      </c>
      <c r="V116" s="12" t="str">
        <f>IFERROR(__xludf.DUMMYFUNCTION("TEXTJOIN("", "", TRUE, FILTER(Validations!$L$2:$L$100, ISNUMBER(SEARCH(Validations!$L$2:$L$100, J116))))"),"")</f>
        <v/>
      </c>
      <c r="W116" s="12" t="str">
        <f>IFERROR(__xludf.DUMMYFUNCTION("IFERROR(TEXTJOIN("", "", TRUE, FILTER(Validations!$M$2:$M$100, ISNUMBER(SEARCH(Validations!$M$2:$M$100 &amp; "" saving throw"", J116)))), """")"),"Constitution")</f>
        <v>Constitution</v>
      </c>
      <c r="X116" s="12"/>
      <c r="Y116" s="12"/>
      <c r="Z116" s="12" t="str">
        <f>IFERROR(__xludf.DUMMYFUNCTION("IFERROR(TEXTJOIN("", "", TRUE, FILTER(Validations!$N$2:$N$100, ISNUMBER(SEARCH(Validations!$N$2:$N$100 &amp; "" check"", J116)))), """")"),"")</f>
        <v/>
      </c>
      <c r="AA116" s="12" t="str">
        <f>IFERROR(__xludf.DUMMYFUNCTION("IFERROR(TEXTJOIN("", "", TRUE, FILTER(Validations!$N$2:$N$100, ISNUMBER(SEARCH(Validations!$N$2:$N$100 &amp; "" check"", W116)))), """")"),"")</f>
        <v/>
      </c>
      <c r="AB116" s="23" t="str">
        <f>IFERROR(__xludf.DUMMYFUNCTION("IFERROR(CONCATENATE(IF(ISNUMBER(SEARCH(Validations!$M$2:$M$100 &amp; "" spell save"", J116)),""Spell Save"",""""), REGEXEXTRACT(J116, ""DC (\d+)"")), """")"),"")</f>
        <v/>
      </c>
      <c r="AC116" s="24" t="b">
        <v>0</v>
      </c>
      <c r="AD116" s="24" t="b">
        <v>0</v>
      </c>
      <c r="AE116" s="36" t="s">
        <v>573</v>
      </c>
      <c r="AF116" s="25">
        <f>IFERROR(__xludf.DUMMYFUNCTION("IFERROR(VALUE(REGEXEXTRACT(AE116, ""\d+"")), 1)"),1.0)</f>
        <v>1</v>
      </c>
      <c r="AG116" s="12" t="str">
        <f>IFERROR(__xludf.DUMMYFUNCTION("IF(
  ISNUMBER(SEARCH(""Bonus Action"", AE116)),
  ""Bonus Action"",
  IF(
    ISNUMBER(SEARCH(""Reaction"", AE116)),
    ""Reaction"",
    IF(
      ISNUMBER(SEARCH(""Action"", AE116)),
      ""Action"",
      TEXTJOIN("", "", TRUE, FILTER(Validations!$S"&amp;"$2:$S$100, ISNUMBER(SEARCH(Validations!$S$2:$S$100, AE116))))
    )
  )
)"),"Reaction")</f>
        <v>Reaction</v>
      </c>
      <c r="AH116" s="36" t="s">
        <v>589</v>
      </c>
      <c r="AI116" s="20" t="s">
        <v>87</v>
      </c>
      <c r="AJ116" s="26" t="str">
        <f>IFERROR(__xludf.DUMMYFUNCTION("TEXTJOIN("", "", TRUE, FILTER(Validations!$T$2:$T$100, ISNUMBER(SEARCH(Validations!$T$2:$T$100, AI116))))"),"")</f>
        <v/>
      </c>
      <c r="AK116" s="26">
        <f>IFERROR(__xludf.DUMMYFUNCTION("IFERROR(VALUE(REGEXEXTRACT(AI116, ""\d+"")), """")"),1.0)</f>
        <v>1</v>
      </c>
      <c r="AL116" s="26" t="str">
        <f>IFERROR(__xludf.DUMMYFUNCTION("TEXTJOIN("", "", TRUE, FILTER(Validations!$U$2:$U$100, ISNUMBER(SEARCH(Validations!$U$2:$U$100, AI116))))"),"Rounds")</f>
        <v>Rounds</v>
      </c>
      <c r="AM116" s="24" t="b">
        <f t="shared" si="1"/>
        <v>0</v>
      </c>
      <c r="AN116" s="24" t="b">
        <v>0</v>
      </c>
      <c r="AO116" s="22" t="s">
        <v>112</v>
      </c>
      <c r="AP116" s="12" t="str">
        <f>IFERROR(__xludf.DUMMYFUNCTION("IF(TEXTJOIN("", "", TRUE, FILTER(Validations!$Q$2:$Q$100, ISNUMBER(SEARCH(Validations!$Q$2:$Q$100, AO116)))) = """", Validations!$Q$2, TEXTJOIN("", "", TRUE, FILTER(Validations!$Q$2:$Q$100, ISNUMBER(SEARCH(Validations!$Q$2:$Q$100, AO116)))))"),"Point")</f>
        <v>Point</v>
      </c>
      <c r="AQ116" s="12">
        <f>IFERROR(__xludf.DUMMYFUNCTION("IFERROR(VALUE(REGEXEXTRACT(AO116, ""\d+"")), """")"),30.0)</f>
        <v>30</v>
      </c>
      <c r="AR116" s="12" t="str">
        <f>IFERROR(__xludf.DUMMYFUNCTION("TEXTJOIN("", "", TRUE, FILTER(Validations!$R$2:$R$100, ISNUMBER(SEARCH(Validations!$R$2:$R$100, AO116))))"),"Feet")</f>
        <v>Feet</v>
      </c>
      <c r="AS116" s="27"/>
      <c r="AT116" s="12" t="str">
        <f>IFERROR(__xludf.DUMMYFUNCTION("IFERROR(TEXTJOIN("", "", TRUE, FILTER(Validations!$I$2:$I$100, ISNUMBER(SEARCH(Validations!$I$2:$I$100, AS116)))), """")"),"")</f>
        <v/>
      </c>
      <c r="AU116" s="16" t="str">
        <f t="array" ref="AU116">IFERROR(INDEX(Validations!$J$2:$J$100, MATCH(TRUE, ISNUMBER(SEARCH(Validations!$I$2:$I$100, AT116)), 0)), "")</f>
        <v/>
      </c>
      <c r="AV116" s="12" t="str">
        <f>IFERROR(__xludf.DUMMYFUNCTION("IFERROR(VALUE(REGEXEXTRACT(AS116, ""\d+"")), """")"),"")</f>
        <v/>
      </c>
      <c r="AW116" s="12" t="str">
        <f>IFERROR(__xludf.DUMMYFUNCTION("IFERROR(TEXTJOIN("", "", TRUE, FILTER(Validations!$Q$2:$Q$100, ISNUMBER(SEARCH(Validations!$Q$2:$Q$100, AS116)))), """")"),"")</f>
        <v/>
      </c>
      <c r="AX116" s="28" t="s">
        <v>248</v>
      </c>
      <c r="AY116" s="28" t="str">
        <f>IFERROR(__xludf.DUMMYFUNCTION("TEXTJOIN("", "", TRUE, FILTER(Validations!$Y$2:$Y$100, ISNUMBER(SEARCH(Validations!$X$2:$X$100, AX116))))"),"V")</f>
        <v>V</v>
      </c>
      <c r="AZ116" s="27"/>
      <c r="BA116" s="22"/>
      <c r="BB116" s="22"/>
      <c r="BC116" s="22"/>
      <c r="BD116" s="22"/>
      <c r="BE116" s="27"/>
      <c r="BF116" s="22"/>
      <c r="BG116" s="27"/>
      <c r="BH116" s="27"/>
      <c r="BI116" s="12" t="str">
        <f>IFERROR(__xludf.DUMMYFUNCTION("IFERROR(TEXTJOIN("", "", TRUE, FILTER(SRD!$A$2:$A$1000, EXACT(SRD!$A$2:$A$1000, J116))), """")"),"")</f>
        <v/>
      </c>
      <c r="BJ116" s="29"/>
      <c r="BK116" s="29"/>
    </row>
    <row r="117" ht="15.75" customHeight="1">
      <c r="A117" s="38" t="s">
        <v>590</v>
      </c>
      <c r="B117" s="12"/>
      <c r="C117" s="13"/>
      <c r="D117" s="13" t="s">
        <v>62</v>
      </c>
      <c r="E117" s="13"/>
      <c r="F117" s="14" t="s">
        <v>591</v>
      </c>
      <c r="G117" s="50" t="s">
        <v>444</v>
      </c>
      <c r="H117" s="16" t="s">
        <v>140</v>
      </c>
      <c r="I117" s="16" t="str">
        <f t="array" ref="I117">INDEX(Validations!$C$2:$C$100, MATCH(TRUE, ISNUMBER(SEARCH(Validations!$B$2:$B$100, H117)), 0))</f>
        <v>N</v>
      </c>
      <c r="J117" s="17" t="s">
        <v>592</v>
      </c>
      <c r="K117" s="18"/>
      <c r="L117" s="17"/>
      <c r="M117" s="37" t="s">
        <v>593</v>
      </c>
      <c r="N117" s="20" t="s">
        <v>594</v>
      </c>
      <c r="O117" s="17" t="s">
        <v>595</v>
      </c>
      <c r="P117" s="21"/>
      <c r="Q117" s="21"/>
      <c r="R117" s="22"/>
      <c r="S117" s="17" t="str">
        <f>IFERROR(__xludf.DUMMYFUNCTION("IFERROR(REGEXEXTRACT(J117, ""(\d{1,3}[dD]\d{1,3})""), """")"),"")</f>
        <v/>
      </c>
      <c r="T117" s="17" t="str">
        <f>IFERROR(__xludf.DUMMYFUNCTION("IF(COUNTIF(ARRAYFORMULA(LOWER(Validations!$O$2:$O$100)), LOWER(REGEXEXTRACT(J117, ""\d{1,3}[dD]\d{1,3}\s+(\w+)"")))&gt;0, REGEXEXTRACT(J117, ""\d{1,3}[dD]\d{1,3}\s+(\w+)""), """")"),"")</f>
        <v/>
      </c>
      <c r="U117" s="17" t="str">
        <f>IFERROR(__xludf.DUMMYFUNCTION("IF(COUNTIF(ARRAYFORMULA(LOWER(Validations!$P$2:$P$100)), LOWER(REGEXEXTRACT(J117, ""\d{1,3}[dD]\d{1,3}\s+(\w+)"")))&gt;0, REGEXEXTRACT(J117, ""\d{1,3}[dD]\d{1,3}\s+(\w+)""), """")"),"")</f>
        <v/>
      </c>
      <c r="V117" s="12" t="str">
        <f>IFERROR(__xludf.DUMMYFUNCTION("TEXTJOIN("", "", TRUE, FILTER(Validations!$L$2:$L$100, ISNUMBER(SEARCH(Validations!$L$2:$L$100, J117))))"),"")</f>
        <v/>
      </c>
      <c r="W117" s="12" t="str">
        <f>IFERROR(__xludf.DUMMYFUNCTION("IFERROR(TEXTJOIN("", "", TRUE, FILTER(Validations!$M$2:$M$100, ISNUMBER(SEARCH(Validations!$M$2:$M$100 &amp; "" saving throw"", J117)))), """")"),"Wisdom")</f>
        <v>Wisdom</v>
      </c>
      <c r="X117" s="12"/>
      <c r="Y117" s="12"/>
      <c r="Z117" s="12" t="str">
        <f>IFERROR(__xludf.DUMMYFUNCTION("IFERROR(TEXTJOIN("", "", TRUE, FILTER(Validations!$N$2:$N$100, ISNUMBER(SEARCH(Validations!$N$2:$N$100 &amp; "" check"", J117)))), """")"),"")</f>
        <v/>
      </c>
      <c r="AA117" s="12" t="str">
        <f>IFERROR(__xludf.DUMMYFUNCTION("IFERROR(TEXTJOIN("", "", TRUE, FILTER(Validations!$N$2:$N$100, ISNUMBER(SEARCH(Validations!$N$2:$N$100 &amp; "" check"", W117)))), """")"),"")</f>
        <v/>
      </c>
      <c r="AB117" s="23" t="str">
        <f>IFERROR(__xludf.DUMMYFUNCTION("IFERROR(CONCATENATE(IF(ISNUMBER(SEARCH(Validations!$M$2:$M$100 &amp; "" spell save"", J117)),""Spell Save"",""""), REGEXEXTRACT(J117, ""DC (\d+)"")), """")"),"")</f>
        <v/>
      </c>
      <c r="AC117" s="24" t="b">
        <v>0</v>
      </c>
      <c r="AD117" s="24" t="b">
        <v>0</v>
      </c>
      <c r="AE117" s="12" t="s">
        <v>69</v>
      </c>
      <c r="AF117" s="25">
        <f>IFERROR(__xludf.DUMMYFUNCTION("IFERROR(VALUE(REGEXEXTRACT(AE117, ""\d+"")), 1)"),1.0)</f>
        <v>1</v>
      </c>
      <c r="AG117" s="12" t="str">
        <f>IFERROR(__xludf.DUMMYFUNCTION("IF(
  ISNUMBER(SEARCH(""Bonus Action"", AE117)),
  ""Bonus Action"",
  IF(
    ISNUMBER(SEARCH(""Reaction"", AE117)),
    ""Reaction"",
    IF(
      ISNUMBER(SEARCH(""Action"", AE117)),
      ""Action"",
      TEXTJOIN("", "", TRUE, FILTER(Validations!$S"&amp;"$2:$S$100, ISNUMBER(SEARCH(Validations!$S$2:$S$100, AE117))))
    )
  )
)"),"Action")</f>
        <v>Action</v>
      </c>
      <c r="AH117" s="12"/>
      <c r="AI117" s="20" t="s">
        <v>596</v>
      </c>
      <c r="AJ117" s="26" t="str">
        <f>IFERROR(__xludf.DUMMYFUNCTION("TEXTJOIN("", "", TRUE, FILTER(Validations!$T$2:$T$100, ISNUMBER(SEARCH(Validations!$T$2:$T$100, AI117))))"),"")</f>
        <v/>
      </c>
      <c r="AK117" s="26">
        <f>IFERROR(__xludf.DUMMYFUNCTION("IFERROR(VALUE(REGEXEXTRACT(AI117, ""\d+"")), """")"),3.0)</f>
        <v>3</v>
      </c>
      <c r="AL117" s="26" t="str">
        <f>IFERROR(__xludf.DUMMYFUNCTION("TEXTJOIN("", "", TRUE, FILTER(Validations!$U$2:$U$100, ISNUMBER(SEARCH(Validations!$U$2:$U$100, AI117))))"),"Days")</f>
        <v>Days</v>
      </c>
      <c r="AM117" s="24" t="b">
        <f t="shared" si="1"/>
        <v>0</v>
      </c>
      <c r="AN117" s="24" t="b">
        <v>0</v>
      </c>
      <c r="AO117" s="36" t="s">
        <v>389</v>
      </c>
      <c r="AP117" s="12" t="str">
        <f>IFERROR(__xludf.DUMMYFUNCTION("IF(TEXTJOIN("", "", TRUE, FILTER(Validations!$Q$2:$Q$100, ISNUMBER(SEARCH(Validations!$Q$2:$Q$100, AO117)))) = """", Validations!$Q$2, TEXTJOIN("", "", TRUE, FILTER(Validations!$Q$2:$Q$100, ISNUMBER(SEARCH(Validations!$Q$2:$Q$100, AO117)))))"),"Point")</f>
        <v>Point</v>
      </c>
      <c r="AQ117" s="12">
        <f>IFERROR(__xludf.DUMMYFUNCTION("IFERROR(VALUE(REGEXEXTRACT(AO117, ""\d+"")), """")"),20.0)</f>
        <v>20</v>
      </c>
      <c r="AR117" s="12" t="str">
        <f>IFERROR(__xludf.DUMMYFUNCTION("TEXTJOIN("", "", TRUE, FILTER(Validations!$R$2:$R$100, ISNUMBER(SEARCH(Validations!$R$2:$R$100, AO117))))"),"Feet")</f>
        <v>Feet</v>
      </c>
      <c r="AS117" s="27"/>
      <c r="AT117" s="12" t="str">
        <f>IFERROR(__xludf.DUMMYFUNCTION("IFERROR(TEXTJOIN("", "", TRUE, FILTER(Validations!$I$2:$I$100, ISNUMBER(SEARCH(Validations!$I$2:$I$100, AS117)))), """")"),"")</f>
        <v/>
      </c>
      <c r="AU117" s="16" t="str">
        <f t="array" ref="AU117">IFERROR(INDEX(Validations!$J$2:$J$100, MATCH(TRUE, ISNUMBER(SEARCH(Validations!$I$2:$I$100, AT117)), 0)), "")</f>
        <v/>
      </c>
      <c r="AV117" s="12" t="str">
        <f>IFERROR(__xludf.DUMMYFUNCTION("IFERROR(VALUE(REGEXEXTRACT(AS117, ""\d+"")), """")"),"")</f>
        <v/>
      </c>
      <c r="AW117" s="12" t="str">
        <f>IFERROR(__xludf.DUMMYFUNCTION("IFERROR(TEXTJOIN("", "", TRUE, FILTER(Validations!$Q$2:$Q$100, ISNUMBER(SEARCH(Validations!$Q$2:$Q$100, AS117)))), """")"),"")</f>
        <v/>
      </c>
      <c r="AX117" s="28" t="s">
        <v>72</v>
      </c>
      <c r="AY117" s="28" t="str">
        <f>IFERROR(__xludf.DUMMYFUNCTION("TEXTJOIN("", "", TRUE, FILTER(Validations!$Y$2:$Y$100, ISNUMBER(SEARCH(Validations!$X$2:$X$100, AX117))))"),"V, S")</f>
        <v>V, S</v>
      </c>
      <c r="AZ117" s="26"/>
      <c r="BA117" s="12"/>
      <c r="BB117" s="22"/>
      <c r="BC117" s="22"/>
      <c r="BD117" s="22"/>
      <c r="BE117" s="27"/>
      <c r="BF117" s="28" t="s">
        <v>597</v>
      </c>
      <c r="BG117" s="27"/>
      <c r="BH117" s="27"/>
      <c r="BI117" s="12" t="str">
        <f>IFERROR(__xludf.DUMMYFUNCTION("IFERROR(TEXTJOIN("", "", TRUE, FILTER(SRD!$A$2:$A$1000, EXACT(SRD!$A$2:$A$1000, J117))), """")"),"")</f>
        <v/>
      </c>
      <c r="BJ117" s="29"/>
      <c r="BK117" s="29"/>
    </row>
    <row r="118" ht="15.75" customHeight="1">
      <c r="A118" s="38" t="s">
        <v>598</v>
      </c>
      <c r="B118" s="12"/>
      <c r="C118" s="13"/>
      <c r="D118" s="13" t="s">
        <v>599</v>
      </c>
      <c r="E118" s="13"/>
      <c r="F118" s="14" t="s">
        <v>600</v>
      </c>
      <c r="G118" s="50" t="s">
        <v>444</v>
      </c>
      <c r="H118" s="31" t="s">
        <v>103</v>
      </c>
      <c r="I118" s="16" t="str">
        <f t="array" ref="I118">INDEX(Validations!$C$2:$C$100, MATCH(TRUE, ISNUMBER(SEARCH(Validations!$B$2:$B$100, H118)), 0))</f>
        <v>C</v>
      </c>
      <c r="J118" s="17" t="s">
        <v>601</v>
      </c>
      <c r="K118" s="18"/>
      <c r="L118" s="17"/>
      <c r="M118" s="37"/>
      <c r="N118" s="27"/>
      <c r="O118" s="17" t="s">
        <v>602</v>
      </c>
      <c r="P118" s="21"/>
      <c r="Q118" s="21"/>
      <c r="R118" s="22"/>
      <c r="S118" s="17" t="str">
        <f>IFERROR(__xludf.DUMMYFUNCTION("IFERROR(REGEXEXTRACT(J118, ""(\d{1,3}[dD]\d{1,3})""), """")"),"")</f>
        <v/>
      </c>
      <c r="T118" s="17" t="str">
        <f>IFERROR(__xludf.DUMMYFUNCTION("IF(COUNTIF(ARRAYFORMULA(LOWER(Validations!$O$2:$O$100)), LOWER(REGEXEXTRACT(J118, ""\d{1,3}[dD]\d{1,3}\s+(\w+)"")))&gt;0, REGEXEXTRACT(J118, ""\d{1,3}[dD]\d{1,3}\s+(\w+)""), """")"),"")</f>
        <v/>
      </c>
      <c r="U118" s="17" t="str">
        <f>IFERROR(__xludf.DUMMYFUNCTION("IF(COUNTIF(ARRAYFORMULA(LOWER(Validations!$P$2:$P$100)), LOWER(REGEXEXTRACT(J118, ""\d{1,3}[dD]\d{1,3}\s+(\w+)"")))&gt;0, REGEXEXTRACT(J118, ""\d{1,3}[dD]\d{1,3}\s+(\w+)""), """")"),"")</f>
        <v/>
      </c>
      <c r="V118" s="12" t="str">
        <f>IFERROR(__xludf.DUMMYFUNCTION("TEXTJOIN("", "", TRUE, FILTER(Validations!$L$2:$L$100, ISNUMBER(SEARCH(Validations!$L$2:$L$100, J118))))"),"Incapacitated, Invisible")</f>
        <v>Incapacitated, Invisible</v>
      </c>
      <c r="W118" s="12" t="str">
        <f>IFERROR(__xludf.DUMMYFUNCTION("IFERROR(TEXTJOIN("", "", TRUE, FILTER(Validations!$M$2:$M$100, ISNUMBER(SEARCH(Validations!$M$2:$M$100 &amp; "" saving throw"", J118)))), """")"),"Wisdom")</f>
        <v>Wisdom</v>
      </c>
      <c r="X118" s="12"/>
      <c r="Y118" s="12"/>
      <c r="Z118" s="12" t="str">
        <f>IFERROR(__xludf.DUMMYFUNCTION("IFERROR(TEXTJOIN("", "", TRUE, FILTER(Validations!$N$2:$N$100, ISNUMBER(SEARCH(Validations!$N$2:$N$100 &amp; "" check"", J118)))), """")"),"")</f>
        <v/>
      </c>
      <c r="AA118" s="12" t="str">
        <f>IFERROR(__xludf.DUMMYFUNCTION("IFERROR(TEXTJOIN("", "", TRUE, FILTER(Validations!$N$2:$N$100, ISNUMBER(SEARCH(Validations!$N$2:$N$100 &amp; "" check"", W118)))), """")"),"")</f>
        <v/>
      </c>
      <c r="AB118" s="23" t="str">
        <f>IFERROR(__xludf.DUMMYFUNCTION("IFERROR(CONCATENATE(IF(ISNUMBER(SEARCH(Validations!$M$2:$M$100 &amp; "" spell save"", J118)),""Spell Save"",""""), REGEXEXTRACT(J118, ""DC (\d+)"")), """")"),"")</f>
        <v/>
      </c>
      <c r="AC118" s="24" t="b">
        <v>0</v>
      </c>
      <c r="AD118" s="24" t="b">
        <v>0</v>
      </c>
      <c r="AE118" s="12" t="s">
        <v>69</v>
      </c>
      <c r="AF118" s="25">
        <f>IFERROR(__xludf.DUMMYFUNCTION("IFERROR(VALUE(REGEXEXTRACT(AE118, ""\d+"")), 1)"),1.0)</f>
        <v>1</v>
      </c>
      <c r="AG118" s="12" t="str">
        <f>IFERROR(__xludf.DUMMYFUNCTION("IF(
  ISNUMBER(SEARCH(""Bonus Action"", AE118)),
  ""Bonus Action"",
  IF(
    ISNUMBER(SEARCH(""Reaction"", AE118)),
    ""Reaction"",
    IF(
      ISNUMBER(SEARCH(""Action"", AE118)),
      ""Action"",
      TEXTJOIN("", "", TRUE, FILTER(Validations!$S"&amp;"$2:$S$100, ISNUMBER(SEARCH(Validations!$S$2:$S$100, AE118))))
    )
  )
)"),"Action")</f>
        <v>Action</v>
      </c>
      <c r="AH118" s="12"/>
      <c r="AI118" s="26" t="s">
        <v>70</v>
      </c>
      <c r="AJ118" s="26" t="str">
        <f>IFERROR(__xludf.DUMMYFUNCTION("TEXTJOIN("", "", TRUE, FILTER(Validations!$T$2:$T$100, ISNUMBER(SEARCH(Validations!$T$2:$T$100, AI118))))"),"Instantaneous")</f>
        <v>Instantaneous</v>
      </c>
      <c r="AK118" s="26" t="str">
        <f>IFERROR(__xludf.DUMMYFUNCTION("IFERROR(VALUE(REGEXEXTRACT(AI118, ""\d+"")), """")"),"")</f>
        <v/>
      </c>
      <c r="AL118" s="26" t="str">
        <f>IFERROR(__xludf.DUMMYFUNCTION("TEXTJOIN("", "", TRUE, FILTER(Validations!$U$2:$U$100, ISNUMBER(SEARCH(Validations!$U$2:$U$100, AI118))))"),"")</f>
        <v/>
      </c>
      <c r="AM118" s="24" t="b">
        <f t="shared" si="1"/>
        <v>0</v>
      </c>
      <c r="AN118" s="24" t="b">
        <v>0</v>
      </c>
      <c r="AO118" s="12" t="s">
        <v>71</v>
      </c>
      <c r="AP118" s="12" t="str">
        <f>IFERROR(__xludf.DUMMYFUNCTION("IF(TEXTJOIN("", "", TRUE, FILTER(Validations!$Q$2:$Q$100, ISNUMBER(SEARCH(Validations!$Q$2:$Q$100, AO118)))) = """", Validations!$Q$2, TEXTJOIN("", "", TRUE, FILTER(Validations!$Q$2:$Q$100, ISNUMBER(SEARCH(Validations!$Q$2:$Q$100, AO118)))))"),"Point")</f>
        <v>Point</v>
      </c>
      <c r="AQ118" s="12" t="str">
        <f>IFERROR(__xludf.DUMMYFUNCTION("IFERROR(VALUE(REGEXEXTRACT(AO118, ""\d+"")), """")"),"")</f>
        <v/>
      </c>
      <c r="AR118" s="12" t="str">
        <f>IFERROR(__xludf.DUMMYFUNCTION("TEXTJOIN("", "", TRUE, FILTER(Validations!$R$2:$R$100, ISNUMBER(SEARCH(Validations!$R$2:$R$100, AO118))))"),"Touch")</f>
        <v>Touch</v>
      </c>
      <c r="AS118" s="27"/>
      <c r="AT118" s="12" t="str">
        <f>IFERROR(__xludf.DUMMYFUNCTION("IFERROR(TEXTJOIN("", "", TRUE, FILTER(Validations!$I$2:$I$100, ISNUMBER(SEARCH(Validations!$I$2:$I$100, AS118)))), """")"),"")</f>
        <v/>
      </c>
      <c r="AU118" s="16" t="str">
        <f t="array" ref="AU118">IFERROR(INDEX(Validations!$J$2:$J$100, MATCH(TRUE, ISNUMBER(SEARCH(Validations!$I$2:$I$100, AT118)), 0)), "")</f>
        <v/>
      </c>
      <c r="AV118" s="12" t="str">
        <f>IFERROR(__xludf.DUMMYFUNCTION("IFERROR(VALUE(REGEXEXTRACT(AS118, ""\d+"")), """")"),"")</f>
        <v/>
      </c>
      <c r="AW118" s="12" t="str">
        <f>IFERROR(__xludf.DUMMYFUNCTION("IFERROR(TEXTJOIN("", "", TRUE, FILTER(Validations!$Q$2:$Q$100, ISNUMBER(SEARCH(Validations!$Q$2:$Q$100, AS118)))), """")"),"")</f>
        <v/>
      </c>
      <c r="AX118" s="28" t="s">
        <v>72</v>
      </c>
      <c r="AY118" s="28" t="str">
        <f>IFERROR(__xludf.DUMMYFUNCTION("TEXTJOIN("", "", TRUE, FILTER(Validations!$Y$2:$Y$100, ISNUMBER(SEARCH(Validations!$X$2:$X$100, AX118))))"),"V, S")</f>
        <v>V, S</v>
      </c>
      <c r="AZ118" s="26"/>
      <c r="BA118" s="12"/>
      <c r="BB118" s="22"/>
      <c r="BC118" s="22"/>
      <c r="BD118" s="22"/>
      <c r="BE118" s="27"/>
      <c r="BF118" s="22"/>
      <c r="BG118" s="27"/>
      <c r="BH118" s="27"/>
      <c r="BI118" s="12" t="str">
        <f>IFERROR(__xludf.DUMMYFUNCTION("IFERROR(TEXTJOIN("", "", TRUE, FILTER(SRD!$A$2:$A$1000, EXACT(SRD!$A$2:$A$1000, J118))), """")"),"")</f>
        <v/>
      </c>
      <c r="BJ118" s="29"/>
      <c r="BK118" s="29"/>
    </row>
    <row r="119" ht="15.75" customHeight="1">
      <c r="A119" s="38" t="s">
        <v>603</v>
      </c>
      <c r="B119" s="12"/>
      <c r="C119" s="13"/>
      <c r="D119" s="13" t="s">
        <v>604</v>
      </c>
      <c r="E119" s="13"/>
      <c r="F119" s="14" t="s">
        <v>605</v>
      </c>
      <c r="G119" s="50" t="s">
        <v>444</v>
      </c>
      <c r="H119" s="31" t="s">
        <v>103</v>
      </c>
      <c r="I119" s="16" t="str">
        <f t="array" ref="I119">INDEX(Validations!$C$2:$C$100, MATCH(TRUE, ISNUMBER(SEARCH(Validations!$B$2:$B$100, H119)), 0))</f>
        <v>C</v>
      </c>
      <c r="J119" s="17" t="s">
        <v>606</v>
      </c>
      <c r="K119" s="51"/>
      <c r="L119" s="52"/>
      <c r="M119" s="37" t="s">
        <v>607</v>
      </c>
      <c r="N119" s="20" t="s">
        <v>608</v>
      </c>
      <c r="O119" s="52"/>
      <c r="P119" s="53"/>
      <c r="Q119" s="53"/>
      <c r="R119" s="22"/>
      <c r="S119" s="17" t="str">
        <f>IFERROR(__xludf.DUMMYFUNCTION("IFERROR(REGEXEXTRACT(J119, ""(\d{1,3}[dD]\d{1,3})""), """")"),"")</f>
        <v/>
      </c>
      <c r="T119" s="17" t="str">
        <f>IFERROR(__xludf.DUMMYFUNCTION("IF(COUNTIF(ARRAYFORMULA(LOWER(Validations!$O$2:$O$100)), LOWER(REGEXEXTRACT(J119, ""\d{1,3}[dD]\d{1,3}\s+(\w+)"")))&gt;0, REGEXEXTRACT(J119, ""\d{1,3}[dD]\d{1,3}\s+(\w+)""), """")"),"")</f>
        <v/>
      </c>
      <c r="U119" s="17" t="str">
        <f>IFERROR(__xludf.DUMMYFUNCTION("IF(COUNTIF(ARRAYFORMULA(LOWER(Validations!$P$2:$P$100)), LOWER(REGEXEXTRACT(J119, ""\d{1,3}[dD]\d{1,3}\s+(\w+)"")))&gt;0, REGEXEXTRACT(J119, ""\d{1,3}[dD]\d{1,3}\s+(\w+)""), """")"),"")</f>
        <v/>
      </c>
      <c r="V119" s="12" t="str">
        <f>IFERROR(__xludf.DUMMYFUNCTION("TEXTJOIN("", "", TRUE, FILTER(Validations!$L$2:$L$100, ISNUMBER(SEARCH(Validations!$L$2:$L$100, J119))))"),"")</f>
        <v/>
      </c>
      <c r="W119" s="12" t="str">
        <f>IFERROR(__xludf.DUMMYFUNCTION("IFERROR(TEXTJOIN("", "", TRUE, FILTER(Validations!$M$2:$M$100, ISNUMBER(SEARCH(Validations!$M$2:$M$100 &amp; "" saving throw"", J119)))), """")"),"Wisdom")</f>
        <v>Wisdom</v>
      </c>
      <c r="X119" s="12"/>
      <c r="Y119" s="12"/>
      <c r="Z119" s="12" t="str">
        <f>IFERROR(__xludf.DUMMYFUNCTION("IFERROR(TEXTJOIN("", "", TRUE, FILTER(Validations!$N$2:$N$100, ISNUMBER(SEARCH(Validations!$N$2:$N$100 &amp; "" check"", J119)))), """")"),"")</f>
        <v/>
      </c>
      <c r="AA119" s="12" t="str">
        <f>IFERROR(__xludf.DUMMYFUNCTION("IFERROR(TEXTJOIN("", "", TRUE, FILTER(Validations!$N$2:$N$100, ISNUMBER(SEARCH(Validations!$N$2:$N$100 &amp; "" check"", W119)))), """")"),"")</f>
        <v/>
      </c>
      <c r="AB119" s="23" t="str">
        <f>IFERROR(__xludf.DUMMYFUNCTION("IFERROR(CONCATENATE(IF(ISNUMBER(SEARCH(Validations!$M$2:$M$100 &amp; "" spell save"", J119)),""Spell Save"",""""), REGEXEXTRACT(J119, ""DC (\d+)"")), """")"),"")</f>
        <v/>
      </c>
      <c r="AC119" s="24" t="b">
        <v>0</v>
      </c>
      <c r="AD119" s="24" t="b">
        <v>0</v>
      </c>
      <c r="AE119" s="12" t="s">
        <v>69</v>
      </c>
      <c r="AF119" s="25">
        <f>IFERROR(__xludf.DUMMYFUNCTION("IFERROR(VALUE(REGEXEXTRACT(AE119, ""\d+"")), 1)"),1.0)</f>
        <v>1</v>
      </c>
      <c r="AG119" s="12" t="str">
        <f>IFERROR(__xludf.DUMMYFUNCTION("IF(
  ISNUMBER(SEARCH(""Bonus Action"", AE119)),
  ""Bonus Action"",
  IF(
    ISNUMBER(SEARCH(""Reaction"", AE119)),
    ""Reaction"",
    IF(
      ISNUMBER(SEARCH(""Action"", AE119)),
      ""Action"",
      TEXTJOIN("", "", TRUE, FILTER(Validations!$S"&amp;"$2:$S$100, ISNUMBER(SEARCH(Validations!$S$2:$S$100, AE119))))
    )
  )
)"),"Action")</f>
        <v>Action</v>
      </c>
      <c r="AH119" s="12"/>
      <c r="AI119" s="26" t="s">
        <v>70</v>
      </c>
      <c r="AJ119" s="26" t="str">
        <f>IFERROR(__xludf.DUMMYFUNCTION("TEXTJOIN("", "", TRUE, FILTER(Validations!$T$2:$T$100, ISNUMBER(SEARCH(Validations!$T$2:$T$100, AI119))))"),"Instantaneous")</f>
        <v>Instantaneous</v>
      </c>
      <c r="AK119" s="26" t="str">
        <f>IFERROR(__xludf.DUMMYFUNCTION("IFERROR(VALUE(REGEXEXTRACT(AI119, ""\d+"")), """")"),"")</f>
        <v/>
      </c>
      <c r="AL119" s="26" t="str">
        <f>IFERROR(__xludf.DUMMYFUNCTION("TEXTJOIN("", "", TRUE, FILTER(Validations!$U$2:$U$100, ISNUMBER(SEARCH(Validations!$U$2:$U$100, AI119))))"),"")</f>
        <v/>
      </c>
      <c r="AM119" s="24" t="b">
        <f t="shared" si="1"/>
        <v>0</v>
      </c>
      <c r="AN119" s="24" t="b">
        <v>0</v>
      </c>
      <c r="AO119" s="36" t="s">
        <v>112</v>
      </c>
      <c r="AP119" s="12" t="str">
        <f>IFERROR(__xludf.DUMMYFUNCTION("IF(TEXTJOIN("", "", TRUE, FILTER(Validations!$Q$2:$Q$100, ISNUMBER(SEARCH(Validations!$Q$2:$Q$100, AO119)))) = """", Validations!$Q$2, TEXTJOIN("", "", TRUE, FILTER(Validations!$Q$2:$Q$100, ISNUMBER(SEARCH(Validations!$Q$2:$Q$100, AO119)))))"),"Point")</f>
        <v>Point</v>
      </c>
      <c r="AQ119" s="12">
        <f>IFERROR(__xludf.DUMMYFUNCTION("IFERROR(VALUE(REGEXEXTRACT(AO119, ""\d+"")), """")"),30.0)</f>
        <v>30</v>
      </c>
      <c r="AR119" s="12" t="str">
        <f>IFERROR(__xludf.DUMMYFUNCTION("TEXTJOIN("", "", TRUE, FILTER(Validations!$R$2:$R$100, ISNUMBER(SEARCH(Validations!$R$2:$R$100, AO119))))"),"Feet")</f>
        <v>Feet</v>
      </c>
      <c r="AS119" s="27"/>
      <c r="AT119" s="12" t="str">
        <f>IFERROR(__xludf.DUMMYFUNCTION("IFERROR(TEXTJOIN("", "", TRUE, FILTER(Validations!$I$2:$I$100, ISNUMBER(SEARCH(Validations!$I$2:$I$100, AS119)))), """")"),"")</f>
        <v/>
      </c>
      <c r="AU119" s="16" t="str">
        <f t="array" ref="AU119">IFERROR(INDEX(Validations!$J$2:$J$100, MATCH(TRUE, ISNUMBER(SEARCH(Validations!$I$2:$I$100, AT119)), 0)), "")</f>
        <v/>
      </c>
      <c r="AV119" s="12" t="str">
        <f>IFERROR(__xludf.DUMMYFUNCTION("IFERROR(VALUE(REGEXEXTRACT(AS119, ""\d+"")), """")"),"")</f>
        <v/>
      </c>
      <c r="AW119" s="12" t="str">
        <f>IFERROR(__xludf.DUMMYFUNCTION("IFERROR(TEXTJOIN("", "", TRUE, FILTER(Validations!$Q$2:$Q$100, ISNUMBER(SEARCH(Validations!$Q$2:$Q$100, AS119)))), """")"),"")</f>
        <v/>
      </c>
      <c r="AX119" s="28" t="s">
        <v>248</v>
      </c>
      <c r="AY119" s="28" t="str">
        <f>IFERROR(__xludf.DUMMYFUNCTION("TEXTJOIN("", "", TRUE, FILTER(Validations!$Y$2:$Y$100, ISNUMBER(SEARCH(Validations!$X$2:$X$100, AX119))))"),"V")</f>
        <v>V</v>
      </c>
      <c r="AZ119" s="26"/>
      <c r="BA119" s="12"/>
      <c r="BB119" s="22"/>
      <c r="BC119" s="22"/>
      <c r="BD119" s="22"/>
      <c r="BE119" s="27"/>
      <c r="BF119" s="22"/>
      <c r="BG119" s="27"/>
      <c r="BH119" s="27"/>
      <c r="BI119" s="12" t="str">
        <f>IFERROR(__xludf.DUMMYFUNCTION("IFERROR(TEXTJOIN("", "", TRUE, FILTER(SRD!$A$2:$A$1000, EXACT(SRD!$A$2:$A$1000, J119))), """")"),"")</f>
        <v/>
      </c>
      <c r="BJ119" s="29"/>
      <c r="BK119" s="29"/>
    </row>
    <row r="120" ht="15.75" customHeight="1">
      <c r="A120" s="38" t="s">
        <v>609</v>
      </c>
      <c r="B120" s="12"/>
      <c r="C120" s="16"/>
      <c r="D120" s="16" t="s">
        <v>610</v>
      </c>
      <c r="E120" s="16"/>
      <c r="F120" s="32" t="s">
        <v>611</v>
      </c>
      <c r="G120" s="15" t="s">
        <v>444</v>
      </c>
      <c r="H120" s="31" t="s">
        <v>76</v>
      </c>
      <c r="I120" s="16" t="str">
        <f t="array" ref="I120">INDEX(Validations!$C$2:$C$100, MATCH(TRUE, ISNUMBER(SEARCH(Validations!$B$2:$B$100, H120)), 0))</f>
        <v>V</v>
      </c>
      <c r="J120" s="17" t="s">
        <v>612</v>
      </c>
      <c r="K120" s="51"/>
      <c r="L120" s="52"/>
      <c r="M120" s="52"/>
      <c r="N120" s="27"/>
      <c r="O120" s="17" t="s">
        <v>613</v>
      </c>
      <c r="P120" s="21"/>
      <c r="Q120" s="21"/>
      <c r="R120" s="36" t="s">
        <v>614</v>
      </c>
      <c r="S120" s="17" t="str">
        <f>IFERROR(__xludf.DUMMYFUNCTION("IFERROR(REGEXEXTRACT(J120, ""(\d{1,3}[dD]\d{1,3})""), """")"),"")</f>
        <v/>
      </c>
      <c r="T120" s="17" t="str">
        <f>IFERROR(__xludf.DUMMYFUNCTION("IF(COUNTIF(ARRAYFORMULA(LOWER(Validations!$O$2:$O$100)), LOWER(REGEXEXTRACT(J120, ""\d{1,3}[dD]\d{1,3}\s+(\w+)"")))&gt;0, REGEXEXTRACT(J120, ""\d{1,3}[dD]\d{1,3}\s+(\w+)""), """")"),"")</f>
        <v/>
      </c>
      <c r="U120" s="17" t="str">
        <f>IFERROR(__xludf.DUMMYFUNCTION("IF(COUNTIF(ARRAYFORMULA(LOWER(Validations!$P$2:$P$100)), LOWER(REGEXEXTRACT(J120, ""\d{1,3}[dD]\d{1,3}\s+(\w+)"")))&gt;0, REGEXEXTRACT(J120, ""\d{1,3}[dD]\d{1,3}\s+(\w+)""), """")"),"")</f>
        <v/>
      </c>
      <c r="V120" s="12" t="str">
        <f>IFERROR(__xludf.DUMMYFUNCTION("TEXTJOIN("", "", TRUE, FILTER(Validations!$L$2:$L$100, ISNUMBER(SEARCH(Validations!$L$2:$L$100, J120))))"),"")</f>
        <v/>
      </c>
      <c r="W120" s="12" t="str">
        <f>IFERROR(__xludf.DUMMYFUNCTION("IFERROR(TEXTJOIN("", "", TRUE, FILTER(Validations!$M$2:$M$100, ISNUMBER(SEARCH(Validations!$M$2:$M$100 &amp; "" saving throw"", J120)))), """")"),"")</f>
        <v/>
      </c>
      <c r="X120" s="12"/>
      <c r="Y120" s="12"/>
      <c r="Z120" s="12" t="str">
        <f>IFERROR(__xludf.DUMMYFUNCTION("IFERROR(TEXTJOIN("", "", TRUE, FILTER(Validations!$N$2:$N$100, ISNUMBER(SEARCH(Validations!$N$2:$N$100 &amp; "" check"", J120)))), """")"),"")</f>
        <v/>
      </c>
      <c r="AA120" s="12" t="str">
        <f>IFERROR(__xludf.DUMMYFUNCTION("IFERROR(TEXTJOIN("", "", TRUE, FILTER(Validations!$N$2:$N$100, ISNUMBER(SEARCH(Validations!$N$2:$N$100 &amp; "" check"", W120)))), """")"),"")</f>
        <v/>
      </c>
      <c r="AB120" s="23" t="str">
        <f>IFERROR(__xludf.DUMMYFUNCTION("IFERROR(CONCATENATE(IF(ISNUMBER(SEARCH(Validations!$M$2:$M$100 &amp; "" spell save"", J120)),""Spell Save"",""""), REGEXEXTRACT(J120, ""DC (\d+)"")), """")"),"")</f>
        <v/>
      </c>
      <c r="AC120" s="24" t="b">
        <v>0</v>
      </c>
      <c r="AD120" s="24" t="b">
        <v>0</v>
      </c>
      <c r="AE120" s="12" t="s">
        <v>69</v>
      </c>
      <c r="AF120" s="25">
        <f>IFERROR(__xludf.DUMMYFUNCTION("IFERROR(VALUE(REGEXEXTRACT(AE120, ""\d+"")), 1)"),1.0)</f>
        <v>1</v>
      </c>
      <c r="AG120" s="12" t="str">
        <f>IFERROR(__xludf.DUMMYFUNCTION("IF(
  ISNUMBER(SEARCH(""Bonus Action"", AE120)),
  ""Bonus Action"",
  IF(
    ISNUMBER(SEARCH(""Reaction"", AE120)),
    ""Reaction"",
    IF(
      ISNUMBER(SEARCH(""Action"", AE120)),
      ""Action"",
      TEXTJOIN("", "", TRUE, FILTER(Validations!$S"&amp;"$2:$S$100, ISNUMBER(SEARCH(Validations!$S$2:$S$100, AE120))))
    )
  )
)"),"Action")</f>
        <v>Action</v>
      </c>
      <c r="AH120" s="12"/>
      <c r="AI120" s="20" t="s">
        <v>615</v>
      </c>
      <c r="AJ120" s="26" t="str">
        <f>IFERROR(__xludf.DUMMYFUNCTION("TEXTJOIN("", "", TRUE, FILTER(Validations!$T$2:$T$100, ISNUMBER(SEARCH(Validations!$T$2:$T$100, AI120))))"),"")</f>
        <v/>
      </c>
      <c r="AK120" s="26">
        <f>IFERROR(__xludf.DUMMYFUNCTION("IFERROR(VALUE(REGEXEXTRACT(AI120, ""\d+"")), """")"),30.0)</f>
        <v>30</v>
      </c>
      <c r="AL120" s="26" t="str">
        <f>IFERROR(__xludf.DUMMYFUNCTION("TEXTJOIN("", "", TRUE, FILTER(Validations!$U$2:$U$100, ISNUMBER(SEARCH(Validations!$U$2:$U$100, AI120))))"),"Minutes")</f>
        <v>Minutes</v>
      </c>
      <c r="AM120" s="24" t="b">
        <f t="shared" si="1"/>
        <v>0</v>
      </c>
      <c r="AN120" s="24" t="b">
        <v>0</v>
      </c>
      <c r="AO120" s="12" t="s">
        <v>78</v>
      </c>
      <c r="AP120" s="12" t="str">
        <f>IFERROR(__xludf.DUMMYFUNCTION("IF(TEXTJOIN("", "", TRUE, FILTER(Validations!$Q$2:$Q$100, ISNUMBER(SEARCH(Validations!$Q$2:$Q$100, AO120)))) = """", Validations!$Q$2, TEXTJOIN("", "", TRUE, FILTER(Validations!$Q$2:$Q$100, ISNUMBER(SEARCH(Validations!$Q$2:$Q$100, AO120)))))"),"Point")</f>
        <v>Point</v>
      </c>
      <c r="AQ120" s="12" t="str">
        <f>IFERROR(__xludf.DUMMYFUNCTION("IFERROR(VALUE(REGEXEXTRACT(AO120, ""\d+"")), """")"),"")</f>
        <v/>
      </c>
      <c r="AR120" s="12" t="str">
        <f>IFERROR(__xludf.DUMMYFUNCTION("TEXTJOIN("", "", TRUE, FILTER(Validations!$R$2:$R$100, ISNUMBER(SEARCH(Validations!$R$2:$R$100, AO120))))"),"Self")</f>
        <v>Self</v>
      </c>
      <c r="AS120" s="27"/>
      <c r="AT120" s="12" t="str">
        <f>IFERROR(__xludf.DUMMYFUNCTION("IFERROR(TEXTJOIN("", "", TRUE, FILTER(Validations!$I$2:$I$100, ISNUMBER(SEARCH(Validations!$I$2:$I$100, AS120)))), """")"),"")</f>
        <v/>
      </c>
      <c r="AU120" s="16" t="str">
        <f t="array" ref="AU120">IFERROR(INDEX(Validations!$J$2:$J$100, MATCH(TRUE, ISNUMBER(SEARCH(Validations!$I$2:$I$100, AT120)), 0)), "")</f>
        <v/>
      </c>
      <c r="AV120" s="12" t="str">
        <f>IFERROR(__xludf.DUMMYFUNCTION("IFERROR(VALUE(REGEXEXTRACT(AS120, ""\d+"")), """")"),"")</f>
        <v/>
      </c>
      <c r="AW120" s="12" t="str">
        <f>IFERROR(__xludf.DUMMYFUNCTION("IFERROR(TEXTJOIN("", "", TRUE, FILTER(Validations!$Q$2:$Q$100, ISNUMBER(SEARCH(Validations!$Q$2:$Q$100, AS120)))), """")"),"")</f>
        <v/>
      </c>
      <c r="AX120" s="36" t="s">
        <v>248</v>
      </c>
      <c r="AY120" s="28" t="str">
        <f>IFERROR(__xludf.DUMMYFUNCTION("TEXTJOIN("", "", TRUE, FILTER(Validations!$Y$2:$Y$100, ISNUMBER(SEARCH(Validations!$X$2:$X$100, AX120))))"),"V")</f>
        <v>V</v>
      </c>
      <c r="AZ120" s="27"/>
      <c r="BA120" s="22"/>
      <c r="BB120" s="22"/>
      <c r="BC120" s="22"/>
      <c r="BD120" s="22"/>
      <c r="BE120" s="27"/>
      <c r="BF120" s="22"/>
      <c r="BG120" s="27"/>
      <c r="BH120" s="27"/>
      <c r="BI120" s="12" t="str">
        <f>IFERROR(__xludf.DUMMYFUNCTION("IFERROR(TEXTJOIN("", "", TRUE, FILTER(SRD!$A$2:$A$1000, EXACT(SRD!$A$2:$A$1000, J120))), """")"),"")</f>
        <v/>
      </c>
      <c r="BJ120" s="29"/>
      <c r="BK120" s="29"/>
    </row>
    <row r="121" ht="15.75" customHeight="1">
      <c r="A121" s="11" t="s">
        <v>616</v>
      </c>
      <c r="B121" s="12"/>
      <c r="C121" s="16"/>
      <c r="D121" s="16" t="s">
        <v>617</v>
      </c>
      <c r="E121" s="16"/>
      <c r="F121" s="32" t="s">
        <v>618</v>
      </c>
      <c r="G121" s="15" t="s">
        <v>444</v>
      </c>
      <c r="H121" s="31" t="s">
        <v>76</v>
      </c>
      <c r="I121" s="16" t="str">
        <f t="array" ref="I121">INDEX(Validations!$C$2:$C$100, MATCH(TRUE, ISNUMBER(SEARCH(Validations!$B$2:$B$100, H121)), 0))</f>
        <v>V</v>
      </c>
      <c r="J121" s="17" t="s">
        <v>619</v>
      </c>
      <c r="K121" s="51"/>
      <c r="L121" s="52"/>
      <c r="M121" s="52"/>
      <c r="N121" s="26"/>
      <c r="O121" s="17" t="s">
        <v>620</v>
      </c>
      <c r="P121" s="21"/>
      <c r="Q121" s="21"/>
      <c r="R121" s="36" t="s">
        <v>621</v>
      </c>
      <c r="S121" s="17" t="str">
        <f>IFERROR(__xludf.DUMMYFUNCTION("IFERROR(REGEXEXTRACT(J121, ""(\d{1,3}[dD]\d{1,3})""), """")"),"")</f>
        <v/>
      </c>
      <c r="T121" s="17" t="str">
        <f>IFERROR(__xludf.DUMMYFUNCTION("IF(COUNTIF(ARRAYFORMULA(LOWER(Validations!$O$2:$O$100)), LOWER(REGEXEXTRACT(J121, ""\d{1,3}[dD]\d{1,3}\s+(\w+)"")))&gt;0, REGEXEXTRACT(J121, ""\d{1,3}[dD]\d{1,3}\s+(\w+)""), """")"),"")</f>
        <v/>
      </c>
      <c r="U121" s="17" t="str">
        <f>IFERROR(__xludf.DUMMYFUNCTION("IF(COUNTIF(ARRAYFORMULA(LOWER(Validations!$P$2:$P$100)), LOWER(REGEXEXTRACT(J121, ""\d{1,3}[dD]\d{1,3}\s+(\w+)"")))&gt;0, REGEXEXTRACT(J121, ""\d{1,3}[dD]\d{1,3}\s+(\w+)""), """")"),"")</f>
        <v/>
      </c>
      <c r="V121" s="12" t="str">
        <f>IFERROR(__xludf.DUMMYFUNCTION("TEXTJOIN("", "", TRUE, FILTER(Validations!$L$2:$L$100, ISNUMBER(SEARCH(Validations!$L$2:$L$100, J121))))"),"Unstable")</f>
        <v>Unstable</v>
      </c>
      <c r="W121" s="12" t="str">
        <f>IFERROR(__xludf.DUMMYFUNCTION("IFERROR(TEXTJOIN("", "", TRUE, FILTER(Validations!$M$2:$M$100, ISNUMBER(SEARCH(Validations!$M$2:$M$100 &amp; "" saving throw"", J121)))), """")"),"")</f>
        <v/>
      </c>
      <c r="X121" s="12"/>
      <c r="Y121" s="12"/>
      <c r="Z121" s="12" t="str">
        <f>IFERROR(__xludf.DUMMYFUNCTION("IFERROR(TEXTJOIN("", "", TRUE, FILTER(Validations!$N$2:$N$100, ISNUMBER(SEARCH(Validations!$N$2:$N$100 &amp; "" check"", J121)))), """")"),"")</f>
        <v/>
      </c>
      <c r="AA121" s="12" t="str">
        <f>IFERROR(__xludf.DUMMYFUNCTION("IFERROR(TEXTJOIN("", "", TRUE, FILTER(Validations!$N$2:$N$100, ISNUMBER(SEARCH(Validations!$N$2:$N$100 &amp; "" check"", W121)))), """")"),"")</f>
        <v/>
      </c>
      <c r="AB121" s="23" t="str">
        <f>IFERROR(__xludf.DUMMYFUNCTION("IFERROR(CONCATENATE(IF(ISNUMBER(SEARCH(Validations!$M$2:$M$100 &amp; "" spell save"", J121)),""Spell Save"",""""), REGEXEXTRACT(J121, ""DC (\d+)"")), """")"),"")</f>
        <v/>
      </c>
      <c r="AC121" s="24" t="b">
        <v>0</v>
      </c>
      <c r="AD121" s="24" t="b">
        <v>0</v>
      </c>
      <c r="AE121" s="12" t="s">
        <v>69</v>
      </c>
      <c r="AF121" s="25">
        <f>IFERROR(__xludf.DUMMYFUNCTION("IFERROR(VALUE(REGEXEXTRACT(AE121, ""\d+"")), 1)"),1.0)</f>
        <v>1</v>
      </c>
      <c r="AG121" s="12" t="str">
        <f>IFERROR(__xludf.DUMMYFUNCTION("IF(
  ISNUMBER(SEARCH(""Bonus Action"", AE121)),
  ""Bonus Action"",
  IF(
    ISNUMBER(SEARCH(""Reaction"", AE121)),
    ""Reaction"",
    IF(
      ISNUMBER(SEARCH(""Action"", AE121)),
      ""Action"",
      TEXTJOIN("", "", TRUE, FILTER(Validations!$S"&amp;"$2:$S$100, ISNUMBER(SEARCH(Validations!$S$2:$S$100, AE121))))
    )
  )
)"),"Action")</f>
        <v>Action</v>
      </c>
      <c r="AH121" s="12"/>
      <c r="AI121" s="20" t="s">
        <v>446</v>
      </c>
      <c r="AJ121" s="26" t="str">
        <f>IFERROR(__xludf.DUMMYFUNCTION("TEXTJOIN("", "", TRUE, FILTER(Validations!$T$2:$T$100, ISNUMBER(SEARCH(Validations!$T$2:$T$100, AI121))))"),"")</f>
        <v/>
      </c>
      <c r="AK121" s="26">
        <f>IFERROR(__xludf.DUMMYFUNCTION("IFERROR(VALUE(REGEXEXTRACT(AI121, ""\d+"")), """")"),10.0)</f>
        <v>10</v>
      </c>
      <c r="AL121" s="26" t="str">
        <f>IFERROR(__xludf.DUMMYFUNCTION("TEXTJOIN("", "", TRUE, FILTER(Validations!$U$2:$U$100, ISNUMBER(SEARCH(Validations!$U$2:$U$100, AI121))))"),"Minutes")</f>
        <v>Minutes</v>
      </c>
      <c r="AM121" s="24" t="b">
        <f t="shared" si="1"/>
        <v>1</v>
      </c>
      <c r="AN121" s="42" t="b">
        <v>1</v>
      </c>
      <c r="AO121" s="12" t="s">
        <v>71</v>
      </c>
      <c r="AP121" s="12" t="str">
        <f>IFERROR(__xludf.DUMMYFUNCTION("IF(TEXTJOIN("", "", TRUE, FILTER(Validations!$Q$2:$Q$100, ISNUMBER(SEARCH(Validations!$Q$2:$Q$100, AO121)))) = """", Validations!$Q$2, TEXTJOIN("", "", TRUE, FILTER(Validations!$Q$2:$Q$100, ISNUMBER(SEARCH(Validations!$Q$2:$Q$100, AO121)))))"),"Point")</f>
        <v>Point</v>
      </c>
      <c r="AQ121" s="12" t="str">
        <f>IFERROR(__xludf.DUMMYFUNCTION("IFERROR(VALUE(REGEXEXTRACT(AO121, ""\d+"")), """")"),"")</f>
        <v/>
      </c>
      <c r="AR121" s="12" t="str">
        <f>IFERROR(__xludf.DUMMYFUNCTION("TEXTJOIN("", "", TRUE, FILTER(Validations!$R$2:$R$100, ISNUMBER(SEARCH(Validations!$R$2:$R$100, AO121))))"),"Touch")</f>
        <v>Touch</v>
      </c>
      <c r="AS121" s="27"/>
      <c r="AT121" s="12" t="str">
        <f>IFERROR(__xludf.DUMMYFUNCTION("IFERROR(TEXTJOIN("", "", TRUE, FILTER(Validations!$I$2:$I$100, ISNUMBER(SEARCH(Validations!$I$2:$I$100, AS121)))), """")"),"")</f>
        <v/>
      </c>
      <c r="AU121" s="16" t="str">
        <f t="array" ref="AU121">IFERROR(INDEX(Validations!$J$2:$J$100, MATCH(TRUE, ISNUMBER(SEARCH(Validations!$I$2:$I$100, AT121)), 0)), "")</f>
        <v/>
      </c>
      <c r="AV121" s="12" t="str">
        <f>IFERROR(__xludf.DUMMYFUNCTION("IFERROR(VALUE(REGEXEXTRACT(AS121, ""\d+"")), """")"),"")</f>
        <v/>
      </c>
      <c r="AW121" s="12" t="str">
        <f>IFERROR(__xludf.DUMMYFUNCTION("IFERROR(TEXTJOIN("", "", TRUE, FILTER(Validations!$Q$2:$Q$100, ISNUMBER(SEARCH(Validations!$Q$2:$Q$100, AS121)))), """")"),"")</f>
        <v/>
      </c>
      <c r="AX121" s="36" t="s">
        <v>142</v>
      </c>
      <c r="AY121" s="28" t="str">
        <f>IFERROR(__xludf.DUMMYFUNCTION("TEXTJOIN("", "", TRUE, FILTER(Validations!$Y$2:$Y$100, ISNUMBER(SEARCH(Validations!$X$2:$X$100, AX121))))"),"V, S")</f>
        <v>V, S</v>
      </c>
      <c r="AZ121" s="27"/>
      <c r="BA121" s="22"/>
      <c r="BB121" s="22"/>
      <c r="BC121" s="22"/>
      <c r="BD121" s="22"/>
      <c r="BE121" s="27"/>
      <c r="BF121" s="22"/>
      <c r="BG121" s="27"/>
      <c r="BH121" s="27"/>
      <c r="BI121" s="12" t="str">
        <f>IFERROR(__xludf.DUMMYFUNCTION("IFERROR(TEXTJOIN("", "", TRUE, FILTER(SRD!$A$2:$A$1000, EXACT(SRD!$A$2:$A$1000, J121))), """")"),"")</f>
        <v/>
      </c>
      <c r="BJ121" s="29"/>
      <c r="BK121" s="29"/>
    </row>
    <row r="122" ht="15.75" customHeight="1">
      <c r="A122" s="11" t="s">
        <v>622</v>
      </c>
      <c r="B122" s="12"/>
      <c r="C122" s="13"/>
      <c r="D122" s="13" t="s">
        <v>623</v>
      </c>
      <c r="E122" s="13"/>
      <c r="F122" s="14" t="s">
        <v>186</v>
      </c>
      <c r="G122" s="15" t="s">
        <v>444</v>
      </c>
      <c r="H122" s="31" t="s">
        <v>103</v>
      </c>
      <c r="I122" s="16" t="str">
        <f t="array" ref="I122">INDEX(Validations!$C$2:$C$100, MATCH(TRUE, ISNUMBER(SEARCH(Validations!$B$2:$B$100, H122)), 0))</f>
        <v>C</v>
      </c>
      <c r="J122" s="17" t="s">
        <v>624</v>
      </c>
      <c r="K122" s="18"/>
      <c r="L122" s="17"/>
      <c r="M122" s="37"/>
      <c r="N122" s="27"/>
      <c r="O122" s="17" t="s">
        <v>625</v>
      </c>
      <c r="P122" s="21"/>
      <c r="Q122" s="21"/>
      <c r="R122" s="22"/>
      <c r="S122" s="17" t="str">
        <f>IFERROR(__xludf.DUMMYFUNCTION("IFERROR(REGEXEXTRACT(J122, ""(\d{1,3}[dD]\d{1,3})""), """")"),"")</f>
        <v/>
      </c>
      <c r="T122" s="17" t="str">
        <f>IFERROR(__xludf.DUMMYFUNCTION("IF(COUNTIF(ARRAYFORMULA(LOWER(Validations!$O$2:$O$100)), LOWER(REGEXEXTRACT(J122, ""\d{1,3}[dD]\d{1,3}\s+(\w+)"")))&gt;0, REGEXEXTRACT(J122, ""\d{1,3}[dD]\d{1,3}\s+(\w+)""), """")"),"")</f>
        <v/>
      </c>
      <c r="U122" s="17" t="str">
        <f>IFERROR(__xludf.DUMMYFUNCTION("IF(COUNTIF(ARRAYFORMULA(LOWER(Validations!$P$2:$P$100)), LOWER(REGEXEXTRACT(J122, ""\d{1,3}[dD]\d{1,3}\s+(\w+)"")))&gt;0, REGEXEXTRACT(J122, ""\d{1,3}[dD]\d{1,3}\s+(\w+)""), """")"),"")</f>
        <v/>
      </c>
      <c r="V122" s="12" t="str">
        <f>IFERROR(__xludf.DUMMYFUNCTION("TEXTJOIN("", "", TRUE, FILTER(Validations!$L$2:$L$100, ISNUMBER(SEARCH(Validations!$L$2:$L$100, J122))))"),"")</f>
        <v/>
      </c>
      <c r="W122" s="12" t="str">
        <f>IFERROR(__xludf.DUMMYFUNCTION("IFERROR(TEXTJOIN("", "", TRUE, FILTER(Validations!$M$2:$M$100, ISNUMBER(SEARCH(Validations!$M$2:$M$100 &amp; "" saving throw"", J122)))), """")"),"")</f>
        <v/>
      </c>
      <c r="X122" s="12"/>
      <c r="Y122" s="12"/>
      <c r="Z122" s="12" t="str">
        <f>IFERROR(__xludf.DUMMYFUNCTION("IFERROR(TEXTJOIN("", "", TRUE, FILTER(Validations!$N$2:$N$100, ISNUMBER(SEARCH(Validations!$N$2:$N$100 &amp; "" check"", J122)))), """")"),"")</f>
        <v/>
      </c>
      <c r="AA122" s="12" t="str">
        <f>IFERROR(__xludf.DUMMYFUNCTION("IFERROR(TEXTJOIN("", "", TRUE, FILTER(Validations!$N$2:$N$100, ISNUMBER(SEARCH(Validations!$N$2:$N$100 &amp; "" check"", W122)))), """")"),"")</f>
        <v/>
      </c>
      <c r="AB122" s="23" t="str">
        <f>IFERROR(__xludf.DUMMYFUNCTION("IFERROR(CONCATENATE(IF(ISNUMBER(SEARCH(Validations!$M$2:$M$100 &amp; "" spell save"", J122)),""Spell Save"",""""), REGEXEXTRACT(J122, ""DC (\d+)"")), """")"),"")</f>
        <v/>
      </c>
      <c r="AC122" s="24" t="b">
        <v>0</v>
      </c>
      <c r="AD122" s="24" t="b">
        <v>0</v>
      </c>
      <c r="AE122" s="12" t="s">
        <v>69</v>
      </c>
      <c r="AF122" s="25">
        <f>IFERROR(__xludf.DUMMYFUNCTION("IFERROR(VALUE(REGEXEXTRACT(AE122, ""\d+"")), 1)"),1.0)</f>
        <v>1</v>
      </c>
      <c r="AG122" s="12" t="str">
        <f>IFERROR(__xludf.DUMMYFUNCTION("IF(
  ISNUMBER(SEARCH(""Bonus Action"", AE122)),
  ""Bonus Action"",
  IF(
    ISNUMBER(SEARCH(""Reaction"", AE122)),
    ""Reaction"",
    IF(
      ISNUMBER(SEARCH(""Action"", AE122)),
      ""Action"",
      TEXTJOIN("", "", TRUE, FILTER(Validations!$S"&amp;"$2:$S$100, ISNUMBER(SEARCH(Validations!$S$2:$S$100, AE122))))
    )
  )
)"),"Action")</f>
        <v>Action</v>
      </c>
      <c r="AH122" s="12"/>
      <c r="AI122" s="26" t="s">
        <v>70</v>
      </c>
      <c r="AJ122" s="26" t="str">
        <f>IFERROR(__xludf.DUMMYFUNCTION("TEXTJOIN("", "", TRUE, FILTER(Validations!$T$2:$T$100, ISNUMBER(SEARCH(Validations!$T$2:$T$100, AI122))))"),"Instantaneous")</f>
        <v>Instantaneous</v>
      </c>
      <c r="AK122" s="26" t="str">
        <f>IFERROR(__xludf.DUMMYFUNCTION("IFERROR(VALUE(REGEXEXTRACT(AI122, ""\d+"")), """")"),"")</f>
        <v/>
      </c>
      <c r="AL122" s="26" t="str">
        <f>IFERROR(__xludf.DUMMYFUNCTION("TEXTJOIN("", "", TRUE, FILTER(Validations!$U$2:$U$100, ISNUMBER(SEARCH(Validations!$U$2:$U$100, AI122))))"),"")</f>
        <v/>
      </c>
      <c r="AM122" s="24" t="b">
        <f t="shared" si="1"/>
        <v>0</v>
      </c>
      <c r="AN122" s="24" t="b">
        <v>0</v>
      </c>
      <c r="AO122" s="12" t="s">
        <v>71</v>
      </c>
      <c r="AP122" s="12" t="str">
        <f>IFERROR(__xludf.DUMMYFUNCTION("IF(TEXTJOIN("", "", TRUE, FILTER(Validations!$Q$2:$Q$100, ISNUMBER(SEARCH(Validations!$Q$2:$Q$100, AO122)))) = """", Validations!$Q$2, TEXTJOIN("", "", TRUE, FILTER(Validations!$Q$2:$Q$100, ISNUMBER(SEARCH(Validations!$Q$2:$Q$100, AO122)))))"),"Point")</f>
        <v>Point</v>
      </c>
      <c r="AQ122" s="12" t="str">
        <f>IFERROR(__xludf.DUMMYFUNCTION("IFERROR(VALUE(REGEXEXTRACT(AO122, ""\d+"")), """")"),"")</f>
        <v/>
      </c>
      <c r="AR122" s="12" t="str">
        <f>IFERROR(__xludf.DUMMYFUNCTION("TEXTJOIN("", "", TRUE, FILTER(Validations!$R$2:$R$100, ISNUMBER(SEARCH(Validations!$R$2:$R$100, AO122))))"),"Touch")</f>
        <v>Touch</v>
      </c>
      <c r="AS122" s="27"/>
      <c r="AT122" s="12" t="str">
        <f>IFERROR(__xludf.DUMMYFUNCTION("IFERROR(TEXTJOIN("", "", TRUE, FILTER(Validations!$I$2:$I$100, ISNUMBER(SEARCH(Validations!$I$2:$I$100, AS122)))), """")"),"")</f>
        <v/>
      </c>
      <c r="AU122" s="16" t="str">
        <f t="array" ref="AU122">IFERROR(INDEX(Validations!$J$2:$J$100, MATCH(TRUE, ISNUMBER(SEARCH(Validations!$I$2:$I$100, AT122)), 0)), "")</f>
        <v/>
      </c>
      <c r="AV122" s="12" t="str">
        <f>IFERROR(__xludf.DUMMYFUNCTION("IFERROR(VALUE(REGEXEXTRACT(AS122, ""\d+"")), """")"),"")</f>
        <v/>
      </c>
      <c r="AW122" s="12" t="str">
        <f>IFERROR(__xludf.DUMMYFUNCTION("IFERROR(TEXTJOIN("", "", TRUE, FILTER(Validations!$Q$2:$Q$100, ISNUMBER(SEARCH(Validations!$Q$2:$Q$100, AS122)))), """")"),"")</f>
        <v/>
      </c>
      <c r="AX122" s="28" t="s">
        <v>248</v>
      </c>
      <c r="AY122" s="28" t="str">
        <f>IFERROR(__xludf.DUMMYFUNCTION("TEXTJOIN("", "", TRUE, FILTER(Validations!$Y$2:$Y$100, ISNUMBER(SEARCH(Validations!$X$2:$X$100, AX122))))"),"V")</f>
        <v>V</v>
      </c>
      <c r="AZ122" s="26"/>
      <c r="BA122" s="12"/>
      <c r="BB122" s="22"/>
      <c r="BC122" s="22"/>
      <c r="BD122" s="22"/>
      <c r="BE122" s="27"/>
      <c r="BF122" s="22"/>
      <c r="BG122" s="27"/>
      <c r="BH122" s="27"/>
      <c r="BI122" s="12" t="str">
        <f>IFERROR(__xludf.DUMMYFUNCTION("IFERROR(TEXTJOIN("", "", TRUE, FILTER(SRD!$A$2:$A$1000, EXACT(SRD!$A$2:$A$1000, J122))), """")"),"")</f>
        <v/>
      </c>
      <c r="BJ122" s="29"/>
      <c r="BK122" s="29"/>
    </row>
    <row r="123" ht="15.75" customHeight="1">
      <c r="A123" s="30" t="s">
        <v>626</v>
      </c>
      <c r="B123" s="22"/>
      <c r="C123" s="31"/>
      <c r="D123" s="31"/>
      <c r="E123" s="31"/>
      <c r="F123" s="32" t="s">
        <v>102</v>
      </c>
      <c r="G123" s="15" t="s">
        <v>444</v>
      </c>
      <c r="H123" s="31" t="s">
        <v>183</v>
      </c>
      <c r="I123" s="16" t="str">
        <f t="array" ref="I123">INDEX(Validations!$C$2:$C$100, MATCH(TRUE, ISNUMBER(SEARCH(Validations!$B$2:$B$100, H123)), 0))</f>
        <v>E</v>
      </c>
      <c r="J123" s="17" t="s">
        <v>627</v>
      </c>
      <c r="K123" s="18"/>
      <c r="L123" s="17" t="s">
        <v>628</v>
      </c>
      <c r="M123" s="17"/>
      <c r="N123" s="27"/>
      <c r="O123" s="17"/>
      <c r="P123" s="21"/>
      <c r="Q123" s="21"/>
      <c r="R123" s="22"/>
      <c r="S123" s="17" t="str">
        <f>IFERROR(__xludf.DUMMYFUNCTION("IFERROR(REGEXEXTRACT(J123, ""(\d{1,3}[dD]\d{1,3})""), """")"),"1d100")</f>
        <v>1d100</v>
      </c>
      <c r="T123" s="17" t="str">
        <f>IFERROR(__xludf.DUMMYFUNCTION("IF(COUNTIF(ARRAYFORMULA(LOWER(Validations!$O$2:$O$100)), LOWER(REGEXEXTRACT(J123, ""\d{1,3}[dD]\d{1,3}\s+(\w+)"")))&gt;0, REGEXEXTRACT(J123, ""\d{1,3}[dD]\d{1,3}\s+(\w+)""), """")"),"")</f>
        <v/>
      </c>
      <c r="U123" s="17" t="str">
        <f>IFERROR(__xludf.DUMMYFUNCTION("IF(COUNTIF(ARRAYFORMULA(LOWER(Validations!$P$2:$P$100)), LOWER(REGEXEXTRACT(J123, ""\d{1,3}[dD]\d{1,3}\s+(\w+)"")))&gt;0, REGEXEXTRACT(J123, ""\d{1,3}[dD]\d{1,3}\s+(\w+)""), """")"),"")</f>
        <v/>
      </c>
      <c r="V123" s="12" t="str">
        <f>IFERROR(__xludf.DUMMYFUNCTION("TEXTJOIN("", "", TRUE, FILTER(Validations!$L$2:$L$100, ISNUMBER(SEARCH(Validations!$L$2:$L$100, J123))))"),"")</f>
        <v/>
      </c>
      <c r="W123" s="12" t="str">
        <f>IFERROR(__xludf.DUMMYFUNCTION("IFERROR(TEXTJOIN("", "", TRUE, FILTER(Validations!$M$2:$M$100, ISNUMBER(SEARCH(Validations!$M$2:$M$100 &amp; "" saving throw"", J123)))), """")"),"Wisdom, Charisma")</f>
        <v>Wisdom, Charisma</v>
      </c>
      <c r="X123" s="12"/>
      <c r="Y123" s="12"/>
      <c r="Z123" s="12" t="str">
        <f>IFERROR(__xludf.DUMMYFUNCTION("IFERROR(TEXTJOIN("", "", TRUE, FILTER(Validations!$N$2:$N$100, ISNUMBER(SEARCH(Validations!$N$2:$N$100 &amp; "" check"", J123)))), """")"),"")</f>
        <v/>
      </c>
      <c r="AA123" s="12" t="str">
        <f>IFERROR(__xludf.DUMMYFUNCTION("IFERROR(TEXTJOIN("", "", TRUE, FILTER(Validations!$N$2:$N$100, ISNUMBER(SEARCH(Validations!$N$2:$N$100 &amp; "" check"", W123)))), """")"),"")</f>
        <v/>
      </c>
      <c r="AB123" s="23" t="str">
        <f>IFERROR(__xludf.DUMMYFUNCTION("IFERROR(CONCATENATE(IF(ISNUMBER(SEARCH(Validations!$M$2:$M$100 &amp; "" spell save"", J123)),""Spell Save"",""""), REGEXEXTRACT(J123, ""DC (\d+)"")), """")"),"")</f>
        <v/>
      </c>
      <c r="AC123" s="24" t="b">
        <v>0</v>
      </c>
      <c r="AD123" s="24" t="b">
        <v>0</v>
      </c>
      <c r="AE123" s="36" t="s">
        <v>92</v>
      </c>
      <c r="AF123" s="25">
        <f>IFERROR(__xludf.DUMMYFUNCTION("IFERROR(VALUE(REGEXEXTRACT(AE123, ""\d+"")), 1)"),1.0)</f>
        <v>1</v>
      </c>
      <c r="AG123" s="12" t="str">
        <f>IFERROR(__xludf.DUMMYFUNCTION("IF(
  ISNUMBER(SEARCH(""Bonus Action"", AE123)),
  ""Bonus Action"",
  IF(
    ISNUMBER(SEARCH(""Reaction"", AE123)),
    ""Reaction"",
    IF(
      ISNUMBER(SEARCH(""Action"", AE123)),
      ""Action"",
      TEXTJOIN("", "", TRUE, FILTER(Validations!$S"&amp;"$2:$S$100, ISNUMBER(SEARCH(Validations!$S$2:$S$100, AE123))))
    )
  )
)"),"Minutes")</f>
        <v>Minutes</v>
      </c>
      <c r="AH123" s="22"/>
      <c r="AI123" s="20" t="s">
        <v>92</v>
      </c>
      <c r="AJ123" s="26" t="str">
        <f>IFERROR(__xludf.DUMMYFUNCTION("TEXTJOIN("", "", TRUE, FILTER(Validations!$T$2:$T$100, ISNUMBER(SEARCH(Validations!$T$2:$T$100, AI123))))"),"")</f>
        <v/>
      </c>
      <c r="AK123" s="26">
        <f>IFERROR(__xludf.DUMMYFUNCTION("IFERROR(VALUE(REGEXEXTRACT(AI123, ""\d+"")), """")"),1.0)</f>
        <v>1</v>
      </c>
      <c r="AL123" s="26" t="str">
        <f>IFERROR(__xludf.DUMMYFUNCTION("TEXTJOIN("", "", TRUE, FILTER(Validations!$U$2:$U$100, ISNUMBER(SEARCH(Validations!$U$2:$U$100, AI123))))"),"Minutes")</f>
        <v>Minutes</v>
      </c>
      <c r="AM123" s="24" t="b">
        <f t="shared" si="1"/>
        <v>0</v>
      </c>
      <c r="AN123" s="24" t="b">
        <v>1</v>
      </c>
      <c r="AO123" s="22" t="s">
        <v>629</v>
      </c>
      <c r="AP123" s="12" t="str">
        <f>IFERROR(__xludf.DUMMYFUNCTION("IF(TEXTJOIN("", "", TRUE, FILTER(Validations!$Q$2:$Q$100, ISNUMBER(SEARCH(Validations!$Q$2:$Q$100, AO123)))) = """", Validations!$Q$2, TEXTJOIN("", "", TRUE, FILTER(Validations!$Q$2:$Q$100, ISNUMBER(SEARCH(Validations!$Q$2:$Q$100, AO123)))))"),"Point")</f>
        <v>Point</v>
      </c>
      <c r="AQ123" s="12">
        <f>IFERROR(__xludf.DUMMYFUNCTION("IFERROR(VALUE(REGEXEXTRACT(AO123, ""\d+"")), """")"),6.0)</f>
        <v>6</v>
      </c>
      <c r="AR123" s="12" t="str">
        <f>IFERROR(__xludf.DUMMYFUNCTION("TEXTJOIN("", "", TRUE, FILTER(Validations!$R$2:$R$100, ISNUMBER(SEARCH(Validations!$R$2:$R$100, AO123))))"),"Feet")</f>
        <v>Feet</v>
      </c>
      <c r="AS123" s="27"/>
      <c r="AT123" s="12" t="str">
        <f>IFERROR(__xludf.DUMMYFUNCTION("IFERROR(TEXTJOIN("", "", TRUE, FILTER(Validations!$I$2:$I$100, ISNUMBER(SEARCH(Validations!$I$2:$I$100, AS123)))), """")"),"")</f>
        <v/>
      </c>
      <c r="AU123" s="16" t="str">
        <f t="array" ref="AU123">IFERROR(INDEX(Validations!$J$2:$J$100, MATCH(TRUE, ISNUMBER(SEARCH(Validations!$I$2:$I$100, AT123)), 0)), "")</f>
        <v/>
      </c>
      <c r="AV123" s="12" t="str">
        <f>IFERROR(__xludf.DUMMYFUNCTION("IFERROR(VALUE(REGEXEXTRACT(AS123, ""\d+"")), """")"),"")</f>
        <v/>
      </c>
      <c r="AW123" s="12" t="str">
        <f>IFERROR(__xludf.DUMMYFUNCTION("IFERROR(TEXTJOIN("", "", TRUE, FILTER(Validations!$Q$2:$Q$100, ISNUMBER(SEARCH(Validations!$Q$2:$Q$100, AS123)))), """")"),"")</f>
        <v/>
      </c>
      <c r="AX123" s="28" t="s">
        <v>142</v>
      </c>
      <c r="AY123" s="28" t="str">
        <f>IFERROR(__xludf.DUMMYFUNCTION("TEXTJOIN("", "", TRUE, FILTER(Validations!$Y$2:$Y$100, ISNUMBER(SEARCH(Validations!$X$2:$X$100, AX123))))"),"V, S")</f>
        <v>V, S</v>
      </c>
      <c r="AZ123" s="27"/>
      <c r="BA123" s="22"/>
      <c r="BB123" s="22"/>
      <c r="BC123" s="22"/>
      <c r="BD123" s="22"/>
      <c r="BE123" s="27"/>
      <c r="BF123" s="22"/>
      <c r="BG123" s="27"/>
      <c r="BH123" s="27"/>
      <c r="BI123" s="12" t="str">
        <f>IFERROR(__xludf.DUMMYFUNCTION("IFERROR(TEXTJOIN("", "", TRUE, FILTER(SRD!$A$2:$A$1000, EXACT(SRD!$A$2:$A$1000, J123))), """")"),"")</f>
        <v/>
      </c>
      <c r="BJ123" s="29"/>
      <c r="BK123" s="29"/>
    </row>
    <row r="124" ht="15.75" customHeight="1">
      <c r="A124" s="55" t="s">
        <v>630</v>
      </c>
      <c r="B124" s="12"/>
      <c r="C124" s="56"/>
      <c r="D124" s="56"/>
      <c r="E124" s="56"/>
      <c r="F124" s="32" t="s">
        <v>570</v>
      </c>
      <c r="G124" s="57" t="s">
        <v>444</v>
      </c>
      <c r="H124" s="58" t="s">
        <v>85</v>
      </c>
      <c r="I124" s="16" t="str">
        <f t="array" ref="I124">INDEX(Validations!$C$2:$C$100, MATCH(TRUE, ISNUMBER(SEARCH(Validations!$B$2:$B$100, H124)), 0))</f>
        <v>T</v>
      </c>
      <c r="J124" s="36" t="s">
        <v>631</v>
      </c>
      <c r="K124" s="34"/>
      <c r="L124" s="12"/>
      <c r="M124" s="59"/>
      <c r="N124" s="27"/>
      <c r="O124" s="59"/>
      <c r="P124" s="60"/>
      <c r="Q124" s="60"/>
      <c r="R124" s="22"/>
      <c r="S124" s="59"/>
      <c r="T124" s="17"/>
      <c r="U124" s="17"/>
      <c r="V124" s="12"/>
      <c r="W124" s="12"/>
      <c r="X124" s="12"/>
      <c r="Y124" s="12"/>
      <c r="Z124" s="12"/>
      <c r="AA124" s="12"/>
      <c r="AB124" s="44"/>
      <c r="AC124" s="42" t="b">
        <v>0</v>
      </c>
      <c r="AD124" s="42" t="b">
        <v>0</v>
      </c>
      <c r="AE124" s="36" t="s">
        <v>435</v>
      </c>
      <c r="AF124" s="25">
        <f>IFERROR(__xludf.DUMMYFUNCTION("IFERROR(VALUE(REGEXEXTRACT(AE124, ""\d+"")), 1)"),1.0)</f>
        <v>1</v>
      </c>
      <c r="AG124" s="12" t="str">
        <f>IFERROR(__xludf.DUMMYFUNCTION("IF(
  ISNUMBER(SEARCH(""Bonus Action"", AE124)),
  ""Bonus Action"",
  IF(
    ISNUMBER(SEARCH(""Reaction"", AE124)),
    ""Reaction"",
    IF(
      ISNUMBER(SEARCH(""Action"", AE124)),
      ""Action"",
      TEXTJOIN("", "", TRUE, FILTER(Validations!$S"&amp;"$2:$S$100, ISNUMBER(SEARCH(Validations!$S$2:$S$100, AE124))))
    )
  )
)"),"Bonus Action")</f>
        <v>Bonus Action</v>
      </c>
      <c r="AH124" s="36"/>
      <c r="AI124" s="20" t="s">
        <v>92</v>
      </c>
      <c r="AJ124" s="26" t="str">
        <f>IFERROR(__xludf.DUMMYFUNCTION("TEXTJOIN("", "", TRUE, FILTER(Validations!$T$2:$T$100, ISNUMBER(SEARCH(Validations!$T$2:$T$100, AI124))))"),"")</f>
        <v/>
      </c>
      <c r="AK124" s="26">
        <f>IFERROR(__xludf.DUMMYFUNCTION("IFERROR(VALUE(REGEXEXTRACT(AI124, ""\d+"")), """")"),1.0)</f>
        <v>1</v>
      </c>
      <c r="AL124" s="26" t="str">
        <f>IFERROR(__xludf.DUMMYFUNCTION("TEXTJOIN("", "", TRUE, FILTER(Validations!$U$2:$U$100, ISNUMBER(SEARCH(Validations!$U$2:$U$100, AI124))))"),"Minutes")</f>
        <v>Minutes</v>
      </c>
      <c r="AM124" s="24" t="b">
        <f t="shared" si="1"/>
        <v>0</v>
      </c>
      <c r="AN124" s="42" t="b">
        <v>0</v>
      </c>
      <c r="AO124" s="36" t="s">
        <v>112</v>
      </c>
      <c r="AP124" s="12" t="str">
        <f>IFERROR(__xludf.DUMMYFUNCTION("IF(TEXTJOIN("", "", TRUE, FILTER(Validations!$Q$2:$Q$100, ISNUMBER(SEARCH(Validations!$Q$2:$Q$100, AO124)))) = """", Validations!$Q$2, TEXTJOIN("", "", TRUE, FILTER(Validations!$Q$2:$Q$100, ISNUMBER(SEARCH(Validations!$Q$2:$Q$100, AO124)))))"),"Point")</f>
        <v>Point</v>
      </c>
      <c r="AQ124" s="12">
        <f>IFERROR(__xludf.DUMMYFUNCTION("IFERROR(VALUE(REGEXEXTRACT(AO124, ""\d+"")), """")"),30.0)</f>
        <v>30</v>
      </c>
      <c r="AR124" s="12" t="str">
        <f>IFERROR(__xludf.DUMMYFUNCTION("TEXTJOIN("", "", TRUE, FILTER(Validations!$R$2:$R$100, ISNUMBER(SEARCH(Validations!$R$2:$R$100, AO124))))"),"Feet")</f>
        <v>Feet</v>
      </c>
      <c r="AS124" s="27"/>
      <c r="AT124" s="12" t="str">
        <f>IFERROR(__xludf.DUMMYFUNCTION("IFERROR(TEXTJOIN("", "", TRUE, FILTER(Validations!$I$2:$I$100, ISNUMBER(SEARCH(Validations!$I$2:$I$100, AS124)))), """")"),"")</f>
        <v/>
      </c>
      <c r="AU124" s="16" t="str">
        <f t="array" ref="AU124">IFERROR(INDEX(Validations!$J$2:$J$100, MATCH(TRUE, ISNUMBER(SEARCH(Validations!$I$2:$I$100, AT124)), 0)), "")</f>
        <v/>
      </c>
      <c r="AV124" s="12" t="str">
        <f>IFERROR(__xludf.DUMMYFUNCTION("IFERROR(VALUE(REGEXEXTRACT(AS124, ""\d+"")), """")"),"")</f>
        <v/>
      </c>
      <c r="AW124" s="12" t="str">
        <f>IFERROR(__xludf.DUMMYFUNCTION("IFERROR(TEXTJOIN("", "", TRUE, FILTER(Validations!$Q$2:$Q$100, ISNUMBER(SEARCH(Validations!$Q$2:$Q$100, AS124)))), """")"),"")</f>
        <v/>
      </c>
      <c r="AX124" s="28" t="s">
        <v>248</v>
      </c>
      <c r="AY124" s="28" t="str">
        <f>IFERROR(__xludf.DUMMYFUNCTION("TEXTJOIN("", "", TRUE, FILTER(Validations!$Y$2:$Y$100, ISNUMBER(SEARCH(Validations!$X$2:$X$100, AX124))))"),"V")</f>
        <v>V</v>
      </c>
      <c r="AZ124" s="26"/>
      <c r="BA124" s="59"/>
      <c r="BB124" s="22"/>
      <c r="BC124" s="22"/>
      <c r="BD124" s="22"/>
      <c r="BE124" s="27"/>
      <c r="BF124" s="22"/>
      <c r="BG124" s="27"/>
      <c r="BH124" s="27"/>
      <c r="BI124" s="12" t="str">
        <f>IFERROR(__xludf.DUMMYFUNCTION("IFERROR(TEXTJOIN("", "", TRUE, FILTER(SRD!$A$2:$A$1000, EXACT(SRD!$A$2:$A$1000, J124))), """")"),"")</f>
        <v/>
      </c>
      <c r="BJ124" s="29"/>
      <c r="BK124" s="29"/>
    </row>
    <row r="125" ht="15.75" customHeight="1">
      <c r="A125" s="30" t="s">
        <v>632</v>
      </c>
      <c r="B125" s="22"/>
      <c r="C125" s="31"/>
      <c r="D125" s="31" t="s">
        <v>74</v>
      </c>
      <c r="E125" s="31"/>
      <c r="F125" s="32" t="s">
        <v>102</v>
      </c>
      <c r="G125" s="15" t="s">
        <v>444</v>
      </c>
      <c r="H125" s="31" t="s">
        <v>140</v>
      </c>
      <c r="I125" s="16" t="str">
        <f t="array" ref="I125">INDEX(Validations!$C$2:$C$100, MATCH(TRUE, ISNUMBER(SEARCH(Validations!$B$2:$B$100, H125)), 0))</f>
        <v>N</v>
      </c>
      <c r="J125" s="17" t="s">
        <v>633</v>
      </c>
      <c r="K125" s="18"/>
      <c r="L125" s="17"/>
      <c r="M125" s="17"/>
      <c r="N125" s="27"/>
      <c r="O125" s="17"/>
      <c r="P125" s="21"/>
      <c r="Q125" s="21"/>
      <c r="R125" s="22"/>
      <c r="S125" s="17" t="str">
        <f>IFERROR(__xludf.DUMMYFUNCTION("IFERROR(REGEXEXTRACT(J125, ""(\d{1,3}[dD]\d{1,3})""), """")"),"1d4")</f>
        <v>1d4</v>
      </c>
      <c r="T125" s="17" t="str">
        <f>IFERROR(__xludf.DUMMYFUNCTION("IF(COUNTIF(ARRAYFORMULA(LOWER(Validations!$O$2:$O$100)), LOWER(REGEXEXTRACT(J125, ""\d{1,3}[dD]\d{1,3}\s+(\w+)"")))&gt;0, REGEXEXTRACT(J125, ""\d{1,3}[dD]\d{1,3}\s+(\w+)""), """")"),"")</f>
        <v/>
      </c>
      <c r="U125" s="17" t="str">
        <f>IFERROR(__xludf.DUMMYFUNCTION("IF(COUNTIF(ARRAYFORMULA(LOWER(Validations!$P$2:$P$100)), LOWER(REGEXEXTRACT(J125, ""\d{1,3}[dD]\d{1,3}\s+(\w+)"")))&gt;0, REGEXEXTRACT(J125, ""\d{1,3}[dD]\d{1,3}\s+(\w+)""), """")"),"")</f>
        <v/>
      </c>
      <c r="V125" s="12" t="str">
        <f>IFERROR(__xludf.DUMMYFUNCTION("TEXTJOIN("", "", TRUE, FILTER(Validations!$L$2:$L$100, ISNUMBER(SEARCH(Validations!$L$2:$L$100, J125))))"),"")</f>
        <v/>
      </c>
      <c r="W125" s="12" t="str">
        <f>IFERROR(__xludf.DUMMYFUNCTION("IFERROR(TEXTJOIN("", "", TRUE, FILTER(Validations!$M$2:$M$100, ISNUMBER(SEARCH(Validations!$M$2:$M$100 &amp; "" saving throw"", J125)))), """")"),"Intelligence")</f>
        <v>Intelligence</v>
      </c>
      <c r="X125" s="12"/>
      <c r="Y125" s="12"/>
      <c r="Z125" s="12" t="str">
        <f>IFERROR(__xludf.DUMMYFUNCTION("IFERROR(TEXTJOIN("", "", TRUE, FILTER(Validations!$N$2:$N$100, ISNUMBER(SEARCH(Validations!$N$2:$N$100 &amp; "" check"", J125)))), """")"),"")</f>
        <v/>
      </c>
      <c r="AA125" s="12" t="str">
        <f>IFERROR(__xludf.DUMMYFUNCTION("IFERROR(TEXTJOIN("", "", TRUE, FILTER(Validations!$N$2:$N$100, ISNUMBER(SEARCH(Validations!$N$2:$N$100 &amp; "" check"", W125)))), """")"),"")</f>
        <v/>
      </c>
      <c r="AB125" s="23" t="str">
        <f>IFERROR(__xludf.DUMMYFUNCTION("IFERROR(CONCATENATE(IF(ISNUMBER(SEARCH(Validations!$M$2:$M$100 &amp; "" spell save"", J125)),""Spell Save"",""""), REGEXEXTRACT(J125, ""DC (\d+)"")), """")"),"")</f>
        <v/>
      </c>
      <c r="AC125" s="24" t="b">
        <v>0</v>
      </c>
      <c r="AD125" s="24" t="b">
        <v>0</v>
      </c>
      <c r="AE125" s="36" t="s">
        <v>69</v>
      </c>
      <c r="AF125" s="25">
        <f>IFERROR(__xludf.DUMMYFUNCTION("IFERROR(VALUE(REGEXEXTRACT(AE125, ""\d+"")), 1)"),1.0)</f>
        <v>1</v>
      </c>
      <c r="AG125" s="12" t="str">
        <f>IFERROR(__xludf.DUMMYFUNCTION("IF(
  ISNUMBER(SEARCH(""Bonus Action"", AE125)),
  ""Bonus Action"",
  IF(
    ISNUMBER(SEARCH(""Reaction"", AE125)),
    ""Reaction"",
    IF(
      ISNUMBER(SEARCH(""Action"", AE125)),
      ""Action"",
      TEXTJOIN("", "", TRUE, FILTER(Validations!$S"&amp;"$2:$S$100, ISNUMBER(SEARCH(Validations!$S$2:$S$100, AE125))))
    )
  )
)"),"Action")</f>
        <v>Action</v>
      </c>
      <c r="AH125" s="36"/>
      <c r="AI125" s="20" t="s">
        <v>92</v>
      </c>
      <c r="AJ125" s="26" t="str">
        <f>IFERROR(__xludf.DUMMYFUNCTION("TEXTJOIN("", "", TRUE, FILTER(Validations!$T$2:$T$100, ISNUMBER(SEARCH(Validations!$T$2:$T$100, AI125))))"),"")</f>
        <v/>
      </c>
      <c r="AK125" s="26">
        <f>IFERROR(__xludf.DUMMYFUNCTION("IFERROR(VALUE(REGEXEXTRACT(AI125, ""\d+"")), """")"),1.0)</f>
        <v>1</v>
      </c>
      <c r="AL125" s="26" t="str">
        <f>IFERROR(__xludf.DUMMYFUNCTION("TEXTJOIN("", "", TRUE, FILTER(Validations!$U$2:$U$100, ISNUMBER(SEARCH(Validations!$U$2:$U$100, AI125))))"),"Minutes")</f>
        <v>Minutes</v>
      </c>
      <c r="AM125" s="24" t="b">
        <f t="shared" si="1"/>
        <v>0</v>
      </c>
      <c r="AN125" s="24" t="b">
        <v>1</v>
      </c>
      <c r="AO125" s="22" t="s">
        <v>112</v>
      </c>
      <c r="AP125" s="12" t="str">
        <f>IFERROR(__xludf.DUMMYFUNCTION("IF(TEXTJOIN("", "", TRUE, FILTER(Validations!$Q$2:$Q$100, ISNUMBER(SEARCH(Validations!$Q$2:$Q$100, AO125)))) = """", Validations!$Q$2, TEXTJOIN("", "", TRUE, FILTER(Validations!$Q$2:$Q$100, ISNUMBER(SEARCH(Validations!$Q$2:$Q$100, AO125)))))"),"Point")</f>
        <v>Point</v>
      </c>
      <c r="AQ125" s="12">
        <f>IFERROR(__xludf.DUMMYFUNCTION("IFERROR(VALUE(REGEXEXTRACT(AO125, ""\d+"")), """")"),30.0)</f>
        <v>30</v>
      </c>
      <c r="AR125" s="12" t="str">
        <f>IFERROR(__xludf.DUMMYFUNCTION("TEXTJOIN("", "", TRUE, FILTER(Validations!$R$2:$R$100, ISNUMBER(SEARCH(Validations!$R$2:$R$100, AO125))))"),"Feet")</f>
        <v>Feet</v>
      </c>
      <c r="AS125" s="27"/>
      <c r="AT125" s="12" t="str">
        <f>IFERROR(__xludf.DUMMYFUNCTION("IFERROR(TEXTJOIN("", "", TRUE, FILTER(Validations!$I$2:$I$100, ISNUMBER(SEARCH(Validations!$I$2:$I$100, AS125)))), """")"),"")</f>
        <v/>
      </c>
      <c r="AU125" s="16" t="str">
        <f t="array" ref="AU125">IFERROR(INDEX(Validations!$J$2:$J$100, MATCH(TRUE, ISNUMBER(SEARCH(Validations!$I$2:$I$100, AT125)), 0)), "")</f>
        <v/>
      </c>
      <c r="AV125" s="12" t="str">
        <f>IFERROR(__xludf.DUMMYFUNCTION("IFERROR(VALUE(REGEXEXTRACT(AS125, ""\d+"")), """")"),"")</f>
        <v/>
      </c>
      <c r="AW125" s="12" t="str">
        <f>IFERROR(__xludf.DUMMYFUNCTION("IFERROR(TEXTJOIN("", "", TRUE, FILTER(Validations!$Q$2:$Q$100, ISNUMBER(SEARCH(Validations!$Q$2:$Q$100, AS125)))), """")"),"")</f>
        <v/>
      </c>
      <c r="AX125" s="28" t="s">
        <v>152</v>
      </c>
      <c r="AY125" s="28" t="str">
        <f>IFERROR(__xludf.DUMMYFUNCTION("TEXTJOIN("", "", TRUE, FILTER(Validations!$Y$2:$Y$100, ISNUMBER(SEARCH(Validations!$X$2:$X$100, AX125))))"),"V, S, R")</f>
        <v>V, S, R</v>
      </c>
      <c r="AZ125" s="20" t="s">
        <v>634</v>
      </c>
      <c r="BA125" s="22"/>
      <c r="BB125" s="22"/>
      <c r="BC125" s="22"/>
      <c r="BD125" s="22"/>
      <c r="BE125" s="27"/>
      <c r="BF125" s="22"/>
      <c r="BG125" s="27"/>
      <c r="BH125" s="27"/>
      <c r="BI125" s="12" t="str">
        <f>IFERROR(__xludf.DUMMYFUNCTION("IFERROR(TEXTJOIN("", "", TRUE, FILTER(SRD!$A$2:$A$1000, EXACT(SRD!$A$2:$A$1000, J125))), """")"),"")</f>
        <v/>
      </c>
      <c r="BJ125" s="29"/>
      <c r="BK125" s="29"/>
    </row>
    <row r="126" ht="15.75" customHeight="1">
      <c r="A126" s="55" t="s">
        <v>635</v>
      </c>
      <c r="B126" s="12"/>
      <c r="C126" s="61"/>
      <c r="D126" s="61" t="s">
        <v>636</v>
      </c>
      <c r="E126" s="61"/>
      <c r="F126" s="32" t="s">
        <v>637</v>
      </c>
      <c r="G126" s="57" t="s">
        <v>444</v>
      </c>
      <c r="H126" s="58" t="s">
        <v>85</v>
      </c>
      <c r="I126" s="16" t="str">
        <f t="array" ref="I126">INDEX(Validations!$C$2:$C$100, MATCH(TRUE, ISNUMBER(SEARCH(Validations!$B$2:$B$100, H126)), 0))</f>
        <v>T</v>
      </c>
      <c r="J126" s="36" t="s">
        <v>638</v>
      </c>
      <c r="K126" s="34"/>
      <c r="L126" s="36"/>
      <c r="M126" s="59"/>
      <c r="N126" s="27"/>
      <c r="O126" s="59"/>
      <c r="P126" s="60"/>
      <c r="Q126" s="60"/>
      <c r="R126" s="22"/>
      <c r="S126" s="17" t="str">
        <f>IFERROR(__xludf.DUMMYFUNCTION("IFERROR(REGEXEXTRACT(J126, ""(\d{1,3}[dD]\d{1,3})""), """")"),"")</f>
        <v/>
      </c>
      <c r="T126" s="17" t="str">
        <f>IFERROR(__xludf.DUMMYFUNCTION("IF(COUNTIF(ARRAYFORMULA(LOWER(Validations!$O$2:$O$100)), LOWER(REGEXEXTRACT(J126, ""\d{1,3}[dD]\d{1,3}\s+(\w+)"")))&gt;0, REGEXEXTRACT(J126, ""\d{1,3}[dD]\d{1,3}\s+(\w+)""), """")"),"")</f>
        <v/>
      </c>
      <c r="U126" s="17" t="str">
        <f>IFERROR(__xludf.DUMMYFUNCTION("IF(COUNTIF(ARRAYFORMULA(LOWER(Validations!$P$2:$P$100)), LOWER(REGEXEXTRACT(J126, ""\d{1,3}[dD]\d{1,3}\s+(\w+)"")))&gt;0, REGEXEXTRACT(J126, ""\d{1,3}[dD]\d{1,3}\s+(\w+)""), """")"),"")</f>
        <v/>
      </c>
      <c r="V126" s="12"/>
      <c r="W126" s="12" t="str">
        <f>IFERROR(__xludf.DUMMYFUNCTION("IFERROR(TEXTJOIN("", "", TRUE, FILTER(Validations!$M$2:$M$100, ISNUMBER(SEARCH(Validations!$M$2:$M$100 &amp; "" saving throw"", J126)))), """")"),"")</f>
        <v/>
      </c>
      <c r="X126" s="12"/>
      <c r="Y126" s="12"/>
      <c r="Z126" s="12" t="str">
        <f>IFERROR(__xludf.DUMMYFUNCTION("IFERROR(TEXTJOIN("", "", TRUE, FILTER(Validations!$N$2:$N$100, ISNUMBER(SEARCH(Validations!$N$2:$N$100 &amp; "" check"", J126)))), """")"),"Arcana, Perception")</f>
        <v>Arcana, Perception</v>
      </c>
      <c r="AA126" s="12" t="str">
        <f>IFERROR(__xludf.DUMMYFUNCTION("IFERROR(TEXTJOIN("", "", TRUE, FILTER(Validations!$N$2:$N$100, ISNUMBER(SEARCH(Validations!$N$2:$N$100 &amp; "" check"", W126)))), """")"),"")</f>
        <v/>
      </c>
      <c r="AB126" s="23" t="str">
        <f>IFERROR(__xludf.DUMMYFUNCTION("IFERROR(CONCATENATE(IF(ISNUMBER(SEARCH(Validations!$M$2:$M$100 &amp; "" spell save"", J126)),""Spell Save"",""""), REGEXEXTRACT(J126, ""DC (\d+)"")), """")"),"15")</f>
        <v>15</v>
      </c>
      <c r="AC126" s="24" t="b">
        <v>0</v>
      </c>
      <c r="AD126" s="24" t="b">
        <v>0</v>
      </c>
      <c r="AE126" s="36" t="s">
        <v>69</v>
      </c>
      <c r="AF126" s="25">
        <f>IFERROR(__xludf.DUMMYFUNCTION("IFERROR(VALUE(REGEXEXTRACT(AE126, ""\d+"")), 1)"),1.0)</f>
        <v>1</v>
      </c>
      <c r="AG126" s="12" t="str">
        <f>IFERROR(__xludf.DUMMYFUNCTION("IF(
  ISNUMBER(SEARCH(""Bonus Action"", AE126)),
  ""Bonus Action"",
  IF(
    ISNUMBER(SEARCH(""Reaction"", AE126)),
    ""Reaction"",
    IF(
      ISNUMBER(SEARCH(""Action"", AE126)),
      ""Action"",
      TEXTJOIN("", "", TRUE, FILTER(Validations!$S"&amp;"$2:$S$100, ISNUMBER(SEARCH(Validations!$S$2:$S$100, AE126))))
    )
  )
)"),"Action")</f>
        <v>Action</v>
      </c>
      <c r="AH126" s="36"/>
      <c r="AI126" s="20" t="s">
        <v>556</v>
      </c>
      <c r="AJ126" s="26" t="str">
        <f>IFERROR(__xludf.DUMMYFUNCTION("TEXTJOIN("", "", TRUE, FILTER(Validations!$T$2:$T$100, ISNUMBER(SEARCH(Validations!$T$2:$T$100, AI126))))"),"")</f>
        <v/>
      </c>
      <c r="AK126" s="26">
        <f>IFERROR(__xludf.DUMMYFUNCTION("IFERROR(VALUE(REGEXEXTRACT(AI126, ""\d+"")), """")"),1.0)</f>
        <v>1</v>
      </c>
      <c r="AL126" s="26" t="str">
        <f>IFERROR(__xludf.DUMMYFUNCTION("TEXTJOIN("", "", TRUE, FILTER(Validations!$U$2:$U$100, ISNUMBER(SEARCH(Validations!$U$2:$U$100, AI126))))"),"Minutes")</f>
        <v>Minutes</v>
      </c>
      <c r="AM126" s="24" t="b">
        <f t="shared" si="1"/>
        <v>1</v>
      </c>
      <c r="AN126" s="42" t="b">
        <v>1</v>
      </c>
      <c r="AO126" s="36" t="s">
        <v>440</v>
      </c>
      <c r="AP126" s="12" t="str">
        <f>IFERROR(__xludf.DUMMYFUNCTION("IF(TEXTJOIN("", "", TRUE, FILTER(Validations!$Q$2:$Q$100, ISNUMBER(SEARCH(Validations!$Q$2:$Q$100, AO126)))) = """", Validations!$Q$2, TEXTJOIN("", "", TRUE, FILTER(Validations!$Q$2:$Q$100, ISNUMBER(SEARCH(Validations!$Q$2:$Q$100, AO126)))))"),"Point")</f>
        <v>Point</v>
      </c>
      <c r="AQ126" s="12">
        <f>IFERROR(__xludf.DUMMYFUNCTION("IFERROR(VALUE(REGEXEXTRACT(AO126, ""\d+"")), """")"),60.0)</f>
        <v>60</v>
      </c>
      <c r="AR126" s="12" t="str">
        <f>IFERROR(__xludf.DUMMYFUNCTION("TEXTJOIN("", "", TRUE, FILTER(Validations!$R$2:$R$100, ISNUMBER(SEARCH(Validations!$R$2:$R$100, AO126))))"),"Feet")</f>
        <v>Feet</v>
      </c>
      <c r="AS126" s="27"/>
      <c r="AT126" s="12" t="str">
        <f>IFERROR(__xludf.DUMMYFUNCTION("IFERROR(TEXTJOIN("", "", TRUE, FILTER(Validations!$I$2:$I$100, ISNUMBER(SEARCH(Validations!$I$2:$I$100, AS126)))), """")"),"")</f>
        <v/>
      </c>
      <c r="AU126" s="16" t="str">
        <f t="array" ref="AU126">IFERROR(INDEX(Validations!$J$2:$J$100, MATCH(TRUE, ISNUMBER(SEARCH(Validations!$I$2:$I$100, AT126)), 0)), "")</f>
        <v/>
      </c>
      <c r="AV126" s="12" t="str">
        <f>IFERROR(__xludf.DUMMYFUNCTION("IFERROR(VALUE(REGEXEXTRACT(AS126, ""\d+"")), """")"),"")</f>
        <v/>
      </c>
      <c r="AW126" s="12" t="str">
        <f>IFERROR(__xludf.DUMMYFUNCTION("IFERROR(TEXTJOIN("", "", TRUE, FILTER(Validations!$Q$2:$Q$100, ISNUMBER(SEARCH(Validations!$Q$2:$Q$100, AS126)))), """")"),"")</f>
        <v/>
      </c>
      <c r="AX126" s="28" t="s">
        <v>142</v>
      </c>
      <c r="AY126" s="28" t="str">
        <f>IFERROR(__xludf.DUMMYFUNCTION("TEXTJOIN("", "", TRUE, FILTER(Validations!$Y$2:$Y$100, ISNUMBER(SEARCH(Validations!$X$2:$X$100, AX126))))"),"V, S")</f>
        <v>V, S</v>
      </c>
      <c r="AZ126" s="26"/>
      <c r="BA126" s="59"/>
      <c r="BB126" s="22"/>
      <c r="BC126" s="22"/>
      <c r="BD126" s="22"/>
      <c r="BE126" s="27"/>
      <c r="BF126" s="22"/>
      <c r="BG126" s="27"/>
      <c r="BH126" s="27"/>
      <c r="BI126" s="12" t="str">
        <f>IFERROR(__xludf.DUMMYFUNCTION("IFERROR(TEXTJOIN("", "", TRUE, FILTER(SRD!$A$2:$A$1000, EXACT(SRD!$A$2:$A$1000, J126))), """")"),"")</f>
        <v/>
      </c>
      <c r="BJ126" s="29"/>
      <c r="BK126" s="29"/>
    </row>
    <row r="127" ht="15.75" customHeight="1">
      <c r="A127" s="55" t="s">
        <v>639</v>
      </c>
      <c r="B127" s="12"/>
      <c r="C127" s="56"/>
      <c r="D127" s="56"/>
      <c r="E127" s="56"/>
      <c r="F127" s="32" t="s">
        <v>443</v>
      </c>
      <c r="G127" s="57" t="s">
        <v>444</v>
      </c>
      <c r="H127" s="58" t="s">
        <v>65</v>
      </c>
      <c r="I127" s="16" t="str">
        <f t="array" ref="I127">INDEX(Validations!$C$2:$C$100, MATCH(TRUE, ISNUMBER(SEARCH(Validations!$B$2:$B$100, H127)), 0))</f>
        <v>I</v>
      </c>
      <c r="J127" s="36" t="s">
        <v>640</v>
      </c>
      <c r="K127" s="34"/>
      <c r="L127" s="12"/>
      <c r="M127" s="12"/>
      <c r="N127" s="27"/>
      <c r="O127" s="59"/>
      <c r="P127" s="60"/>
      <c r="Q127" s="60"/>
      <c r="R127" s="22"/>
      <c r="S127" s="17" t="str">
        <f>IFERROR(__xludf.DUMMYFUNCTION("IFERROR(REGEXEXTRACT(J127, ""(\d{1,3}[dD]\d{1,3})""), """")"),"")</f>
        <v/>
      </c>
      <c r="T127" s="17" t="str">
        <f>IFERROR(__xludf.DUMMYFUNCTION("IF(COUNTIF(ARRAYFORMULA(LOWER(Validations!$O$2:$O$100)), LOWER(REGEXEXTRACT(J127, ""\d{1,3}[dD]\d{1,3}\s+(\w+)"")))&gt;0, REGEXEXTRACT(J127, ""\d{1,3}[dD]\d{1,3}\s+(\w+)""), """")"),"")</f>
        <v/>
      </c>
      <c r="U127" s="17"/>
      <c r="V127" s="12" t="str">
        <f>IFERROR(__xludf.DUMMYFUNCTION("TEXTJOIN("", "", TRUE, FILTER(Validations!$L$2:$L$100, ISNUMBER(SEARCH(Validations!$L$2:$L$100, J127))))"),"")</f>
        <v/>
      </c>
      <c r="W127" s="12" t="str">
        <f>IFERROR(__xludf.DUMMYFUNCTION("IFERROR(TEXTJOIN("", "", TRUE, FILTER(Validations!$M$2:$M$100, ISNUMBER(SEARCH(Validations!$M$2:$M$100 &amp; "" saving throw"", J127)))), """")"),"")</f>
        <v/>
      </c>
      <c r="X127" s="12"/>
      <c r="Y127" s="12"/>
      <c r="Z127" s="12" t="str">
        <f>IFERROR(__xludf.DUMMYFUNCTION("IFERROR(TEXTJOIN("", "", TRUE, FILTER(Validations!$N$2:$N$100, ISNUMBER(SEARCH(Validations!$N$2:$N$100 &amp; "" check"", J127)))), """")"),"")</f>
        <v/>
      </c>
      <c r="AA127" s="12" t="str">
        <f>IFERROR(__xludf.DUMMYFUNCTION("IFERROR(TEXTJOIN("", "", TRUE, FILTER(Validations!$N$2:$N$100, ISNUMBER(SEARCH(Validations!$N$2:$N$100 &amp; "" check"", W127)))), """")"),"")</f>
        <v/>
      </c>
      <c r="AB127" s="23" t="str">
        <f>IFERROR(__xludf.DUMMYFUNCTION("IFERROR(CONCATENATE(IF(ISNUMBER(SEARCH(Validations!$M$2:$M$100 &amp; "" spell save"", J127)),""Spell Save"",""""), REGEXEXTRACT(J127, ""DC (\d+)"")), """")"),"")</f>
        <v/>
      </c>
      <c r="AC127" s="42" t="b">
        <v>0</v>
      </c>
      <c r="AD127" s="42" t="b">
        <v>0</v>
      </c>
      <c r="AE127" s="36" t="s">
        <v>69</v>
      </c>
      <c r="AF127" s="25">
        <f>IFERROR(__xludf.DUMMYFUNCTION("IFERROR(VALUE(REGEXEXTRACT(AE127, ""\d+"")), 1)"),1.0)</f>
        <v>1</v>
      </c>
      <c r="AG127" s="12" t="str">
        <f>IFERROR(__xludf.DUMMYFUNCTION("IF(
  ISNUMBER(SEARCH(""Bonus Action"", AE127)),
  ""Bonus Action"",
  IF(
    ISNUMBER(SEARCH(""Reaction"", AE127)),
    ""Reaction"",
    IF(
      ISNUMBER(SEARCH(""Action"", AE127)),
      ""Action"",
      TEXTJOIN("", "", TRUE, FILTER(Validations!$S"&amp;"$2:$S$100, ISNUMBER(SEARCH(Validations!$S$2:$S$100, AE127))))
    )
  )
)"),"Action")</f>
        <v>Action</v>
      </c>
      <c r="AH127" s="12"/>
      <c r="AI127" s="20" t="s">
        <v>296</v>
      </c>
      <c r="AJ127" s="26" t="str">
        <f>IFERROR(__xludf.DUMMYFUNCTION("TEXTJOIN("", "", TRUE, FILTER(Validations!$T$2:$T$100, ISNUMBER(SEARCH(Validations!$T$2:$T$100, AI127))))"),"")</f>
        <v/>
      </c>
      <c r="AK127" s="26">
        <f>IFERROR(__xludf.DUMMYFUNCTION("IFERROR(VALUE(REGEXEXTRACT(AI127, ""\d+"")), """")"),1.0)</f>
        <v>1</v>
      </c>
      <c r="AL127" s="26" t="str">
        <f>IFERROR(__xludf.DUMMYFUNCTION("TEXTJOIN("", "", TRUE, FILTER(Validations!$U$2:$U$100, ISNUMBER(SEARCH(Validations!$U$2:$U$100, AI127))))"),"Hours")</f>
        <v>Hours</v>
      </c>
      <c r="AM127" s="24" t="b">
        <f t="shared" si="1"/>
        <v>0</v>
      </c>
      <c r="AN127" s="42" t="b">
        <v>0</v>
      </c>
      <c r="AO127" s="36" t="s">
        <v>546</v>
      </c>
      <c r="AP127" s="12" t="str">
        <f>IFERROR(__xludf.DUMMYFUNCTION("IF(TEXTJOIN("", "", TRUE, FILTER(Validations!$Q$2:$Q$100, ISNUMBER(SEARCH(Validations!$Q$2:$Q$100, AO127)))) = """", Validations!$Q$2, TEXTJOIN("", "", TRUE, FILTER(Validations!$Q$2:$Q$100, ISNUMBER(SEARCH(Validations!$Q$2:$Q$100, AO127)))))"),"Point")</f>
        <v>Point</v>
      </c>
      <c r="AQ127" s="12" t="str">
        <f>IFERROR(__xludf.DUMMYFUNCTION("IFERROR(VALUE(REGEXEXTRACT(AO127, ""\d+"")), """")"),"")</f>
        <v/>
      </c>
      <c r="AR127" s="12" t="str">
        <f>IFERROR(__xludf.DUMMYFUNCTION("TEXTJOIN("", "", TRUE, FILTER(Validations!$R$2:$R$100, ISNUMBER(SEARCH(Validations!$R$2:$R$100, AO127))))"),"Self")</f>
        <v>Self</v>
      </c>
      <c r="AS127" s="27"/>
      <c r="AT127" s="12" t="str">
        <f>IFERROR(__xludf.DUMMYFUNCTION("IFERROR(TEXTJOIN("", "", TRUE, FILTER(Validations!$I$2:$I$100, ISNUMBER(SEARCH(Validations!$I$2:$I$100, AS127)))), """")"),"")</f>
        <v/>
      </c>
      <c r="AU127" s="16" t="str">
        <f t="array" ref="AU127">IFERROR(INDEX(Validations!$J$2:$J$100, MATCH(TRUE, ISNUMBER(SEARCH(Validations!$I$2:$I$100, AT127)), 0)), "")</f>
        <v/>
      </c>
      <c r="AV127" s="12" t="str">
        <f>IFERROR(__xludf.DUMMYFUNCTION("IFERROR(VALUE(REGEXEXTRACT(AS127, ""\d+"")), """")"),"")</f>
        <v/>
      </c>
      <c r="AW127" s="12" t="str">
        <f>IFERROR(__xludf.DUMMYFUNCTION("IFERROR(TEXTJOIN("", "", TRUE, FILTER(Validations!$Q$2:$Q$100, ISNUMBER(SEARCH(Validations!$Q$2:$Q$100, AS127)))), """")"),"")</f>
        <v/>
      </c>
      <c r="AX127" s="28" t="s">
        <v>142</v>
      </c>
      <c r="AY127" s="28" t="str">
        <f>IFERROR(__xludf.DUMMYFUNCTION("TEXTJOIN("", "", TRUE, FILTER(Validations!$Y$2:$Y$100, ISNUMBER(SEARCH(Validations!$X$2:$X$100, AX127))))"),"V, S")</f>
        <v>V, S</v>
      </c>
      <c r="AZ127" s="26"/>
      <c r="BA127" s="59"/>
      <c r="BB127" s="22"/>
      <c r="BC127" s="22"/>
      <c r="BD127" s="22"/>
      <c r="BE127" s="27"/>
      <c r="BF127" s="22"/>
      <c r="BG127" s="27"/>
      <c r="BH127" s="27"/>
      <c r="BI127" s="44"/>
      <c r="BJ127" s="29"/>
      <c r="BK127" s="29"/>
    </row>
    <row r="128" ht="15.75" customHeight="1">
      <c r="A128" s="55" t="s">
        <v>641</v>
      </c>
      <c r="B128" s="12"/>
      <c r="C128" s="56"/>
      <c r="D128" s="56"/>
      <c r="E128" s="56"/>
      <c r="F128" s="32" t="s">
        <v>443</v>
      </c>
      <c r="G128" s="57" t="s">
        <v>444</v>
      </c>
      <c r="H128" s="58" t="s">
        <v>103</v>
      </c>
      <c r="I128" s="16" t="str">
        <f t="array" ref="I128">INDEX(Validations!$C$2:$C$100, MATCH(TRUE, ISNUMBER(SEARCH(Validations!$B$2:$B$100, H128)), 0))</f>
        <v>C</v>
      </c>
      <c r="J128" s="36" t="s">
        <v>642</v>
      </c>
      <c r="K128" s="34"/>
      <c r="L128" s="12"/>
      <c r="M128" s="12"/>
      <c r="N128" s="27"/>
      <c r="O128" s="59"/>
      <c r="P128" s="60"/>
      <c r="Q128" s="60"/>
      <c r="R128" s="22"/>
      <c r="S128" s="17" t="str">
        <f>IFERROR(__xludf.DUMMYFUNCTION("IFERROR(REGEXEXTRACT(J128, ""(\d{1,3}[dD]\d{1,3})""), """")"),"")</f>
        <v/>
      </c>
      <c r="T128" s="17" t="str">
        <f>IFERROR(__xludf.DUMMYFUNCTION("IF(COUNTIF(ARRAYFORMULA(LOWER(Validations!$O$2:$O$100)), LOWER(REGEXEXTRACT(J128, ""\d{1,3}[dD]\d{1,3}\s+(\w+)"")))&gt;0, REGEXEXTRACT(J128, ""\d{1,3}[dD]\d{1,3}\s+(\w+)""), """")"),"")</f>
        <v/>
      </c>
      <c r="U128" s="17"/>
      <c r="V128" s="12" t="str">
        <f>IFERROR(__xludf.DUMMYFUNCTION("TEXTJOIN("", "", TRUE, FILTER(Validations!$L$2:$L$100, ISNUMBER(SEARCH(Validations!$L$2:$L$100, J128))))"),"")</f>
        <v/>
      </c>
      <c r="W128" s="12" t="str">
        <f>IFERROR(__xludf.DUMMYFUNCTION("IFERROR(TEXTJOIN("", "", TRUE, FILTER(Validations!$M$2:$M$100, ISNUMBER(SEARCH(Validations!$M$2:$M$100 &amp; "" saving throw"", J128)))), """")"),"")</f>
        <v/>
      </c>
      <c r="X128" s="12"/>
      <c r="Y128" s="12"/>
      <c r="Z128" s="12" t="str">
        <f>IFERROR(__xludf.DUMMYFUNCTION("IFERROR(TEXTJOIN("", "", TRUE, FILTER(Validations!$N$2:$N$100, ISNUMBER(SEARCH(Validations!$N$2:$N$100 &amp; "" check"", J128)))), """")"),"")</f>
        <v/>
      </c>
      <c r="AA128" s="12" t="str">
        <f>IFERROR(__xludf.DUMMYFUNCTION("IFERROR(TEXTJOIN("", "", TRUE, FILTER(Validations!$N$2:$N$100, ISNUMBER(SEARCH(Validations!$N$2:$N$100 &amp; "" check"", W128)))), """")"),"")</f>
        <v/>
      </c>
      <c r="AB128" s="23" t="str">
        <f>IFERROR(__xludf.DUMMYFUNCTION("IFERROR(CONCATENATE(IF(ISNUMBER(SEARCH(Validations!$M$2:$M$100 &amp; "" spell save"", J128)),""Spell Save"",""""), REGEXEXTRACT(J128, ""DC (\d+)"")), """")"),"")</f>
        <v/>
      </c>
      <c r="AC128" s="42" t="b">
        <v>0</v>
      </c>
      <c r="AD128" s="42" t="b">
        <v>0</v>
      </c>
      <c r="AE128" s="36" t="s">
        <v>69</v>
      </c>
      <c r="AF128" s="25">
        <f>IFERROR(__xludf.DUMMYFUNCTION("IFERROR(VALUE(REGEXEXTRACT(AE128, ""\d+"")), 1)"),1.0)</f>
        <v>1</v>
      </c>
      <c r="AG128" s="12" t="str">
        <f>IFERROR(__xludf.DUMMYFUNCTION("IF(
  ISNUMBER(SEARCH(""Bonus Action"", AE128)),
  ""Bonus Action"",
  IF(
    ISNUMBER(SEARCH(""Reaction"", AE128)),
    ""Reaction"",
    IF(
      ISNUMBER(SEARCH(""Action"", AE128)),
      ""Action"",
      TEXTJOIN("", "", TRUE, FILTER(Validations!$S"&amp;"$2:$S$100, ISNUMBER(SEARCH(Validations!$S$2:$S$100, AE128))))
    )
  )
)"),"Action")</f>
        <v>Action</v>
      </c>
      <c r="AH128" s="12"/>
      <c r="AI128" s="20" t="s">
        <v>556</v>
      </c>
      <c r="AJ128" s="26" t="str">
        <f>IFERROR(__xludf.DUMMYFUNCTION("TEXTJOIN("", "", TRUE, FILTER(Validations!$T$2:$T$100, ISNUMBER(SEARCH(Validations!$T$2:$T$100, AI128))))"),"")</f>
        <v/>
      </c>
      <c r="AK128" s="26">
        <f>IFERROR(__xludf.DUMMYFUNCTION("IFERROR(VALUE(REGEXEXTRACT(AI128, ""\d+"")), """")"),1.0)</f>
        <v>1</v>
      </c>
      <c r="AL128" s="26" t="str">
        <f>IFERROR(__xludf.DUMMYFUNCTION("TEXTJOIN("", "", TRUE, FILTER(Validations!$U$2:$U$100, ISNUMBER(SEARCH(Validations!$U$2:$U$100, AI128))))"),"Minutes")</f>
        <v>Minutes</v>
      </c>
      <c r="AM128" s="24" t="b">
        <f t="shared" si="1"/>
        <v>1</v>
      </c>
      <c r="AN128" s="42" t="b">
        <v>1</v>
      </c>
      <c r="AO128" s="36" t="s">
        <v>643</v>
      </c>
      <c r="AP128" s="12" t="str">
        <f>IFERROR(__xludf.DUMMYFUNCTION("IF(TEXTJOIN("", "", TRUE, FILTER(Validations!$Q$2:$Q$100, ISNUMBER(SEARCH(Validations!$Q$2:$Q$100, AO128)))) = """", Validations!$Q$2, TEXTJOIN("", "", TRUE, FILTER(Validations!$Q$2:$Q$100, ISNUMBER(SEARCH(Validations!$Q$2:$Q$100, AO128)))))"),"Point")</f>
        <v>Point</v>
      </c>
      <c r="AQ128" s="12">
        <f>IFERROR(__xludf.DUMMYFUNCTION("IFERROR(VALUE(REGEXEXTRACT(AO128, ""\d+"")), """")"),30.0)</f>
        <v>30</v>
      </c>
      <c r="AR128" s="12" t="str">
        <f>IFERROR(__xludf.DUMMYFUNCTION("TEXTJOIN("", "", TRUE, FILTER(Validations!$R$2:$R$100, ISNUMBER(SEARCH(Validations!$R$2:$R$100, AO128))))"),"Feet")</f>
        <v>Feet</v>
      </c>
      <c r="AS128" s="27"/>
      <c r="AT128" s="12" t="str">
        <f>IFERROR(__xludf.DUMMYFUNCTION("IFERROR(TEXTJOIN("", "", TRUE, FILTER(Validations!$I$2:$I$100, ISNUMBER(SEARCH(Validations!$I$2:$I$100, AS128)))), """")"),"")</f>
        <v/>
      </c>
      <c r="AU128" s="16" t="str">
        <f t="array" ref="AU128">IFERROR(INDEX(Validations!$J$2:$J$100, MATCH(TRUE, ISNUMBER(SEARCH(Validations!$I$2:$I$100, AT128)), 0)), "")</f>
        <v/>
      </c>
      <c r="AV128" s="12" t="str">
        <f>IFERROR(__xludf.DUMMYFUNCTION("IFERROR(VALUE(REGEXEXTRACT(AS128, ""\d+"")), """")"),"")</f>
        <v/>
      </c>
      <c r="AW128" s="12" t="str">
        <f>IFERROR(__xludf.DUMMYFUNCTION("IFERROR(TEXTJOIN("", "", TRUE, FILTER(Validations!$Q$2:$Q$100, ISNUMBER(SEARCH(Validations!$Q$2:$Q$100, AS128)))), """")"),"")</f>
        <v/>
      </c>
      <c r="AX128" s="28" t="s">
        <v>152</v>
      </c>
      <c r="AY128" s="28" t="str">
        <f>IFERROR(__xludf.DUMMYFUNCTION("TEXTJOIN("", "", TRUE, FILTER(Validations!$Y$2:$Y$100, ISNUMBER(SEARCH(Validations!$X$2:$X$100, AX128))))"),"V, S, R")</f>
        <v>V, S, R</v>
      </c>
      <c r="AZ128" s="20" t="s">
        <v>644</v>
      </c>
      <c r="BA128" s="59"/>
      <c r="BB128" s="22"/>
      <c r="BC128" s="22"/>
      <c r="BD128" s="22"/>
      <c r="BE128" s="27"/>
      <c r="BF128" s="22"/>
      <c r="BG128" s="27"/>
      <c r="BH128" s="27"/>
      <c r="BI128" s="44"/>
      <c r="BJ128" s="29"/>
      <c r="BK128" s="29"/>
    </row>
    <row r="129" ht="15.75" customHeight="1">
      <c r="A129" s="55" t="s">
        <v>645</v>
      </c>
      <c r="B129" s="12"/>
      <c r="C129" s="56"/>
      <c r="D129" s="56"/>
      <c r="E129" s="56"/>
      <c r="F129" s="32" t="s">
        <v>365</v>
      </c>
      <c r="G129" s="57" t="s">
        <v>444</v>
      </c>
      <c r="H129" s="58" t="s">
        <v>140</v>
      </c>
      <c r="I129" s="16" t="str">
        <f t="array" ref="I129">INDEX(Validations!$C$2:$C$100, MATCH(TRUE, ISNUMBER(SEARCH(Validations!$B$2:$B$100, H129)), 0))</f>
        <v>N</v>
      </c>
      <c r="J129" s="36" t="s">
        <v>646</v>
      </c>
      <c r="K129" s="34"/>
      <c r="L129" s="12"/>
      <c r="M129" s="12"/>
      <c r="N129" s="27"/>
      <c r="O129" s="59"/>
      <c r="P129" s="60"/>
      <c r="Q129" s="60"/>
      <c r="R129" s="22"/>
      <c r="S129" s="59"/>
      <c r="T129" s="17" t="str">
        <f>IFERROR(__xludf.DUMMYFUNCTION("IF(COUNTIF(ARRAYFORMULA(LOWER(Validations!$O$2:$O$100)), LOWER(REGEXEXTRACT(J129, ""\d{1,3}[dD]\d{1,3}\s+(\w+)"")))&gt;0, REGEXEXTRACT(J129, ""\d{1,3}[dD]\d{1,3}\s+(\w+)""), """")"),"cognitive")</f>
        <v>cognitive</v>
      </c>
      <c r="U129" s="17"/>
      <c r="V129" s="12" t="str">
        <f>IFERROR(__xludf.DUMMYFUNCTION("TEXTJOIN("", "", TRUE, FILTER(Validations!$L$2:$L$100, ISNUMBER(SEARCH(Validations!$L$2:$L$100, J129))))"),"")</f>
        <v/>
      </c>
      <c r="W129" s="12" t="str">
        <f>IFERROR(__xludf.DUMMYFUNCTION("IFERROR(TEXTJOIN("", "", TRUE, FILTER(Validations!$M$2:$M$100, ISNUMBER(SEARCH(Validations!$M$2:$M$100 &amp; "" saving throw"", J129)))), """")"),"")</f>
        <v/>
      </c>
      <c r="X129" s="12"/>
      <c r="Y129" s="12"/>
      <c r="Z129" s="12" t="str">
        <f>IFERROR(__xludf.DUMMYFUNCTION("IFERROR(TEXTJOIN("", "", TRUE, FILTER(Validations!$N$2:$N$100, ISNUMBER(SEARCH(Validations!$N$2:$N$100 &amp; "" check"", J129)))), """")"),"")</f>
        <v/>
      </c>
      <c r="AA129" s="12" t="str">
        <f>IFERROR(__xludf.DUMMYFUNCTION("IFERROR(TEXTJOIN("", "", TRUE, FILTER(Validations!$N$2:$N$100, ISNUMBER(SEARCH(Validations!$N$2:$N$100 &amp; "" check"", W129)))), """")"),"")</f>
        <v/>
      </c>
      <c r="AB129" s="23" t="str">
        <f>IFERROR(__xludf.DUMMYFUNCTION("IFERROR(CONCATENATE(IF(ISNUMBER(SEARCH(Validations!$M$2:$M$100 &amp; "" spell save"", J129)),""Spell Save"",""""), REGEXEXTRACT(J129, ""DC (\d+)"")), """")"),"")</f>
        <v/>
      </c>
      <c r="AC129" s="42" t="b">
        <v>0</v>
      </c>
      <c r="AD129" s="42" t="b">
        <v>0</v>
      </c>
      <c r="AE129" s="36" t="s">
        <v>69</v>
      </c>
      <c r="AF129" s="25">
        <f>IFERROR(__xludf.DUMMYFUNCTION("IFERROR(VALUE(REGEXEXTRACT(AE129, ""\d+"")), 1)"),1.0)</f>
        <v>1</v>
      </c>
      <c r="AG129" s="12" t="str">
        <f>IFERROR(__xludf.DUMMYFUNCTION("IF(
  ISNUMBER(SEARCH(""Bonus Action"", AE129)),
  ""Bonus Action"",
  IF(
    ISNUMBER(SEARCH(""Reaction"", AE129)),
    ""Reaction"",
    IF(
      ISNUMBER(SEARCH(""Action"", AE129)),
      ""Action"",
      TEXTJOIN("", "", TRUE, FILTER(Validations!$S"&amp;"$2:$S$100, ISNUMBER(SEARCH(Validations!$S$2:$S$100, AE129))))
    )
  )
)"),"Action")</f>
        <v>Action</v>
      </c>
      <c r="AH129" s="12"/>
      <c r="AI129" s="20" t="s">
        <v>70</v>
      </c>
      <c r="AJ129" s="26" t="str">
        <f>IFERROR(__xludf.DUMMYFUNCTION("TEXTJOIN("", "", TRUE, FILTER(Validations!$T$2:$T$100, ISNUMBER(SEARCH(Validations!$T$2:$T$100, AI129))))"),"Instantaneous")</f>
        <v>Instantaneous</v>
      </c>
      <c r="AK129" s="26" t="str">
        <f>IFERROR(__xludf.DUMMYFUNCTION("IFERROR(VALUE(REGEXEXTRACT(AI129, ""\d+"")), """")"),"")</f>
        <v/>
      </c>
      <c r="AL129" s="26" t="str">
        <f>IFERROR(__xludf.DUMMYFUNCTION("TEXTJOIN("", "", TRUE, FILTER(Validations!$U$2:$U$100, ISNUMBER(SEARCH(Validations!$U$2:$U$100, AI129))))"),"")</f>
        <v/>
      </c>
      <c r="AM129" s="24" t="b">
        <f t="shared" si="1"/>
        <v>0</v>
      </c>
      <c r="AN129" s="42" t="b">
        <v>0</v>
      </c>
      <c r="AO129" s="36" t="s">
        <v>112</v>
      </c>
      <c r="AP129" s="12" t="str">
        <f>IFERROR(__xludf.DUMMYFUNCTION("IF(TEXTJOIN("", "", TRUE, FILTER(Validations!$Q$2:$Q$100, ISNUMBER(SEARCH(Validations!$Q$2:$Q$100, AO129)))) = """", Validations!$Q$2, TEXTJOIN("", "", TRUE, FILTER(Validations!$Q$2:$Q$100, ISNUMBER(SEARCH(Validations!$Q$2:$Q$100, AO129)))))"),"Point")</f>
        <v>Point</v>
      </c>
      <c r="AQ129" s="12">
        <f>IFERROR(__xludf.DUMMYFUNCTION("IFERROR(VALUE(REGEXEXTRACT(AO129, ""\d+"")), """")"),30.0)</f>
        <v>30</v>
      </c>
      <c r="AR129" s="12" t="str">
        <f>IFERROR(__xludf.DUMMYFUNCTION("TEXTJOIN("", "", TRUE, FILTER(Validations!$R$2:$R$100, ISNUMBER(SEARCH(Validations!$R$2:$R$100, AO129))))"),"Feet")</f>
        <v>Feet</v>
      </c>
      <c r="AS129" s="27"/>
      <c r="AT129" s="12" t="str">
        <f>IFERROR(__xludf.DUMMYFUNCTION("IFERROR(TEXTJOIN("", "", TRUE, FILTER(Validations!$I$2:$I$100, ISNUMBER(SEARCH(Validations!$I$2:$I$100, AS129)))), """")"),"")</f>
        <v/>
      </c>
      <c r="AU129" s="16" t="str">
        <f t="array" ref="AU129">IFERROR(INDEX(Validations!$J$2:$J$100, MATCH(TRUE, ISNUMBER(SEARCH(Validations!$I$2:$I$100, AT129)), 0)), "")</f>
        <v/>
      </c>
      <c r="AV129" s="12" t="str">
        <f>IFERROR(__xludf.DUMMYFUNCTION("IFERROR(VALUE(REGEXEXTRACT(AS129, ""\d+"")), """")"),"")</f>
        <v/>
      </c>
      <c r="AW129" s="12" t="str">
        <f>IFERROR(__xludf.DUMMYFUNCTION("IFERROR(TEXTJOIN("", "", TRUE, FILTER(Validations!$Q$2:$Q$100, ISNUMBER(SEARCH(Validations!$Q$2:$Q$100, AS129)))), """")"),"")</f>
        <v/>
      </c>
      <c r="AX129" s="28" t="s">
        <v>262</v>
      </c>
      <c r="AY129" s="28" t="str">
        <f>IFERROR(__xludf.DUMMYFUNCTION("TEXTJOIN("", "", TRUE, FILTER(Validations!$Y$2:$Y$100, ISNUMBER(SEARCH(Validations!$X$2:$X$100, AX129))))"),"V, S, R")</f>
        <v>V, S, R</v>
      </c>
      <c r="AZ129" s="20" t="s">
        <v>647</v>
      </c>
      <c r="BA129" s="59"/>
      <c r="BB129" s="22"/>
      <c r="BC129" s="22"/>
      <c r="BD129" s="22"/>
      <c r="BE129" s="27"/>
      <c r="BF129" s="22"/>
      <c r="BG129" s="27"/>
      <c r="BH129" s="27"/>
      <c r="BI129" s="44"/>
      <c r="BJ129" s="29"/>
      <c r="BK129" s="29"/>
    </row>
    <row r="130" ht="15.75" customHeight="1">
      <c r="A130" s="55" t="s">
        <v>648</v>
      </c>
      <c r="B130" s="12"/>
      <c r="C130" s="56"/>
      <c r="D130" s="56"/>
      <c r="E130" s="56"/>
      <c r="F130" s="32" t="s">
        <v>649</v>
      </c>
      <c r="G130" s="57" t="s">
        <v>444</v>
      </c>
      <c r="H130" s="58" t="s">
        <v>103</v>
      </c>
      <c r="I130" s="16" t="str">
        <f t="array" ref="I130">INDEX(Validations!$C$2:$C$100, MATCH(TRUE, ISNUMBER(SEARCH(Validations!$B$2:$B$100, H130)), 0))</f>
        <v>C</v>
      </c>
      <c r="J130" s="36" t="s">
        <v>650</v>
      </c>
      <c r="K130" s="34"/>
      <c r="L130" s="12"/>
      <c r="M130" s="12"/>
      <c r="N130" s="27"/>
      <c r="O130" s="59"/>
      <c r="P130" s="60"/>
      <c r="Q130" s="60"/>
      <c r="R130" s="22"/>
      <c r="S130" s="59"/>
      <c r="T130" s="17"/>
      <c r="U130" s="17"/>
      <c r="V130" s="12" t="str">
        <f>IFERROR(__xludf.DUMMYFUNCTION("TEXTJOIN("", "", TRUE, FILTER(Validations!$L$2:$L$100, ISNUMBER(SEARCH(Validations!$L$2:$L$100, J130))))"),"")</f>
        <v/>
      </c>
      <c r="W130" s="12" t="str">
        <f>IFERROR(__xludf.DUMMYFUNCTION("IFERROR(TEXTJOIN("", "", TRUE, FILTER(Validations!$M$2:$M$100, ISNUMBER(SEARCH(Validations!$M$2:$M$100 &amp; "" saving throw"", J130)))), """")"),"")</f>
        <v/>
      </c>
      <c r="X130" s="12"/>
      <c r="Y130" s="12"/>
      <c r="Z130" s="12" t="str">
        <f>IFERROR(__xludf.DUMMYFUNCTION("IFERROR(TEXTJOIN("", "", TRUE, FILTER(Validations!$N$2:$N$100, ISNUMBER(SEARCH(Validations!$N$2:$N$100 &amp; "" check"", J130)))), """")"),"")</f>
        <v/>
      </c>
      <c r="AA130" s="12" t="str">
        <f>IFERROR(__xludf.DUMMYFUNCTION("IFERROR(TEXTJOIN("", "", TRUE, FILTER(Validations!$N$2:$N$100, ISNUMBER(SEARCH(Validations!$N$2:$N$100 &amp; "" check"", W130)))), """")"),"")</f>
        <v/>
      </c>
      <c r="AB130" s="23" t="str">
        <f>IFERROR(__xludf.DUMMYFUNCTION("IFERROR(CONCATENATE(IF(ISNUMBER(SEARCH(Validations!$M$2:$M$100 &amp; "" spell save"", J130)),""Spell Save"",""""), REGEXEXTRACT(J130, ""DC (\d+)"")), """")"),"")</f>
        <v/>
      </c>
      <c r="AC130" s="42" t="b">
        <v>0</v>
      </c>
      <c r="AD130" s="42" t="b">
        <v>0</v>
      </c>
      <c r="AE130" s="36" t="s">
        <v>69</v>
      </c>
      <c r="AF130" s="25">
        <f>IFERROR(__xludf.DUMMYFUNCTION("IFERROR(VALUE(REGEXEXTRACT(AE130, ""\d+"")), 1)"),1.0)</f>
        <v>1</v>
      </c>
      <c r="AG130" s="12" t="str">
        <f>IFERROR(__xludf.DUMMYFUNCTION("IF(
  ISNUMBER(SEARCH(""Bonus Action"", AE130)),
  ""Bonus Action"",
  IF(
    ISNUMBER(SEARCH(""Reaction"", AE130)),
    ""Reaction"",
    IF(
      ISNUMBER(SEARCH(""Action"", AE130)),
      ""Action"",
      TEXTJOIN("", "", TRUE, FILTER(Validations!$S"&amp;"$2:$S$100, ISNUMBER(SEARCH(Validations!$S$2:$S$100, AE130))))
    )
  )
)"),"Action")</f>
        <v>Action</v>
      </c>
      <c r="AH130" s="12"/>
      <c r="AI130" s="20" t="s">
        <v>556</v>
      </c>
      <c r="AJ130" s="26" t="str">
        <f>IFERROR(__xludf.DUMMYFUNCTION("TEXTJOIN("", "", TRUE, FILTER(Validations!$T$2:$T$100, ISNUMBER(SEARCH(Validations!$T$2:$T$100, AI130))))"),"")</f>
        <v/>
      </c>
      <c r="AK130" s="26">
        <f>IFERROR(__xludf.DUMMYFUNCTION("IFERROR(VALUE(REGEXEXTRACT(AI130, ""\d+"")), """")"),1.0)</f>
        <v>1</v>
      </c>
      <c r="AL130" s="26" t="str">
        <f>IFERROR(__xludf.DUMMYFUNCTION("TEXTJOIN("", "", TRUE, FILTER(Validations!$U$2:$U$100, ISNUMBER(SEARCH(Validations!$U$2:$U$100, AI130))))"),"Minutes")</f>
        <v>Minutes</v>
      </c>
      <c r="AM130" s="24" t="b">
        <f t="shared" si="1"/>
        <v>1</v>
      </c>
      <c r="AN130" s="42" t="b">
        <v>1</v>
      </c>
      <c r="AO130" s="36" t="s">
        <v>440</v>
      </c>
      <c r="AP130" s="12" t="str">
        <f>IFERROR(__xludf.DUMMYFUNCTION("IF(TEXTJOIN("", "", TRUE, FILTER(Validations!$Q$2:$Q$100, ISNUMBER(SEARCH(Validations!$Q$2:$Q$100, AO130)))) = """", Validations!$Q$2, TEXTJOIN("", "", TRUE, FILTER(Validations!$Q$2:$Q$100, ISNUMBER(SEARCH(Validations!$Q$2:$Q$100, AO130)))))"),"Point")</f>
        <v>Point</v>
      </c>
      <c r="AQ130" s="12">
        <f>IFERROR(__xludf.DUMMYFUNCTION("IFERROR(VALUE(REGEXEXTRACT(AO130, ""\d+"")), """")"),60.0)</f>
        <v>60</v>
      </c>
      <c r="AR130" s="12" t="str">
        <f>IFERROR(__xludf.DUMMYFUNCTION("TEXTJOIN("", "", TRUE, FILTER(Validations!$R$2:$R$100, ISNUMBER(SEARCH(Validations!$R$2:$R$100, AO130))))"),"Feet")</f>
        <v>Feet</v>
      </c>
      <c r="AS130" s="27"/>
      <c r="AT130" s="12" t="str">
        <f>IFERROR(__xludf.DUMMYFUNCTION("IFERROR(TEXTJOIN("", "", TRUE, FILTER(Validations!$I$2:$I$100, ISNUMBER(SEARCH(Validations!$I$2:$I$100, AS130)))), """")"),"")</f>
        <v/>
      </c>
      <c r="AU130" s="16" t="str">
        <f t="array" ref="AU130">IFERROR(INDEX(Validations!$J$2:$J$100, MATCH(TRUE, ISNUMBER(SEARCH(Validations!$I$2:$I$100, AT130)), 0)), "")</f>
        <v/>
      </c>
      <c r="AV130" s="12" t="str">
        <f>IFERROR(__xludf.DUMMYFUNCTION("IFERROR(VALUE(REGEXEXTRACT(AS130, ""\d+"")), """")"),"")</f>
        <v/>
      </c>
      <c r="AW130" s="12" t="str">
        <f>IFERROR(__xludf.DUMMYFUNCTION("IFERROR(TEXTJOIN("", "", TRUE, FILTER(Validations!$Q$2:$Q$100, ISNUMBER(SEARCH(Validations!$Q$2:$Q$100, AS130)))), """")"),"")</f>
        <v/>
      </c>
      <c r="AX130" s="28" t="s">
        <v>262</v>
      </c>
      <c r="AY130" s="28" t="str">
        <f>IFERROR(__xludf.DUMMYFUNCTION("TEXTJOIN("", "", TRUE, FILTER(Validations!$Y$2:$Y$100, ISNUMBER(SEARCH(Validations!$X$2:$X$100, AX130))))"),"V, S, R")</f>
        <v>V, S, R</v>
      </c>
      <c r="AZ130" s="20" t="s">
        <v>651</v>
      </c>
      <c r="BA130" s="59"/>
      <c r="BB130" s="22"/>
      <c r="BC130" s="22"/>
      <c r="BD130" s="22"/>
      <c r="BE130" s="27"/>
      <c r="BF130" s="22"/>
      <c r="BG130" s="27"/>
      <c r="BH130" s="27"/>
      <c r="BI130" s="44"/>
      <c r="BJ130" s="29"/>
      <c r="BK130" s="29"/>
    </row>
    <row r="131" ht="15.75" customHeight="1">
      <c r="A131" s="55" t="s">
        <v>652</v>
      </c>
      <c r="B131" s="12"/>
      <c r="C131" s="56"/>
      <c r="D131" s="56"/>
      <c r="E131" s="56"/>
      <c r="F131" s="32" t="s">
        <v>653</v>
      </c>
      <c r="G131" s="57" t="s">
        <v>444</v>
      </c>
      <c r="H131" s="58" t="s">
        <v>85</v>
      </c>
      <c r="I131" s="16" t="str">
        <f t="array" ref="I131">INDEX(Validations!$C$2:$C$100, MATCH(TRUE, ISNUMBER(SEARCH(Validations!$B$2:$B$100, H131)), 0))</f>
        <v>T</v>
      </c>
      <c r="J131" s="36" t="s">
        <v>654</v>
      </c>
      <c r="K131" s="34"/>
      <c r="L131" s="12"/>
      <c r="M131" s="12"/>
      <c r="N131" s="27"/>
      <c r="O131" s="59"/>
      <c r="P131" s="60"/>
      <c r="Q131" s="60"/>
      <c r="R131" s="22"/>
      <c r="S131" s="59"/>
      <c r="T131" s="17"/>
      <c r="U131" s="17"/>
      <c r="V131" s="12" t="str">
        <f>IFERROR(__xludf.DUMMYFUNCTION("TEXTJOIN("", "", TRUE, FILTER(Validations!$L$2:$L$100, ISNUMBER(SEARCH(Validations!$L$2:$L$100, J131))))"),"Restrained")</f>
        <v>Restrained</v>
      </c>
      <c r="W131" s="12" t="str">
        <f>IFERROR(__xludf.DUMMYFUNCTION("IFERROR(TEXTJOIN("", "", TRUE, FILTER(Validations!$M$2:$M$100, ISNUMBER(SEARCH(Validations!$M$2:$M$100 &amp; "" saving throw"", J131)))), """")"),"")</f>
        <v/>
      </c>
      <c r="X131" s="12"/>
      <c r="Y131" s="12"/>
      <c r="Z131" s="12" t="str">
        <f>IFERROR(__xludf.DUMMYFUNCTION("IFERROR(TEXTJOIN("", "", TRUE, FILTER(Validations!$N$2:$N$100, ISNUMBER(SEARCH(Validations!$N$2:$N$100 &amp; "" check"", J131)))), """")"),"")</f>
        <v/>
      </c>
      <c r="AA131" s="12" t="str">
        <f>IFERROR(__xludf.DUMMYFUNCTION("IFERROR(TEXTJOIN("", "", TRUE, FILTER(Validations!$N$2:$N$100, ISNUMBER(SEARCH(Validations!$N$2:$N$100 &amp; "" check"", W131)))), """")"),"")</f>
        <v/>
      </c>
      <c r="AB131" s="23" t="str">
        <f>IFERROR(__xludf.DUMMYFUNCTION("IFERROR(CONCATENATE(IF(ISNUMBER(SEARCH(Validations!$M$2:$M$100 &amp; "" spell save"", J131)),""Spell Save"",""""), REGEXEXTRACT(J131, ""DC (\d+)"")), """")"),"")</f>
        <v/>
      </c>
      <c r="AC131" s="42" t="b">
        <v>0</v>
      </c>
      <c r="AD131" s="42" t="b">
        <v>0</v>
      </c>
      <c r="AE131" s="36" t="s">
        <v>69</v>
      </c>
      <c r="AF131" s="25">
        <f>IFERROR(__xludf.DUMMYFUNCTION("IFERROR(VALUE(REGEXEXTRACT(AE131, ""\d+"")), 1)"),1.0)</f>
        <v>1</v>
      </c>
      <c r="AG131" s="12" t="str">
        <f>IFERROR(__xludf.DUMMYFUNCTION("IF(
  ISNUMBER(SEARCH(""Bonus Action"", AE131)),
  ""Bonus Action"",
  IF(
    ISNUMBER(SEARCH(""Reaction"", AE131)),
    ""Reaction"",
    IF(
      ISNUMBER(SEARCH(""Action"", AE131)),
      ""Action"",
      TEXTJOIN("", "", TRUE, FILTER(Validations!$S"&amp;"$2:$S$100, ISNUMBER(SEARCH(Validations!$S$2:$S$100, AE131))))
    )
  )
)"),"Action")</f>
        <v>Action</v>
      </c>
      <c r="AH131" s="12"/>
      <c r="AI131" s="20" t="s">
        <v>556</v>
      </c>
      <c r="AJ131" s="26" t="str">
        <f>IFERROR(__xludf.DUMMYFUNCTION("TEXTJOIN("", "", TRUE, FILTER(Validations!$T$2:$T$100, ISNUMBER(SEARCH(Validations!$T$2:$T$100, AI131))))"),"")</f>
        <v/>
      </c>
      <c r="AK131" s="26">
        <f>IFERROR(__xludf.DUMMYFUNCTION("IFERROR(VALUE(REGEXEXTRACT(AI131, ""\d+"")), """")"),1.0)</f>
        <v>1</v>
      </c>
      <c r="AL131" s="26" t="str">
        <f>IFERROR(__xludf.DUMMYFUNCTION("TEXTJOIN("", "", TRUE, FILTER(Validations!$U$2:$U$100, ISNUMBER(SEARCH(Validations!$U$2:$U$100, AI131))))"),"Minutes")</f>
        <v>Minutes</v>
      </c>
      <c r="AM131" s="24" t="b">
        <f t="shared" si="1"/>
        <v>1</v>
      </c>
      <c r="AN131" s="42" t="b">
        <v>1</v>
      </c>
      <c r="AO131" s="36" t="s">
        <v>112</v>
      </c>
      <c r="AP131" s="12" t="str">
        <f>IFERROR(__xludf.DUMMYFUNCTION("IF(TEXTJOIN("", "", TRUE, FILTER(Validations!$Q$2:$Q$100, ISNUMBER(SEARCH(Validations!$Q$2:$Q$100, AO131)))) = """", Validations!$Q$2, TEXTJOIN("", "", TRUE, FILTER(Validations!$Q$2:$Q$100, ISNUMBER(SEARCH(Validations!$Q$2:$Q$100, AO131)))))"),"Point")</f>
        <v>Point</v>
      </c>
      <c r="AQ131" s="12">
        <f>IFERROR(__xludf.DUMMYFUNCTION("IFERROR(VALUE(REGEXEXTRACT(AO131, ""\d+"")), """")"),30.0)</f>
        <v>30</v>
      </c>
      <c r="AR131" s="12" t="str">
        <f>IFERROR(__xludf.DUMMYFUNCTION("TEXTJOIN("", "", TRUE, FILTER(Validations!$R$2:$R$100, ISNUMBER(SEARCH(Validations!$R$2:$R$100, AO131))))"),"Feet")</f>
        <v>Feet</v>
      </c>
      <c r="AS131" s="27"/>
      <c r="AT131" s="12" t="str">
        <f>IFERROR(__xludf.DUMMYFUNCTION("IFERROR(TEXTJOIN("", "", TRUE, FILTER(Validations!$I$2:$I$100, ISNUMBER(SEARCH(Validations!$I$2:$I$100, AS131)))), """")"),"")</f>
        <v/>
      </c>
      <c r="AU131" s="16" t="str">
        <f t="array" ref="AU131">IFERROR(INDEX(Validations!$J$2:$J$100, MATCH(TRUE, ISNUMBER(SEARCH(Validations!$I$2:$I$100, AT131)), 0)), "")</f>
        <v/>
      </c>
      <c r="AV131" s="12" t="str">
        <f>IFERROR(__xludf.DUMMYFUNCTION("IFERROR(VALUE(REGEXEXTRACT(AS131, ""\d+"")), """")"),"")</f>
        <v/>
      </c>
      <c r="AW131" s="12" t="str">
        <f>IFERROR(__xludf.DUMMYFUNCTION("IFERROR(TEXTJOIN("", "", TRUE, FILTER(Validations!$Q$2:$Q$100, ISNUMBER(SEARCH(Validations!$Q$2:$Q$100, AS131)))), """")"),"")</f>
        <v/>
      </c>
      <c r="AX131" s="28" t="s">
        <v>262</v>
      </c>
      <c r="AY131" s="28" t="str">
        <f>IFERROR(__xludf.DUMMYFUNCTION("TEXTJOIN("", "", TRUE, FILTER(Validations!$Y$2:$Y$100, ISNUMBER(SEARCH(Validations!$X$2:$X$100, AX131))))"),"V, S, R")</f>
        <v>V, S, R</v>
      </c>
      <c r="AZ131" s="20" t="s">
        <v>655</v>
      </c>
      <c r="BA131" s="59"/>
      <c r="BB131" s="22"/>
      <c r="BC131" s="22"/>
      <c r="BD131" s="22"/>
      <c r="BE131" s="27"/>
      <c r="BF131" s="22"/>
      <c r="BG131" s="27"/>
      <c r="BH131" s="27"/>
      <c r="BI131" s="44"/>
      <c r="BJ131" s="29"/>
      <c r="BK131" s="29"/>
    </row>
    <row r="132" ht="15.75" customHeight="1">
      <c r="A132" s="55" t="s">
        <v>656</v>
      </c>
      <c r="B132" s="12"/>
      <c r="C132" s="56"/>
      <c r="D132" s="56"/>
      <c r="E132" s="56"/>
      <c r="F132" s="32" t="s">
        <v>657</v>
      </c>
      <c r="G132" s="57" t="s">
        <v>444</v>
      </c>
      <c r="H132" s="58" t="s">
        <v>178</v>
      </c>
      <c r="I132" s="16" t="str">
        <f t="array" ref="I132">INDEX(Validations!$C$2:$C$100, MATCH(TRUE, ISNUMBER(SEARCH(Validations!$B$2:$B$100, H132)), 0))</f>
        <v>A</v>
      </c>
      <c r="J132" s="36" t="s">
        <v>658</v>
      </c>
      <c r="K132" s="34"/>
      <c r="L132" s="12"/>
      <c r="M132" s="12"/>
      <c r="N132" s="27"/>
      <c r="O132" s="59"/>
      <c r="P132" s="60"/>
      <c r="Q132" s="60"/>
      <c r="R132" s="22"/>
      <c r="S132" s="59"/>
      <c r="T132" s="17"/>
      <c r="U132" s="17"/>
      <c r="V132" s="12"/>
      <c r="W132" s="12" t="str">
        <f>IFERROR(__xludf.DUMMYFUNCTION("IFERROR(TEXTJOIN("", "", TRUE, FILTER(Validations!$M$2:$M$100, ISNUMBER(SEARCH(Validations!$M$2:$M$100 &amp; "" saving throw"", J132)))), """")"),"")</f>
        <v/>
      </c>
      <c r="X132" s="12"/>
      <c r="Y132" s="12"/>
      <c r="Z132" s="12"/>
      <c r="AA132" s="12"/>
      <c r="AB132" s="44"/>
      <c r="AC132" s="42" t="b">
        <v>0</v>
      </c>
      <c r="AD132" s="42" t="b">
        <v>0</v>
      </c>
      <c r="AE132" s="36" t="s">
        <v>69</v>
      </c>
      <c r="AF132" s="25">
        <f>IFERROR(__xludf.DUMMYFUNCTION("IFERROR(VALUE(REGEXEXTRACT(AE132, ""\d+"")), 1)"),1.0)</f>
        <v>1</v>
      </c>
      <c r="AG132" s="12" t="str">
        <f>IFERROR(__xludf.DUMMYFUNCTION("IF(
  ISNUMBER(SEARCH(""Bonus Action"", AE132)),
  ""Bonus Action"",
  IF(
    ISNUMBER(SEARCH(""Reaction"", AE132)),
    ""Reaction"",
    IF(
      ISNUMBER(SEARCH(""Action"", AE132)),
      ""Action"",
      TEXTJOIN("", "", TRUE, FILTER(Validations!$S"&amp;"$2:$S$100, ISNUMBER(SEARCH(Validations!$S$2:$S$100, AE132))))
    )
  )
)"),"Action")</f>
        <v>Action</v>
      </c>
      <c r="AH132" s="12"/>
      <c r="AI132" s="20" t="s">
        <v>87</v>
      </c>
      <c r="AJ132" s="26" t="str">
        <f>IFERROR(__xludf.DUMMYFUNCTION("TEXTJOIN("", "", TRUE, FILTER(Validations!$T$2:$T$100, ISNUMBER(SEARCH(Validations!$T$2:$T$100, AI132))))"),"")</f>
        <v/>
      </c>
      <c r="AK132" s="26">
        <f>IFERROR(__xludf.DUMMYFUNCTION("IFERROR(VALUE(REGEXEXTRACT(AI132, ""\d+"")), """")"),1.0)</f>
        <v>1</v>
      </c>
      <c r="AL132" s="26" t="str">
        <f>IFERROR(__xludf.DUMMYFUNCTION("TEXTJOIN("", "", TRUE, FILTER(Validations!$U$2:$U$100, ISNUMBER(SEARCH(Validations!$U$2:$U$100, AI132))))"),"Rounds")</f>
        <v>Rounds</v>
      </c>
      <c r="AM132" s="24" t="b">
        <f t="shared" si="1"/>
        <v>0</v>
      </c>
      <c r="AN132" s="42" t="b">
        <v>0</v>
      </c>
      <c r="AO132" s="36" t="s">
        <v>546</v>
      </c>
      <c r="AP132" s="12" t="str">
        <f>IFERROR(__xludf.DUMMYFUNCTION("IF(TEXTJOIN("", "", TRUE, FILTER(Validations!$Q$2:$Q$100, ISNUMBER(SEARCH(Validations!$Q$2:$Q$100, AO132)))) = """", Validations!$Q$2, TEXTJOIN("", "", TRUE, FILTER(Validations!$Q$2:$Q$100, ISNUMBER(SEARCH(Validations!$Q$2:$Q$100, AO132)))))"),"Point")</f>
        <v>Point</v>
      </c>
      <c r="AQ132" s="12" t="str">
        <f>IFERROR(__xludf.DUMMYFUNCTION("IFERROR(VALUE(REGEXEXTRACT(AO132, ""\d+"")), """")"),"")</f>
        <v/>
      </c>
      <c r="AR132" s="12" t="str">
        <f>IFERROR(__xludf.DUMMYFUNCTION("TEXTJOIN("", "", TRUE, FILTER(Validations!$R$2:$R$100, ISNUMBER(SEARCH(Validations!$R$2:$R$100, AO132))))"),"Self")</f>
        <v>Self</v>
      </c>
      <c r="AS132" s="27"/>
      <c r="AT132" s="12" t="str">
        <f>IFERROR(__xludf.DUMMYFUNCTION("IFERROR(TEXTJOIN("", "", TRUE, FILTER(Validations!$I$2:$I$100, ISNUMBER(SEARCH(Validations!$I$2:$I$100, AS132)))), """")"),"")</f>
        <v/>
      </c>
      <c r="AU132" s="16" t="str">
        <f t="array" ref="AU132">IFERROR(INDEX(Validations!$J$2:$J$100, MATCH(TRUE, ISNUMBER(SEARCH(Validations!$I$2:$I$100, AT132)), 0)), "")</f>
        <v/>
      </c>
      <c r="AV132" s="12" t="str">
        <f>IFERROR(__xludf.DUMMYFUNCTION("IFERROR(VALUE(REGEXEXTRACT(AS132, ""\d+"")), """")"),"")</f>
        <v/>
      </c>
      <c r="AW132" s="12" t="str">
        <f>IFERROR(__xludf.DUMMYFUNCTION("IFERROR(TEXTJOIN("", "", TRUE, FILTER(Validations!$Q$2:$Q$100, ISNUMBER(SEARCH(Validations!$Q$2:$Q$100, AS132)))), """")"),"")</f>
        <v/>
      </c>
      <c r="AX132" s="28" t="s">
        <v>72</v>
      </c>
      <c r="AY132" s="28" t="str">
        <f>IFERROR(__xludf.DUMMYFUNCTION("TEXTJOIN("", "", TRUE, FILTER(Validations!$Y$2:$Y$100, ISNUMBER(SEARCH(Validations!$X$2:$X$100, AX132))))"),"V, S")</f>
        <v>V, S</v>
      </c>
      <c r="AZ132" s="26"/>
      <c r="BA132" s="59"/>
      <c r="BB132" s="22"/>
      <c r="BC132" s="22"/>
      <c r="BD132" s="22"/>
      <c r="BE132" s="27"/>
      <c r="BF132" s="22"/>
      <c r="BG132" s="27"/>
      <c r="BH132" s="27"/>
      <c r="BI132" s="44"/>
      <c r="BJ132" s="29"/>
      <c r="BK132" s="29"/>
    </row>
    <row r="133" ht="15.75" customHeight="1">
      <c r="A133" s="55" t="s">
        <v>659</v>
      </c>
      <c r="B133" s="12"/>
      <c r="C133" s="56"/>
      <c r="D133" s="56"/>
      <c r="E133" s="56"/>
      <c r="F133" s="32" t="s">
        <v>660</v>
      </c>
      <c r="G133" s="57" t="s">
        <v>444</v>
      </c>
      <c r="H133" s="58" t="s">
        <v>183</v>
      </c>
      <c r="I133" s="16" t="str">
        <f t="array" ref="I133">INDEX(Validations!$C$2:$C$100, MATCH(TRUE, ISNUMBER(SEARCH(Validations!$B$2:$B$100, H133)), 0))</f>
        <v>E</v>
      </c>
      <c r="J133" s="36" t="s">
        <v>661</v>
      </c>
      <c r="K133" s="34"/>
      <c r="L133" s="22"/>
      <c r="M133" s="22"/>
      <c r="N133" s="27"/>
      <c r="O133" s="62"/>
      <c r="P133" s="63"/>
      <c r="Q133" s="63"/>
      <c r="R133" s="22"/>
      <c r="S133" s="62"/>
      <c r="T133" s="17"/>
      <c r="U133" s="17"/>
      <c r="V133" s="12"/>
      <c r="W133" s="12" t="str">
        <f>IFERROR(__xludf.DUMMYFUNCTION("IFERROR(TEXTJOIN("", "", TRUE, FILTER(Validations!$M$2:$M$100, ISNUMBER(SEARCH(Validations!$M$2:$M$100 &amp; "" saving throw"", J133)))), """")"),"Wisdom")</f>
        <v>Wisdom</v>
      </c>
      <c r="X133" s="12"/>
      <c r="Y133" s="12"/>
      <c r="Z133" s="12"/>
      <c r="AA133" s="12"/>
      <c r="AB133" s="44"/>
      <c r="AC133" s="42" t="b">
        <v>0</v>
      </c>
      <c r="AD133" s="42" t="b">
        <v>0</v>
      </c>
      <c r="AE133" s="36" t="s">
        <v>69</v>
      </c>
      <c r="AF133" s="25">
        <f>IFERROR(__xludf.DUMMYFUNCTION("IFERROR(VALUE(REGEXEXTRACT(AE133, ""\d+"")), 1)"),1.0)</f>
        <v>1</v>
      </c>
      <c r="AG133" s="12" t="str">
        <f>IFERROR(__xludf.DUMMYFUNCTION("IF(
  ISNUMBER(SEARCH(""Bonus Action"", AE133)),
  ""Bonus Action"",
  IF(
    ISNUMBER(SEARCH(""Reaction"", AE133)),
    ""Reaction"",
    IF(
      ISNUMBER(SEARCH(""Action"", AE133)),
      ""Action"",
      TEXTJOIN("", "", TRUE, FILTER(Validations!$S"&amp;"$2:$S$100, ISNUMBER(SEARCH(Validations!$S$2:$S$100, AE133))))
    )
  )
)"),"Action")</f>
        <v>Action</v>
      </c>
      <c r="AH133" s="12"/>
      <c r="AI133" s="20" t="s">
        <v>70</v>
      </c>
      <c r="AJ133" s="26" t="str">
        <f>IFERROR(__xludf.DUMMYFUNCTION("TEXTJOIN("", "", TRUE, FILTER(Validations!$T$2:$T$100, ISNUMBER(SEARCH(Validations!$T$2:$T$100, AI133))))"),"Instantaneous")</f>
        <v>Instantaneous</v>
      </c>
      <c r="AK133" s="26" t="str">
        <f>IFERROR(__xludf.DUMMYFUNCTION("IFERROR(VALUE(REGEXEXTRACT(AI133, ""\d+"")), """")"),"")</f>
        <v/>
      </c>
      <c r="AL133" s="26" t="str">
        <f>IFERROR(__xludf.DUMMYFUNCTION("TEXTJOIN("", "", TRUE, FILTER(Validations!$U$2:$U$100, ISNUMBER(SEARCH(Validations!$U$2:$U$100, AI133))))"),"")</f>
        <v/>
      </c>
      <c r="AM133" s="24" t="b">
        <f t="shared" si="1"/>
        <v>0</v>
      </c>
      <c r="AN133" s="42" t="b">
        <v>0</v>
      </c>
      <c r="AO133" s="36" t="s">
        <v>546</v>
      </c>
      <c r="AP133" s="12" t="str">
        <f>IFERROR(__xludf.DUMMYFUNCTION("IF(TEXTJOIN("", "", TRUE, FILTER(Validations!$Q$2:$Q$100, ISNUMBER(SEARCH(Validations!$Q$2:$Q$100, AO133)))) = """", Validations!$Q$2, TEXTJOIN("", "", TRUE, FILTER(Validations!$Q$2:$Q$100, ISNUMBER(SEARCH(Validations!$Q$2:$Q$100, AO133)))))"),"Point")</f>
        <v>Point</v>
      </c>
      <c r="AQ133" s="12" t="str">
        <f>IFERROR(__xludf.DUMMYFUNCTION("IFERROR(VALUE(REGEXEXTRACT(AO133, ""\d+"")), """")"),"")</f>
        <v/>
      </c>
      <c r="AR133" s="12" t="str">
        <f>IFERROR(__xludf.DUMMYFUNCTION("TEXTJOIN("", "", TRUE, FILTER(Validations!$R$2:$R$100, ISNUMBER(SEARCH(Validations!$R$2:$R$100, AO133))))"),"Self")</f>
        <v>Self</v>
      </c>
      <c r="AS133" s="20" t="s">
        <v>662</v>
      </c>
      <c r="AT133" s="12" t="str">
        <f>IFERROR(__xludf.DUMMYFUNCTION("IFERROR(TEXTJOIN("", "", TRUE, FILTER(Validations!$I$2:$I$100, ISNUMBER(SEARCH(Validations!$I$2:$I$100, AS133)))), """")"),"")</f>
        <v/>
      </c>
      <c r="AU133" s="16" t="str">
        <f t="array" ref="AU133">IFERROR(INDEX(Validations!$J$2:$J$100, MATCH(TRUE, ISNUMBER(SEARCH(Validations!$I$2:$I$100, AT133)), 0)), "")</f>
        <v/>
      </c>
      <c r="AV133" s="12">
        <f>IFERROR(__xludf.DUMMYFUNCTION("IFERROR(VALUE(REGEXEXTRACT(AS133, ""\d+"")), """")"),10.0)</f>
        <v>10</v>
      </c>
      <c r="AW133" s="12" t="str">
        <f>IFERROR(__xludf.DUMMYFUNCTION("IFERROR(TEXTJOIN("", "", TRUE, FILTER(Validations!$Q$2:$Q$100, ISNUMBER(SEARCH(Validations!$Q$2:$Q$100, AS133)))), """")"),"")</f>
        <v/>
      </c>
      <c r="AX133" s="28" t="s">
        <v>248</v>
      </c>
      <c r="AY133" s="28" t="str">
        <f>IFERROR(__xludf.DUMMYFUNCTION("TEXTJOIN("", "", TRUE, FILTER(Validations!$Y$2:$Y$100, ISNUMBER(SEARCH(Validations!$X$2:$X$100, AX133))))"),"V")</f>
        <v>V</v>
      </c>
      <c r="AZ133" s="26"/>
      <c r="BA133" s="62"/>
      <c r="BB133" s="22"/>
      <c r="BC133" s="22"/>
      <c r="BD133" s="22"/>
      <c r="BE133" s="27"/>
      <c r="BF133" s="22"/>
      <c r="BG133" s="27"/>
      <c r="BH133" s="27"/>
      <c r="BI133" s="44"/>
      <c r="BJ133" s="29"/>
      <c r="BK133" s="29"/>
    </row>
    <row r="134" ht="15.75" customHeight="1">
      <c r="A134" s="55" t="s">
        <v>663</v>
      </c>
      <c r="B134" s="12"/>
      <c r="C134" s="56"/>
      <c r="D134" s="56"/>
      <c r="E134" s="56"/>
      <c r="F134" s="32" t="s">
        <v>241</v>
      </c>
      <c r="G134" s="57" t="s">
        <v>444</v>
      </c>
      <c r="H134" s="58" t="s">
        <v>144</v>
      </c>
      <c r="I134" s="16" t="str">
        <f t="array" ref="I134">INDEX(Validations!$C$2:$C$100, MATCH(TRUE, ISNUMBER(SEARCH(Validations!$B$2:$B$100, H134)), 0))</f>
        <v>D</v>
      </c>
      <c r="J134" s="36" t="s">
        <v>664</v>
      </c>
      <c r="K134" s="34"/>
      <c r="L134" s="22"/>
      <c r="M134" s="22"/>
      <c r="N134" s="27"/>
      <c r="O134" s="62"/>
      <c r="P134" s="63"/>
      <c r="Q134" s="63"/>
      <c r="R134" s="22"/>
      <c r="S134" s="62"/>
      <c r="T134" s="17"/>
      <c r="U134" s="17"/>
      <c r="V134" s="12"/>
      <c r="W134" s="12" t="str">
        <f>IFERROR(__xludf.DUMMYFUNCTION("IFERROR(TEXTJOIN("", "", TRUE, FILTER(Validations!$M$2:$M$100, ISNUMBER(SEARCH(Validations!$M$2:$M$100 &amp; "" saving throw"", J134)))), """")"),"")</f>
        <v/>
      </c>
      <c r="X134" s="12"/>
      <c r="Y134" s="12"/>
      <c r="Z134" s="12"/>
      <c r="AA134" s="12"/>
      <c r="AB134" s="44"/>
      <c r="AC134" s="42" t="b">
        <v>1</v>
      </c>
      <c r="AD134" s="42" t="b">
        <v>0</v>
      </c>
      <c r="AE134" s="36" t="s">
        <v>435</v>
      </c>
      <c r="AF134" s="25">
        <f>IFERROR(__xludf.DUMMYFUNCTION("IFERROR(VALUE(REGEXEXTRACT(AE134, ""\d+"")), 1)"),1.0)</f>
        <v>1</v>
      </c>
      <c r="AG134" s="12" t="str">
        <f>IFERROR(__xludf.DUMMYFUNCTION("IF(
  ISNUMBER(SEARCH(""Bonus Action"", AE134)),
  ""Bonus Action"",
  IF(
    ISNUMBER(SEARCH(""Reaction"", AE134)),
    ""Reaction"",
    IF(
      ISNUMBER(SEARCH(""Action"", AE134)),
      ""Action"",
      TEXTJOIN("", "", TRUE, FILTER(Validations!$S"&amp;"$2:$S$100, ISNUMBER(SEARCH(Validations!$S$2:$S$100, AE134))))
    )
  )
)"),"Bonus Action")</f>
        <v>Bonus Action</v>
      </c>
      <c r="AH134" s="12"/>
      <c r="AI134" s="20" t="s">
        <v>134</v>
      </c>
      <c r="AJ134" s="26" t="str">
        <f>IFERROR(__xludf.DUMMYFUNCTION("TEXTJOIN("", "", TRUE, FILTER(Validations!$T$2:$T$100, ISNUMBER(SEARCH(Validations!$T$2:$T$100, AI134))))"),"")</f>
        <v/>
      </c>
      <c r="AK134" s="26">
        <f>IFERROR(__xludf.DUMMYFUNCTION("IFERROR(VALUE(REGEXEXTRACT(AI134, ""\d+"")), """")"),10.0)</f>
        <v>10</v>
      </c>
      <c r="AL134" s="26" t="str">
        <f>IFERROR(__xludf.DUMMYFUNCTION("TEXTJOIN("", "", TRUE, FILTER(Validations!$U$2:$U$100, ISNUMBER(SEARCH(Validations!$U$2:$U$100, AI134))))"),"Minutes")</f>
        <v>Minutes</v>
      </c>
      <c r="AM134" s="24" t="b">
        <f t="shared" si="1"/>
        <v>0</v>
      </c>
      <c r="AN134" s="42" t="b">
        <v>0</v>
      </c>
      <c r="AO134" s="36" t="s">
        <v>546</v>
      </c>
      <c r="AP134" s="12" t="str">
        <f>IFERROR(__xludf.DUMMYFUNCTION("IF(TEXTJOIN("", "", TRUE, FILTER(Validations!$Q$2:$Q$100, ISNUMBER(SEARCH(Validations!$Q$2:$Q$100, AO134)))) = """", Validations!$Q$2, TEXTJOIN("", "", TRUE, FILTER(Validations!$Q$2:$Q$100, ISNUMBER(SEARCH(Validations!$Q$2:$Q$100, AO134)))))"),"Point")</f>
        <v>Point</v>
      </c>
      <c r="AQ134" s="12" t="str">
        <f>IFERROR(__xludf.DUMMYFUNCTION("IFERROR(VALUE(REGEXEXTRACT(AO134, ""\d+"")), """")"),"")</f>
        <v/>
      </c>
      <c r="AR134" s="12" t="str">
        <f>IFERROR(__xludf.DUMMYFUNCTION("TEXTJOIN("", "", TRUE, FILTER(Validations!$R$2:$R$100, ISNUMBER(SEARCH(Validations!$R$2:$R$100, AO134))))"),"Self")</f>
        <v>Self</v>
      </c>
      <c r="AS134" s="27"/>
      <c r="AT134" s="12" t="str">
        <f>IFERROR(__xludf.DUMMYFUNCTION("IFERROR(TEXTJOIN("", "", TRUE, FILTER(Validations!$I$2:$I$100, ISNUMBER(SEARCH(Validations!$I$2:$I$100, AS134)))), """")"),"")</f>
        <v/>
      </c>
      <c r="AU134" s="16" t="str">
        <f t="array" ref="AU134">IFERROR(INDEX(Validations!$J$2:$J$100, MATCH(TRUE, ISNUMBER(SEARCH(Validations!$I$2:$I$100, AT134)), 0)), "")</f>
        <v/>
      </c>
      <c r="AV134" s="12" t="str">
        <f>IFERROR(__xludf.DUMMYFUNCTION("IFERROR(VALUE(REGEXEXTRACT(AS134, ""\d+"")), """")"),"")</f>
        <v/>
      </c>
      <c r="AW134" s="12" t="str">
        <f>IFERROR(__xludf.DUMMYFUNCTION("IFERROR(TEXTJOIN("", "", TRUE, FILTER(Validations!$Q$2:$Q$100, ISNUMBER(SEARCH(Validations!$Q$2:$Q$100, AS134)))), """")"),"")</f>
        <v/>
      </c>
      <c r="AX134" s="28" t="s">
        <v>262</v>
      </c>
      <c r="AY134" s="28" t="str">
        <f>IFERROR(__xludf.DUMMYFUNCTION("TEXTJOIN("", "", TRUE, FILTER(Validations!$Y$2:$Y$100, ISNUMBER(SEARCH(Validations!$X$2:$X$100, AX134))))"),"V, S, R")</f>
        <v>V, S, R</v>
      </c>
      <c r="AZ134" s="20" t="s">
        <v>665</v>
      </c>
      <c r="BA134" s="62"/>
      <c r="BB134" s="22"/>
      <c r="BC134" s="22"/>
      <c r="BD134" s="22"/>
      <c r="BE134" s="27"/>
      <c r="BF134" s="22"/>
      <c r="BG134" s="27"/>
      <c r="BH134" s="27"/>
      <c r="BI134" s="44"/>
      <c r="BJ134" s="29"/>
      <c r="BK134" s="29"/>
    </row>
    <row r="135" ht="15.75" customHeight="1">
      <c r="A135" s="55" t="s">
        <v>666</v>
      </c>
      <c r="B135" s="12"/>
      <c r="C135" s="56"/>
      <c r="D135" s="56"/>
      <c r="E135" s="56"/>
      <c r="F135" s="32" t="s">
        <v>667</v>
      </c>
      <c r="G135" s="57" t="s">
        <v>444</v>
      </c>
      <c r="H135" s="58" t="s">
        <v>76</v>
      </c>
      <c r="I135" s="16" t="str">
        <f t="array" ref="I135">INDEX(Validations!$C$2:$C$100, MATCH(TRUE, ISNUMBER(SEARCH(Validations!$B$2:$B$100, H135)), 0))</f>
        <v>V</v>
      </c>
      <c r="J135" s="36" t="s">
        <v>668</v>
      </c>
      <c r="K135" s="34"/>
      <c r="L135" s="22"/>
      <c r="M135" s="22"/>
      <c r="N135" s="20" t="s">
        <v>669</v>
      </c>
      <c r="O135" s="64" t="s">
        <v>670</v>
      </c>
      <c r="P135" s="63"/>
      <c r="Q135" s="63"/>
      <c r="R135" s="22"/>
      <c r="S135" s="62"/>
      <c r="T135" s="17"/>
      <c r="U135" s="17"/>
      <c r="V135" s="12"/>
      <c r="W135" s="12"/>
      <c r="X135" s="12"/>
      <c r="Y135" s="12"/>
      <c r="Z135" s="12"/>
      <c r="AA135" s="12"/>
      <c r="AB135" s="44"/>
      <c r="AC135" s="42" t="b">
        <v>0</v>
      </c>
      <c r="AD135" s="42" t="b">
        <v>0</v>
      </c>
      <c r="AE135" s="36" t="s">
        <v>435</v>
      </c>
      <c r="AF135" s="25">
        <f>IFERROR(__xludf.DUMMYFUNCTION("IFERROR(VALUE(REGEXEXTRACT(AE135, ""\d+"")), 1)"),1.0)</f>
        <v>1</v>
      </c>
      <c r="AG135" s="12" t="str">
        <f>IFERROR(__xludf.DUMMYFUNCTION("IF(
  ISNUMBER(SEARCH(""Bonus Action"", AE135)),
  ""Bonus Action"",
  IF(
    ISNUMBER(SEARCH(""Reaction"", AE135)),
    ""Reaction"",
    IF(
      ISNUMBER(SEARCH(""Action"", AE135)),
      ""Action"",
      TEXTJOIN("", "", TRUE, FILTER(Validations!$S"&amp;"$2:$S$100, ISNUMBER(SEARCH(Validations!$S$2:$S$100, AE135))))
    )
  )
)"),"Bonus Action")</f>
        <v>Bonus Action</v>
      </c>
      <c r="AH135" s="12"/>
      <c r="AI135" s="20" t="s">
        <v>70</v>
      </c>
      <c r="AJ135" s="26" t="str">
        <f>IFERROR(__xludf.DUMMYFUNCTION("TEXTJOIN("", "", TRUE, FILTER(Validations!$T$2:$T$100, ISNUMBER(SEARCH(Validations!$T$2:$T$100, AI135))))"),"Instantaneous")</f>
        <v>Instantaneous</v>
      </c>
      <c r="AK135" s="26" t="str">
        <f>IFERROR(__xludf.DUMMYFUNCTION("IFERROR(VALUE(REGEXEXTRACT(AI135, ""\d+"")), """")"),"")</f>
        <v/>
      </c>
      <c r="AL135" s="26" t="str">
        <f>IFERROR(__xludf.DUMMYFUNCTION("TEXTJOIN("", "", TRUE, FILTER(Validations!$U$2:$U$100, ISNUMBER(SEARCH(Validations!$U$2:$U$100, AI135))))"),"")</f>
        <v/>
      </c>
      <c r="AM135" s="24" t="b">
        <f t="shared" si="1"/>
        <v>0</v>
      </c>
      <c r="AN135" s="65" t="b">
        <v>0</v>
      </c>
      <c r="AO135" s="36" t="s">
        <v>440</v>
      </c>
      <c r="AP135" s="12" t="str">
        <f>IFERROR(__xludf.DUMMYFUNCTION("IF(TEXTJOIN("", "", TRUE, FILTER(Validations!$Q$2:$Q$100, ISNUMBER(SEARCH(Validations!$Q$2:$Q$100, AO135)))) = """", Validations!$Q$2, TEXTJOIN("", "", TRUE, FILTER(Validations!$Q$2:$Q$100, ISNUMBER(SEARCH(Validations!$Q$2:$Q$100, AO135)))))"),"Point")</f>
        <v>Point</v>
      </c>
      <c r="AQ135" s="12">
        <f>IFERROR(__xludf.DUMMYFUNCTION("IFERROR(VALUE(REGEXEXTRACT(AO135, ""\d+"")), """")"),60.0)</f>
        <v>60</v>
      </c>
      <c r="AR135" s="12" t="str">
        <f>IFERROR(__xludf.DUMMYFUNCTION("TEXTJOIN("", "", TRUE, FILTER(Validations!$R$2:$R$100, ISNUMBER(SEARCH(Validations!$R$2:$R$100, AO135))))"),"Feet")</f>
        <v>Feet</v>
      </c>
      <c r="AS135" s="27"/>
      <c r="AT135" s="12" t="str">
        <f>IFERROR(__xludf.DUMMYFUNCTION("IFERROR(TEXTJOIN("", "", TRUE, FILTER(Validations!$I$2:$I$100, ISNUMBER(SEARCH(Validations!$I$2:$I$100, AS135)))), """")"),"")</f>
        <v/>
      </c>
      <c r="AU135" s="16" t="str">
        <f t="array" ref="AU135">IFERROR(INDEX(Validations!$J$2:$J$100, MATCH(TRUE, ISNUMBER(SEARCH(Validations!$I$2:$I$100, AT135)), 0)), "")</f>
        <v/>
      </c>
      <c r="AV135" s="12" t="str">
        <f>IFERROR(__xludf.DUMMYFUNCTION("IFERROR(VALUE(REGEXEXTRACT(AS135, ""\d+"")), """")"),"")</f>
        <v/>
      </c>
      <c r="AW135" s="12" t="str">
        <f>IFERROR(__xludf.DUMMYFUNCTION("IFERROR(TEXTJOIN("", "", TRUE, FILTER(Validations!$Q$2:$Q$100, ISNUMBER(SEARCH(Validations!$Q$2:$Q$100, AS135)))), """")"),"")</f>
        <v/>
      </c>
      <c r="AX135" s="28" t="s">
        <v>142</v>
      </c>
      <c r="AY135" s="28" t="str">
        <f>IFERROR(__xludf.DUMMYFUNCTION("TEXTJOIN("", "", TRUE, FILTER(Validations!$Y$2:$Y$100, ISNUMBER(SEARCH(Validations!$X$2:$X$100, AX135))))"),"V, S")</f>
        <v>V, S</v>
      </c>
      <c r="AZ135" s="26"/>
      <c r="BA135" s="62"/>
      <c r="BB135" s="22"/>
      <c r="BC135" s="22"/>
      <c r="BD135" s="22"/>
      <c r="BE135" s="27"/>
      <c r="BF135" s="22"/>
      <c r="BG135" s="27"/>
      <c r="BH135" s="27"/>
      <c r="BI135" s="44"/>
      <c r="BJ135" s="29"/>
      <c r="BK135" s="29"/>
    </row>
    <row r="136" ht="15.75" customHeight="1">
      <c r="A136" s="30" t="s">
        <v>671</v>
      </c>
      <c r="B136" s="22"/>
      <c r="C136" s="16"/>
      <c r="D136" s="16" t="s">
        <v>302</v>
      </c>
      <c r="E136" s="16"/>
      <c r="F136" s="32" t="s">
        <v>466</v>
      </c>
      <c r="G136" s="15" t="s">
        <v>672</v>
      </c>
      <c r="H136" s="31" t="s">
        <v>76</v>
      </c>
      <c r="I136" s="16" t="str">
        <f t="array" ref="I136">INDEX(Validations!$C$2:$C$100, MATCH(TRUE, ISNUMBER(SEARCH(Validations!$B$2:$B$100, H136)), 0))</f>
        <v>V</v>
      </c>
      <c r="J136" s="17" t="s">
        <v>673</v>
      </c>
      <c r="K136" s="18"/>
      <c r="L136" s="17"/>
      <c r="M136" s="17"/>
      <c r="N136" s="20" t="s">
        <v>674</v>
      </c>
      <c r="O136" s="17"/>
      <c r="P136" s="21"/>
      <c r="Q136" s="21"/>
      <c r="R136" s="22"/>
      <c r="S136" s="17" t="str">
        <f>IFERROR(__xludf.DUMMYFUNCTION("IFERROR(REGEXEXTRACT(J136, ""(\d{1,3}[dD]\d{1,3})""), """")"),"2d8")</f>
        <v>2d8</v>
      </c>
      <c r="T136" s="17" t="str">
        <f>IFERROR(__xludf.DUMMYFUNCTION("IF(COUNTIF(ARRAYFORMULA(LOWER(Validations!$O$2:$O$100)), LOWER(REGEXEXTRACT(J136, ""\d{1,3}[dD]\d{1,3}\s+(\w+)"")))&gt;0, REGEXEXTRACT(J136, ""\d{1,3}[dD]\d{1,3}\s+(\w+)""), """")"),"electric")</f>
        <v>electric</v>
      </c>
      <c r="U136" s="17" t="str">
        <f>IFERROR(__xludf.DUMMYFUNCTION("IF(COUNTIF(ARRAYFORMULA(LOWER(Validations!$P$2:$P$100)), LOWER(REGEXEXTRACT(J136, ""\d{1,3}[dD]\d{1,3}\s+(\w+)"")))&gt;0, REGEXEXTRACT(J136, ""\d{1,3}[dD]\d{1,3}\s+(\w+)""), """")"),"")</f>
        <v/>
      </c>
      <c r="V136" s="12" t="str">
        <f>IFERROR(__xludf.DUMMYFUNCTION("TEXTJOIN("", "", TRUE, FILTER(Validations!$L$2:$L$100, ISNUMBER(SEARCH(Validations!$L$2:$L$100, J136))))"),"")</f>
        <v/>
      </c>
      <c r="W136" s="12" t="str">
        <f>IFERROR(__xludf.DUMMYFUNCTION("IFERROR(TEXTJOIN("", "", TRUE, FILTER(Validations!$M$2:$M$100, ISNUMBER(SEARCH(Validations!$M$2:$M$100 &amp; "" saving throw"", J136)))), """")"),"Constitution")</f>
        <v>Constitution</v>
      </c>
      <c r="X136" s="12"/>
      <c r="Y136" s="12"/>
      <c r="Z136" s="12" t="str">
        <f>IFERROR(__xludf.DUMMYFUNCTION("IFERROR(TEXTJOIN("", "", TRUE, FILTER(Validations!$N$2:$N$100, ISNUMBER(SEARCH(Validations!$N$2:$N$100 &amp; "" check"", J136)))), """")"),"")</f>
        <v/>
      </c>
      <c r="AA136" s="12" t="str">
        <f>IFERROR(__xludf.DUMMYFUNCTION("IFERROR(TEXTJOIN("", "", TRUE, FILTER(Validations!$N$2:$N$100, ISNUMBER(SEARCH(Validations!$N$2:$N$100 &amp; "" check"", W136)))), """")"),"")</f>
        <v/>
      </c>
      <c r="AB136" s="23" t="str">
        <f>IFERROR(__xludf.DUMMYFUNCTION("IFERROR(CONCATENATE(IF(ISNUMBER(SEARCH(Validations!$M$2:$M$100 &amp; "" spell save"", J136)),""Spell Save"",""""), REGEXEXTRACT(J136, ""DC (\d+)"")), """")"),"")</f>
        <v/>
      </c>
      <c r="AC136" s="24" t="b">
        <v>0</v>
      </c>
      <c r="AD136" s="24" t="b">
        <v>0</v>
      </c>
      <c r="AE136" s="36" t="s">
        <v>69</v>
      </c>
      <c r="AF136" s="25">
        <f>IFERROR(__xludf.DUMMYFUNCTION("IFERROR(VALUE(REGEXEXTRACT(AE136, ""\d+"")), 1)"),1.0)</f>
        <v>1</v>
      </c>
      <c r="AG136" s="12" t="str">
        <f>IFERROR(__xludf.DUMMYFUNCTION("IF(
  ISNUMBER(SEARCH(""Bonus Action"", AE136)),
  ""Bonus Action"",
  IF(
    ISNUMBER(SEARCH(""Reaction"", AE136)),
    ""Reaction"",
    IF(
      ISNUMBER(SEARCH(""Action"", AE136)),
      ""Action"",
      TEXTJOIN("", "", TRUE, FILTER(Validations!$S"&amp;"$2:$S$100, ISNUMBER(SEARCH(Validations!$S$2:$S$100, AE136))))
    )
  )
)"),"Action")</f>
        <v>Action</v>
      </c>
      <c r="AH136" s="36"/>
      <c r="AI136" s="27" t="s">
        <v>70</v>
      </c>
      <c r="AJ136" s="26" t="str">
        <f>IFERROR(__xludf.DUMMYFUNCTION("TEXTJOIN("", "", TRUE, FILTER(Validations!$T$2:$T$100, ISNUMBER(SEARCH(Validations!$T$2:$T$100, AI136))))"),"Instantaneous")</f>
        <v>Instantaneous</v>
      </c>
      <c r="AK136" s="26" t="str">
        <f>IFERROR(__xludf.DUMMYFUNCTION("IFERROR(VALUE(REGEXEXTRACT(AI136, ""\d+"")), """")"),"")</f>
        <v/>
      </c>
      <c r="AL136" s="26" t="str">
        <f>IFERROR(__xludf.DUMMYFUNCTION("TEXTJOIN("", "", TRUE, FILTER(Validations!$U$2:$U$100, ISNUMBER(SEARCH(Validations!$U$2:$U$100, AI136))))"),"")</f>
        <v/>
      </c>
      <c r="AM136" s="24" t="b">
        <f t="shared" si="1"/>
        <v>0</v>
      </c>
      <c r="AN136" s="24" t="b">
        <v>0</v>
      </c>
      <c r="AO136" s="22" t="s">
        <v>112</v>
      </c>
      <c r="AP136" s="12" t="str">
        <f>IFERROR(__xludf.DUMMYFUNCTION("IF(TEXTJOIN("", "", TRUE, FILTER(Validations!$Q$2:$Q$100, ISNUMBER(SEARCH(Validations!$Q$2:$Q$100, AO136)))) = """", Validations!$Q$2, TEXTJOIN("", "", TRUE, FILTER(Validations!$Q$2:$Q$100, ISNUMBER(SEARCH(Validations!$Q$2:$Q$100, AO136)))))"),"Point")</f>
        <v>Point</v>
      </c>
      <c r="AQ136" s="12">
        <f>IFERROR(__xludf.DUMMYFUNCTION("IFERROR(VALUE(REGEXEXTRACT(AO136, ""\d+"")), """")"),30.0)</f>
        <v>30</v>
      </c>
      <c r="AR136" s="12" t="str">
        <f>IFERROR(__xludf.DUMMYFUNCTION("TEXTJOIN("", "", TRUE, FILTER(Validations!$R$2:$R$100, ISNUMBER(SEARCH(Validations!$R$2:$R$100, AO136))))"),"Feet")</f>
        <v>Feet</v>
      </c>
      <c r="AS136" s="27"/>
      <c r="AT136" s="12" t="str">
        <f>IFERROR(__xludf.DUMMYFUNCTION("IFERROR(TEXTJOIN("", "", TRUE, FILTER(Validations!$I$2:$I$100, ISNUMBER(SEARCH(Validations!$I$2:$I$100, AS136)))), """")"),"")</f>
        <v/>
      </c>
      <c r="AU136" s="16" t="str">
        <f t="array" ref="AU136">IFERROR(INDEX(Validations!$J$2:$J$100, MATCH(TRUE, ISNUMBER(SEARCH(Validations!$I$2:$I$100, AT136)), 0)), "")</f>
        <v/>
      </c>
      <c r="AV136" s="12" t="str">
        <f>IFERROR(__xludf.DUMMYFUNCTION("IFERROR(VALUE(REGEXEXTRACT(AS136, ""\d+"")), """")"),"")</f>
        <v/>
      </c>
      <c r="AW136" s="12" t="str">
        <f>IFERROR(__xludf.DUMMYFUNCTION("IFERROR(TEXTJOIN("", "", TRUE, FILTER(Validations!$Q$2:$Q$100, ISNUMBER(SEARCH(Validations!$Q$2:$Q$100, AS136)))), """")"),"")</f>
        <v/>
      </c>
      <c r="AX136" s="28" t="s">
        <v>142</v>
      </c>
      <c r="AY136" s="28" t="str">
        <f>IFERROR(__xludf.DUMMYFUNCTION("TEXTJOIN("", "", TRUE, FILTER(Validations!$Y$2:$Y$100, ISNUMBER(SEARCH(Validations!$X$2:$X$100, AX136))))"),"V, S")</f>
        <v>V, S</v>
      </c>
      <c r="AZ136" s="27"/>
      <c r="BA136" s="22"/>
      <c r="BB136" s="22"/>
      <c r="BC136" s="22"/>
      <c r="BD136" s="22"/>
      <c r="BE136" s="27"/>
      <c r="BF136" s="22"/>
      <c r="BG136" s="27"/>
      <c r="BH136" s="27"/>
      <c r="BI136" s="12" t="str">
        <f>IFERROR(__xludf.DUMMYFUNCTION("IFERROR(TEXTJOIN("", "", TRUE, FILTER(SRD!$A$2:$A$1000, EXACT(SRD!$A$2:$A$1000, J136))), """")"),"")</f>
        <v/>
      </c>
      <c r="BJ136" s="29"/>
      <c r="BK136" s="29"/>
    </row>
    <row r="137" ht="15.75" customHeight="1">
      <c r="A137" s="38" t="s">
        <v>675</v>
      </c>
      <c r="B137" s="12"/>
      <c r="C137" s="13"/>
      <c r="D137" s="13" t="s">
        <v>122</v>
      </c>
      <c r="E137" s="13"/>
      <c r="F137" s="14" t="s">
        <v>676</v>
      </c>
      <c r="G137" s="15" t="s">
        <v>672</v>
      </c>
      <c r="H137" s="16" t="s">
        <v>103</v>
      </c>
      <c r="I137" s="16" t="str">
        <f t="array" ref="I137">INDEX(Validations!$C$2:$C$100, MATCH(TRUE, ISNUMBER(SEARCH(Validations!$B$2:$B$100, H137)), 0))</f>
        <v>C</v>
      </c>
      <c r="J137" s="17" t="s">
        <v>677</v>
      </c>
      <c r="K137" s="18"/>
      <c r="L137" s="17"/>
      <c r="M137" s="37"/>
      <c r="N137" s="27"/>
      <c r="O137" s="17" t="s">
        <v>678</v>
      </c>
      <c r="P137" s="21"/>
      <c r="Q137" s="21"/>
      <c r="R137" s="22"/>
      <c r="S137" s="17" t="str">
        <f>IFERROR(__xludf.DUMMYFUNCTION("IFERROR(REGEXEXTRACT(J137, ""(\d{1,3}[dD]\d{1,3})""), """")"),"1d6")</f>
        <v>1d6</v>
      </c>
      <c r="T137" s="17" t="str">
        <f>IFERROR(__xludf.DUMMYFUNCTION("IF(COUNTIF(ARRAYFORMULA(LOWER(Validations!$O$2:$O$100)), LOWER(REGEXEXTRACT(J137, ""\d{1,3}[dD]\d{1,3}\s+(\w+)"")))&gt;0, REGEXEXTRACT(J137, ""\d{1,3}[dD]\d{1,3}\s+(\w+)""), """")"),"pyric")</f>
        <v>pyric</v>
      </c>
      <c r="U137" s="17" t="str">
        <f>IFERROR(__xludf.DUMMYFUNCTION("IF(COUNTIF(ARRAYFORMULA(LOWER(Validations!$P$2:$P$100)), LOWER(REGEXEXTRACT(J137, ""\d{1,3}[dD]\d{1,3}\s+(\w+)"")))&gt;0, REGEXEXTRACT(J137, ""\d{1,3}[dD]\d{1,3}\s+(\w+)""), """")"),"")</f>
        <v/>
      </c>
      <c r="V137" s="12" t="str">
        <f>IFERROR(__xludf.DUMMYFUNCTION("TEXTJOIN("", "", TRUE, FILTER(Validations!$L$2:$L$100, ISNUMBER(SEARCH(Validations!$L$2:$L$100, J137))))"),"Unstable")</f>
        <v>Unstable</v>
      </c>
      <c r="W137" s="12" t="str">
        <f>IFERROR(__xludf.DUMMYFUNCTION("IFERROR(TEXTJOIN("", "", TRUE, FILTER(Validations!$M$2:$M$100, ISNUMBER(SEARCH(Validations!$M$2:$M$100 &amp; "" saving throw"", J137)))), """")"),"Dexterity, Wisdom")</f>
        <v>Dexterity, Wisdom</v>
      </c>
      <c r="X137" s="12"/>
      <c r="Y137" s="12"/>
      <c r="Z137" s="12" t="str">
        <f>IFERROR(__xludf.DUMMYFUNCTION("IFERROR(TEXTJOIN("", "", TRUE, FILTER(Validations!$N$2:$N$100, ISNUMBER(SEARCH(Validations!$N$2:$N$100 &amp; "" check"", J137)))), """")"),"")</f>
        <v/>
      </c>
      <c r="AA137" s="12" t="str">
        <f>IFERROR(__xludf.DUMMYFUNCTION("IFERROR(TEXTJOIN("", "", TRUE, FILTER(Validations!$N$2:$N$100, ISNUMBER(SEARCH(Validations!$N$2:$N$100 &amp; "" check"", W137)))), """")"),"")</f>
        <v/>
      </c>
      <c r="AB137" s="23" t="str">
        <f>IFERROR(__xludf.DUMMYFUNCTION("IFERROR(CONCATENATE(IF(ISNUMBER(SEARCH(Validations!$M$2:$M$100 &amp; "" spell save"", J137)),""Spell Save"",""""), REGEXEXTRACT(J137, ""DC (\d+)"")), """")"),"10")</f>
        <v>10</v>
      </c>
      <c r="AC137" s="24" t="b">
        <v>0</v>
      </c>
      <c r="AD137" s="24" t="b">
        <v>0</v>
      </c>
      <c r="AE137" s="12" t="s">
        <v>69</v>
      </c>
      <c r="AF137" s="25">
        <f>IFERROR(__xludf.DUMMYFUNCTION("IFERROR(VALUE(REGEXEXTRACT(AE137, ""\d+"")), 1)"),1.0)</f>
        <v>1</v>
      </c>
      <c r="AG137" s="12" t="str">
        <f>IFERROR(__xludf.DUMMYFUNCTION("IF(
  ISNUMBER(SEARCH(""Bonus Action"", AE137)),
  ""Bonus Action"",
  IF(
    ISNUMBER(SEARCH(""Reaction"", AE137)),
    ""Reaction"",
    IF(
      ISNUMBER(SEARCH(""Action"", AE137)),
      ""Action"",
      TEXTJOIN("", "", TRUE, FILTER(Validations!$S"&amp;"$2:$S$100, ISNUMBER(SEARCH(Validations!$S$2:$S$100, AE137))))
    )
  )
)"),"Action")</f>
        <v>Action</v>
      </c>
      <c r="AH137" s="12"/>
      <c r="AI137" s="20" t="s">
        <v>134</v>
      </c>
      <c r="AJ137" s="26" t="str">
        <f>IFERROR(__xludf.DUMMYFUNCTION("TEXTJOIN("", "", TRUE, FILTER(Validations!$T$2:$T$100, ISNUMBER(SEARCH(Validations!$T$2:$T$100, AI137))))"),"")</f>
        <v/>
      </c>
      <c r="AK137" s="26">
        <f>IFERROR(__xludf.DUMMYFUNCTION("IFERROR(VALUE(REGEXEXTRACT(AI137, ""\d+"")), """")"),10.0)</f>
        <v>10</v>
      </c>
      <c r="AL137" s="26" t="str">
        <f>IFERROR(__xludf.DUMMYFUNCTION("TEXTJOIN("", "", TRUE, FILTER(Validations!$U$2:$U$100, ISNUMBER(SEARCH(Validations!$U$2:$U$100, AI137))))"),"Minutes")</f>
        <v>Minutes</v>
      </c>
      <c r="AM137" s="24" t="b">
        <f t="shared" si="1"/>
        <v>0</v>
      </c>
      <c r="AN137" s="24" t="b">
        <v>0</v>
      </c>
      <c r="AO137" s="12" t="s">
        <v>78</v>
      </c>
      <c r="AP137" s="12" t="str">
        <f>IFERROR(__xludf.DUMMYFUNCTION("IF(TEXTJOIN("", "", TRUE, FILTER(Validations!$Q$2:$Q$100, ISNUMBER(SEARCH(Validations!$Q$2:$Q$100, AO137)))) = """", Validations!$Q$2, TEXTJOIN("", "", TRUE, FILTER(Validations!$Q$2:$Q$100, ISNUMBER(SEARCH(Validations!$Q$2:$Q$100, AO137)))))"),"Point")</f>
        <v>Point</v>
      </c>
      <c r="AQ137" s="12" t="str">
        <f>IFERROR(__xludf.DUMMYFUNCTION("IFERROR(VALUE(REGEXEXTRACT(AO137, ""\d+"")), """")"),"")</f>
        <v/>
      </c>
      <c r="AR137" s="12" t="str">
        <f>IFERROR(__xludf.DUMMYFUNCTION("TEXTJOIN("", "", TRUE, FILTER(Validations!$R$2:$R$100, ISNUMBER(SEARCH(Validations!$R$2:$R$100, AO137))))"),"Self")</f>
        <v>Self</v>
      </c>
      <c r="AS137" s="27"/>
      <c r="AT137" s="12" t="str">
        <f>IFERROR(__xludf.DUMMYFUNCTION("IFERROR(TEXTJOIN("", "", TRUE, FILTER(Validations!$I$2:$I$100, ISNUMBER(SEARCH(Validations!$I$2:$I$100, AS137)))), """")"),"")</f>
        <v/>
      </c>
      <c r="AU137" s="16" t="str">
        <f t="array" ref="AU137">IFERROR(INDEX(Validations!$J$2:$J$100, MATCH(TRUE, ISNUMBER(SEARCH(Validations!$I$2:$I$100, AT137)), 0)), "")</f>
        <v/>
      </c>
      <c r="AV137" s="12" t="str">
        <f>IFERROR(__xludf.DUMMYFUNCTION("IFERROR(VALUE(REGEXEXTRACT(AS137, ""\d+"")), """")"),"")</f>
        <v/>
      </c>
      <c r="AW137" s="12" t="str">
        <f>IFERROR(__xludf.DUMMYFUNCTION("IFERROR(TEXTJOIN("", "", TRUE, FILTER(Validations!$Q$2:$Q$100, ISNUMBER(SEARCH(Validations!$Q$2:$Q$100, AS137)))), """")"),"")</f>
        <v/>
      </c>
      <c r="AX137" s="28" t="s">
        <v>72</v>
      </c>
      <c r="AY137" s="28" t="str">
        <f>IFERROR(__xludf.DUMMYFUNCTION("TEXTJOIN("", "", TRUE, FILTER(Validations!$Y$2:$Y$100, ISNUMBER(SEARCH(Validations!$X$2:$X$100, AX137))))"),"V, S")</f>
        <v>V, S</v>
      </c>
      <c r="AZ137" s="27"/>
      <c r="BA137" s="22"/>
      <c r="BB137" s="22"/>
      <c r="BC137" s="22"/>
      <c r="BD137" s="22"/>
      <c r="BE137" s="27"/>
      <c r="BF137" s="22"/>
      <c r="BG137" s="27"/>
      <c r="BH137" s="27"/>
      <c r="BI137" s="12" t="str">
        <f>IFERROR(__xludf.DUMMYFUNCTION("IFERROR(TEXTJOIN("", "", TRUE, FILTER(SRD!$A$2:$A$1000, EXACT(SRD!$A$2:$A$1000, J137))), """")"),"")</f>
        <v/>
      </c>
      <c r="BJ137" s="29"/>
      <c r="BK137" s="29"/>
    </row>
    <row r="138" ht="15.75" customHeight="1">
      <c r="A138" s="30" t="s">
        <v>679</v>
      </c>
      <c r="B138" s="22"/>
      <c r="C138" s="16"/>
      <c r="D138" s="16" t="s">
        <v>680</v>
      </c>
      <c r="E138" s="16"/>
      <c r="F138" s="32" t="s">
        <v>108</v>
      </c>
      <c r="G138" s="15" t="s">
        <v>672</v>
      </c>
      <c r="H138" s="31" t="s">
        <v>178</v>
      </c>
      <c r="I138" s="16" t="str">
        <f t="array" ref="I138">INDEX(Validations!$C$2:$C$100, MATCH(TRUE, ISNUMBER(SEARCH(Validations!$B$2:$B$100, H138)), 0))</f>
        <v>A</v>
      </c>
      <c r="J138" s="17" t="s">
        <v>681</v>
      </c>
      <c r="K138" s="18"/>
      <c r="L138" s="17"/>
      <c r="M138" s="17"/>
      <c r="N138" s="27"/>
      <c r="O138" s="17" t="s">
        <v>682</v>
      </c>
      <c r="P138" s="21"/>
      <c r="Q138" s="21"/>
      <c r="R138" s="22"/>
      <c r="S138" s="17" t="str">
        <f>IFERROR(__xludf.DUMMYFUNCTION("IFERROR(REGEXEXTRACT(J138, ""(\d{1,3}[dD]\d{1,3})""), """")"),"")</f>
        <v/>
      </c>
      <c r="T138" s="17" t="str">
        <f>IFERROR(__xludf.DUMMYFUNCTION("IF(COUNTIF(ARRAYFORMULA(LOWER(Validations!$O$2:$O$100)), LOWER(REGEXEXTRACT(J138, ""\d{1,3}[dD]\d{1,3}\s+(\w+)"")))&gt;0, REGEXEXTRACT(J138, ""\d{1,3}[dD]\d{1,3}\s+(\w+)""), """")"),"")</f>
        <v/>
      </c>
      <c r="U138" s="17" t="str">
        <f>IFERROR(__xludf.DUMMYFUNCTION("IF(COUNTIF(ARRAYFORMULA(LOWER(Validations!$P$2:$P$100)), LOWER(REGEXEXTRACT(J138, ""\d{1,3}[dD]\d{1,3}\s+(\w+)"")))&gt;0, REGEXEXTRACT(J138, ""\d{1,3}[dD]\d{1,3}\s+(\w+)""), """")"),"")</f>
        <v/>
      </c>
      <c r="V138" s="12" t="str">
        <f>IFERROR(__xludf.DUMMYFUNCTION("TEXTJOIN("", "", TRUE, FILTER(Validations!$L$2:$L$100, ISNUMBER(SEARCH(Validations!$L$2:$L$100, J138))))"),"Unconscious")</f>
        <v>Unconscious</v>
      </c>
      <c r="W138" s="12" t="str">
        <f>IFERROR(__xludf.DUMMYFUNCTION("IFERROR(TEXTJOIN("", "", TRUE, FILTER(Validations!$M$2:$M$100, ISNUMBER(SEARCH(Validations!$M$2:$M$100 &amp; "" saving throw"", J138)))), """")"),"")</f>
        <v/>
      </c>
      <c r="X138" s="12"/>
      <c r="Y138" s="12"/>
      <c r="Z138" s="12" t="str">
        <f>IFERROR(__xludf.DUMMYFUNCTION("IFERROR(TEXTJOIN("", "", TRUE, FILTER(Validations!$N$2:$N$100, ISNUMBER(SEARCH(Validations!$N$2:$N$100 &amp; "" check"", J138)))), """")"),"")</f>
        <v/>
      </c>
      <c r="AA138" s="12" t="str">
        <f>IFERROR(__xludf.DUMMYFUNCTION("IFERROR(TEXTJOIN("", "", TRUE, FILTER(Validations!$N$2:$N$100, ISNUMBER(SEARCH(Validations!$N$2:$N$100 &amp; "" check"", W138)))), """")"),"")</f>
        <v/>
      </c>
      <c r="AB138" s="23" t="str">
        <f>IFERROR(__xludf.DUMMYFUNCTION("IFERROR(CONCATENATE(IF(ISNUMBER(SEARCH(Validations!$M$2:$M$100 &amp; "" spell save"", J138)),""Spell Save"",""""), REGEXEXTRACT(J138, ""DC (\d+)"")), """")"),"")</f>
        <v/>
      </c>
      <c r="AC138" s="24" t="b">
        <v>0</v>
      </c>
      <c r="AD138" s="24" t="b">
        <v>0</v>
      </c>
      <c r="AE138" s="36" t="s">
        <v>69</v>
      </c>
      <c r="AF138" s="25">
        <f>IFERROR(__xludf.DUMMYFUNCTION("IFERROR(VALUE(REGEXEXTRACT(AE138, ""\d+"")), 1)"),1.0)</f>
        <v>1</v>
      </c>
      <c r="AG138" s="12" t="str">
        <f>IFERROR(__xludf.DUMMYFUNCTION("IF(
  ISNUMBER(SEARCH(""Bonus Action"", AE138)),
  ""Bonus Action"",
  IF(
    ISNUMBER(SEARCH(""Reaction"", AE138)),
    ""Reaction"",
    IF(
      ISNUMBER(SEARCH(""Action"", AE138)),
      ""Action"",
      TEXTJOIN("", "", TRUE, FILTER(Validations!$S"&amp;"$2:$S$100, ISNUMBER(SEARCH(Validations!$S$2:$S$100, AE138))))
    )
  )
)"),"Action")</f>
        <v>Action</v>
      </c>
      <c r="AH138" s="36"/>
      <c r="AI138" s="20" t="s">
        <v>134</v>
      </c>
      <c r="AJ138" s="26" t="str">
        <f>IFERROR(__xludf.DUMMYFUNCTION("TEXTJOIN("", "", TRUE, FILTER(Validations!$T$2:$T$100, ISNUMBER(SEARCH(Validations!$T$2:$T$100, AI138))))"),"")</f>
        <v/>
      </c>
      <c r="AK138" s="26">
        <f>IFERROR(__xludf.DUMMYFUNCTION("IFERROR(VALUE(REGEXEXTRACT(AI138, ""\d+"")), """")"),10.0)</f>
        <v>10</v>
      </c>
      <c r="AL138" s="26" t="str">
        <f>IFERROR(__xludf.DUMMYFUNCTION("TEXTJOIN("", "", TRUE, FILTER(Validations!$U$2:$U$100, ISNUMBER(SEARCH(Validations!$U$2:$U$100, AI138))))"),"Minutes")</f>
        <v>Minutes</v>
      </c>
      <c r="AM138" s="24" t="b">
        <f t="shared" si="1"/>
        <v>0</v>
      </c>
      <c r="AN138" s="24" t="b">
        <v>0</v>
      </c>
      <c r="AO138" s="22" t="s">
        <v>71</v>
      </c>
      <c r="AP138" s="12" t="str">
        <f>IFERROR(__xludf.DUMMYFUNCTION("IF(TEXTJOIN("", "", TRUE, FILTER(Validations!$Q$2:$Q$100, ISNUMBER(SEARCH(Validations!$Q$2:$Q$100, AO138)))) = """", Validations!$Q$2, TEXTJOIN("", "", TRUE, FILTER(Validations!$Q$2:$Q$100, ISNUMBER(SEARCH(Validations!$Q$2:$Q$100, AO138)))))"),"Point")</f>
        <v>Point</v>
      </c>
      <c r="AQ138" s="12" t="str">
        <f>IFERROR(__xludf.DUMMYFUNCTION("IFERROR(VALUE(REGEXEXTRACT(AO138, ""\d+"")), """")"),"")</f>
        <v/>
      </c>
      <c r="AR138" s="12" t="str">
        <f>IFERROR(__xludf.DUMMYFUNCTION("TEXTJOIN("", "", TRUE, FILTER(Validations!$R$2:$R$100, ISNUMBER(SEARCH(Validations!$R$2:$R$100, AO138))))"),"Touch")</f>
        <v>Touch</v>
      </c>
      <c r="AS138" s="27"/>
      <c r="AT138" s="12" t="str">
        <f>IFERROR(__xludf.DUMMYFUNCTION("IFERROR(TEXTJOIN("", "", TRUE, FILTER(Validations!$I$2:$I$100, ISNUMBER(SEARCH(Validations!$I$2:$I$100, AS138)))), """")"),"")</f>
        <v/>
      </c>
      <c r="AU138" s="16" t="str">
        <f t="array" ref="AU138">IFERROR(INDEX(Validations!$J$2:$J$100, MATCH(TRUE, ISNUMBER(SEARCH(Validations!$I$2:$I$100, AT138)), 0)), "")</f>
        <v/>
      </c>
      <c r="AV138" s="12" t="str">
        <f>IFERROR(__xludf.DUMMYFUNCTION("IFERROR(VALUE(REGEXEXTRACT(AS138, ""\d+"")), """")"),"")</f>
        <v/>
      </c>
      <c r="AW138" s="12" t="str">
        <f>IFERROR(__xludf.DUMMYFUNCTION("IFERROR(TEXTJOIN("", "", TRUE, FILTER(Validations!$Q$2:$Q$100, ISNUMBER(SEARCH(Validations!$Q$2:$Q$100, AS138)))), """")"),"")</f>
        <v/>
      </c>
      <c r="AX138" s="28" t="s">
        <v>152</v>
      </c>
      <c r="AY138" s="28" t="str">
        <f>IFERROR(__xludf.DUMMYFUNCTION("TEXTJOIN("", "", TRUE, FILTER(Validations!$Y$2:$Y$100, ISNUMBER(SEARCH(Validations!$X$2:$X$100, AX138))))"),"V, S, R")</f>
        <v>V, S, R</v>
      </c>
      <c r="AZ138" s="20" t="s">
        <v>683</v>
      </c>
      <c r="BA138" s="22"/>
      <c r="BB138" s="22"/>
      <c r="BC138" s="22"/>
      <c r="BD138" s="22"/>
      <c r="BE138" s="27"/>
      <c r="BF138" s="22"/>
      <c r="BG138" s="27"/>
      <c r="BH138" s="27"/>
      <c r="BI138" s="12" t="str">
        <f>IFERROR(__xludf.DUMMYFUNCTION("IFERROR(TEXTJOIN("", "", TRUE, FILTER(SRD!$A$2:$A$1000, EXACT(SRD!$A$2:$A$1000, J138))), """")"),"")</f>
        <v/>
      </c>
      <c r="BJ138" s="29"/>
      <c r="BK138" s="29"/>
    </row>
    <row r="139" ht="15.75" customHeight="1">
      <c r="A139" s="11" t="s">
        <v>684</v>
      </c>
      <c r="B139" s="12"/>
      <c r="C139" s="13"/>
      <c r="D139" s="13" t="s">
        <v>685</v>
      </c>
      <c r="E139" s="13"/>
      <c r="F139" s="14" t="s">
        <v>686</v>
      </c>
      <c r="G139" s="15" t="s">
        <v>672</v>
      </c>
      <c r="H139" s="16" t="s">
        <v>103</v>
      </c>
      <c r="I139" s="16" t="str">
        <f t="array" ref="I139">INDEX(Validations!$C$2:$C$100, MATCH(TRUE, ISNUMBER(SEARCH(Validations!$B$2:$B$100, H139)), 0))</f>
        <v>C</v>
      </c>
      <c r="J139" s="17" t="s">
        <v>687</v>
      </c>
      <c r="K139" s="18"/>
      <c r="L139" s="17"/>
      <c r="M139" s="37"/>
      <c r="N139" s="20" t="s">
        <v>688</v>
      </c>
      <c r="O139" s="17" t="s">
        <v>689</v>
      </c>
      <c r="P139" s="21"/>
      <c r="Q139" s="21"/>
      <c r="R139" s="22"/>
      <c r="S139" s="17"/>
      <c r="T139" s="17"/>
      <c r="U139" s="17"/>
      <c r="V139" s="12"/>
      <c r="W139" s="12"/>
      <c r="X139" s="12"/>
      <c r="Y139" s="12"/>
      <c r="Z139" s="12"/>
      <c r="AA139" s="12"/>
      <c r="AB139" s="23"/>
      <c r="AC139" s="24" t="b">
        <v>0</v>
      </c>
      <c r="AD139" s="24" t="b">
        <v>0</v>
      </c>
      <c r="AE139" s="36" t="s">
        <v>69</v>
      </c>
      <c r="AF139" s="25">
        <f>IFERROR(__xludf.DUMMYFUNCTION("IFERROR(VALUE(REGEXEXTRACT(AE139, ""\d+"")), 1)"),1.0)</f>
        <v>1</v>
      </c>
      <c r="AG139" s="12" t="str">
        <f>IFERROR(__xludf.DUMMYFUNCTION("IF(
  ISNUMBER(SEARCH(""Bonus Action"", AE139)),
  ""Bonus Action"",
  IF(
    ISNUMBER(SEARCH(""Reaction"", AE139)),
    ""Reaction"",
    IF(
      ISNUMBER(SEARCH(""Action"", AE139)),
      ""Action"",
      TEXTJOIN("", "", TRUE, FILTER(Validations!$S"&amp;"$2:$S$100, ISNUMBER(SEARCH(Validations!$S$2:$S$100, AE139))))
    )
  )
)"),"Action")</f>
        <v>Action</v>
      </c>
      <c r="AH139" s="36"/>
      <c r="AI139" s="20" t="s">
        <v>556</v>
      </c>
      <c r="AJ139" s="26" t="str">
        <f>IFERROR(__xludf.DUMMYFUNCTION("TEXTJOIN("", "", TRUE, FILTER(Validations!$T$2:$T$100, ISNUMBER(SEARCH(Validations!$T$2:$T$100, AI139))))"),"")</f>
        <v/>
      </c>
      <c r="AK139" s="26">
        <f>IFERROR(__xludf.DUMMYFUNCTION("IFERROR(VALUE(REGEXEXTRACT(AI139, ""\d+"")), """")"),1.0)</f>
        <v>1</v>
      </c>
      <c r="AL139" s="26" t="str">
        <f>IFERROR(__xludf.DUMMYFUNCTION("TEXTJOIN("", "", TRUE, FILTER(Validations!$U$2:$U$100, ISNUMBER(SEARCH(Validations!$U$2:$U$100, AI139))))"),"Minutes")</f>
        <v>Minutes</v>
      </c>
      <c r="AM139" s="24" t="b">
        <f t="shared" si="1"/>
        <v>1</v>
      </c>
      <c r="AN139" s="24" t="b">
        <v>0</v>
      </c>
      <c r="AO139" s="36" t="s">
        <v>112</v>
      </c>
      <c r="AP139" s="12" t="str">
        <f>IFERROR(__xludf.DUMMYFUNCTION("IF(TEXTJOIN("", "", TRUE, FILTER(Validations!$Q$2:$Q$100, ISNUMBER(SEARCH(Validations!$Q$2:$Q$100, AO139)))) = """", Validations!$Q$2, TEXTJOIN("", "", TRUE, FILTER(Validations!$Q$2:$Q$100, ISNUMBER(SEARCH(Validations!$Q$2:$Q$100, AO139)))))"),"Point")</f>
        <v>Point</v>
      </c>
      <c r="AQ139" s="12">
        <f>IFERROR(__xludf.DUMMYFUNCTION("IFERROR(VALUE(REGEXEXTRACT(AO139, ""\d+"")), """")"),30.0)</f>
        <v>30</v>
      </c>
      <c r="AR139" s="12" t="str">
        <f>IFERROR(__xludf.DUMMYFUNCTION("TEXTJOIN("", "", TRUE, FILTER(Validations!$R$2:$R$100, ISNUMBER(SEARCH(Validations!$R$2:$R$100, AO139))))"),"Feet")</f>
        <v>Feet</v>
      </c>
      <c r="AS139" s="27"/>
      <c r="AT139" s="12" t="str">
        <f>IFERROR(__xludf.DUMMYFUNCTION("IFERROR(TEXTJOIN("", "", TRUE, FILTER(Validations!$I$2:$I$100, ISNUMBER(SEARCH(Validations!$I$2:$I$100, AS139)))), """")"),"")</f>
        <v/>
      </c>
      <c r="AU139" s="16" t="str">
        <f t="array" ref="AU139">IFERROR(INDEX(Validations!$J$2:$J$100, MATCH(TRUE, ISNUMBER(SEARCH(Validations!$I$2:$I$100, AT139)), 0)), "")</f>
        <v/>
      </c>
      <c r="AV139" s="12" t="str">
        <f>IFERROR(__xludf.DUMMYFUNCTION("IFERROR(VALUE(REGEXEXTRACT(AS139, ""\d+"")), """")"),"")</f>
        <v/>
      </c>
      <c r="AW139" s="12" t="str">
        <f>IFERROR(__xludf.DUMMYFUNCTION("IFERROR(TEXTJOIN("", "", TRUE, FILTER(Validations!$Q$2:$Q$100, ISNUMBER(SEARCH(Validations!$Q$2:$Q$100, AS139)))), """")"),"")</f>
        <v/>
      </c>
      <c r="AX139" s="28" t="s">
        <v>152</v>
      </c>
      <c r="AY139" s="28" t="str">
        <f>IFERROR(__xludf.DUMMYFUNCTION("TEXTJOIN("", "", TRUE, FILTER(Validations!$Y$2:$Y$100, ISNUMBER(SEARCH(Validations!$X$2:$X$100, AX139))))"),"V, S, R")</f>
        <v>V, S, R</v>
      </c>
      <c r="AZ139" s="20" t="s">
        <v>690</v>
      </c>
      <c r="BA139" s="12"/>
      <c r="BB139" s="22"/>
      <c r="BC139" s="22"/>
      <c r="BD139" s="22"/>
      <c r="BE139" s="27"/>
      <c r="BF139" s="22"/>
      <c r="BG139" s="27"/>
      <c r="BH139" s="27"/>
      <c r="BI139" s="12" t="str">
        <f>IFERROR(__xludf.DUMMYFUNCTION("IFERROR(TEXTJOIN("", "", TRUE, FILTER(SRD!$A$2:$A$1000, EXACT(SRD!$A$2:$A$1000, J139))), """")"),"")</f>
        <v/>
      </c>
      <c r="BJ139" s="29"/>
      <c r="BK139" s="29"/>
    </row>
    <row r="140" ht="15.75" customHeight="1">
      <c r="A140" s="30" t="s">
        <v>691</v>
      </c>
      <c r="B140" s="22"/>
      <c r="C140" s="16"/>
      <c r="D140" s="16" t="s">
        <v>692</v>
      </c>
      <c r="E140" s="16"/>
      <c r="F140" s="32" t="s">
        <v>199</v>
      </c>
      <c r="G140" s="50" t="s">
        <v>672</v>
      </c>
      <c r="H140" s="16" t="s">
        <v>76</v>
      </c>
      <c r="I140" s="16" t="str">
        <f t="array" ref="I140">INDEX(Validations!$C$2:$C$100, MATCH(TRUE, ISNUMBER(SEARCH(Validations!$B$2:$B$100, H140)), 0))</f>
        <v>V</v>
      </c>
      <c r="J140" s="17" t="s">
        <v>693</v>
      </c>
      <c r="K140" s="18"/>
      <c r="L140" s="17"/>
      <c r="M140" s="17"/>
      <c r="N140" s="20" t="s">
        <v>694</v>
      </c>
      <c r="O140" s="17"/>
      <c r="P140" s="21"/>
      <c r="Q140" s="21"/>
      <c r="R140" s="22"/>
      <c r="S140" s="17" t="str">
        <f>IFERROR(__xludf.DUMMYFUNCTION("IFERROR(REGEXEXTRACT(J140, ""(\d{1,3}[dD]\d{1,3})""), """")"),"4d6")</f>
        <v>4d6</v>
      </c>
      <c r="T140" s="17" t="str">
        <f>IFERROR(__xludf.DUMMYFUNCTION("IF(COUNTIF(ARRAYFORMULA(LOWER(Validations!$O$2:$O$100)), LOWER(REGEXEXTRACT(J140, ""\d{1,3}[dD]\d{1,3}\s+(\w+)"")))&gt;0, REGEXEXTRACT(J140, ""\d{1,3}[dD]\d{1,3}\s+(\w+)""), """")"),"cognitive")</f>
        <v>cognitive</v>
      </c>
      <c r="U140" s="17" t="str">
        <f>IFERROR(__xludf.DUMMYFUNCTION("IF(COUNTIF(ARRAYFORMULA(LOWER(Validations!$P$2:$P$100)), LOWER(REGEXEXTRACT(J140, ""\d{1,3}[dD]\d{1,3}\s+(\w+)"")))&gt;0, REGEXEXTRACT(J140, ""\d{1,3}[dD]\d{1,3}\s+(\w+)""), """")"),"")</f>
        <v/>
      </c>
      <c r="V140" s="12" t="str">
        <f>IFERROR(__xludf.DUMMYFUNCTION("TEXTJOIN("", "", TRUE, FILTER(Validations!$L$2:$L$100, ISNUMBER(SEARCH(Validations!$L$2:$L$100, J140))))"),"Unstable")</f>
        <v>Unstable</v>
      </c>
      <c r="W140" s="12" t="str">
        <f>IFERROR(__xludf.DUMMYFUNCTION("IFERROR(TEXTJOIN("", "", TRUE, FILTER(Validations!$M$2:$M$100, ISNUMBER(SEARCH(Validations!$M$2:$M$100 &amp; "" saving throw"", J140)))), """")"),"Wisdom")</f>
        <v>Wisdom</v>
      </c>
      <c r="X140" s="12"/>
      <c r="Y140" s="12"/>
      <c r="Z140" s="12" t="str">
        <f>IFERROR(__xludf.DUMMYFUNCTION("IFERROR(TEXTJOIN("", "", TRUE, FILTER(Validations!$N$2:$N$100, ISNUMBER(SEARCH(Validations!$N$2:$N$100 &amp; "" check"", J140)))), """")"),"")</f>
        <v/>
      </c>
      <c r="AA140" s="12" t="str">
        <f>IFERROR(__xludf.DUMMYFUNCTION("IFERROR(TEXTJOIN("", "", TRUE, FILTER(Validations!$N$2:$N$100, ISNUMBER(SEARCH(Validations!$N$2:$N$100 &amp; "" check"", W140)))), """")"),"")</f>
        <v/>
      </c>
      <c r="AB140" s="23" t="str">
        <f>IFERROR(__xludf.DUMMYFUNCTION("IFERROR(CONCATENATE(IF(ISNUMBER(SEARCH(Validations!$M$2:$M$100 &amp; "" spell save"", J140)),""Spell Save"",""""), REGEXEXTRACT(J140, ""DC (\d+)"")), """")"),"")</f>
        <v/>
      </c>
      <c r="AC140" s="24" t="b">
        <v>0</v>
      </c>
      <c r="AD140" s="24" t="b">
        <v>0</v>
      </c>
      <c r="AE140" s="36" t="s">
        <v>69</v>
      </c>
      <c r="AF140" s="25">
        <f>IFERROR(__xludf.DUMMYFUNCTION("IFERROR(VALUE(REGEXEXTRACT(AE140, ""\d+"")), 1)"),1.0)</f>
        <v>1</v>
      </c>
      <c r="AG140" s="12" t="str">
        <f>IFERROR(__xludf.DUMMYFUNCTION("IF(
  ISNUMBER(SEARCH(""Bonus Action"", AE140)),
  ""Bonus Action"",
  IF(
    ISNUMBER(SEARCH(""Reaction"", AE140)),
    ""Reaction"",
    IF(
      ISNUMBER(SEARCH(""Action"", AE140)),
      ""Action"",
      TEXTJOIN("", "", TRUE, FILTER(Validations!$S"&amp;"$2:$S$100, ISNUMBER(SEARCH(Validations!$S$2:$S$100, AE140))))
    )
  )
)"),"Action")</f>
        <v>Action</v>
      </c>
      <c r="AH140" s="36"/>
      <c r="AI140" s="27" t="s">
        <v>70</v>
      </c>
      <c r="AJ140" s="26" t="str">
        <f>IFERROR(__xludf.DUMMYFUNCTION("TEXTJOIN("", "", TRUE, FILTER(Validations!$T$2:$T$100, ISNUMBER(SEARCH(Validations!$T$2:$T$100, AI140))))"),"Instantaneous")</f>
        <v>Instantaneous</v>
      </c>
      <c r="AK140" s="26" t="str">
        <f>IFERROR(__xludf.DUMMYFUNCTION("IFERROR(VALUE(REGEXEXTRACT(AI140, ""\d+"")), """")"),"")</f>
        <v/>
      </c>
      <c r="AL140" s="26" t="str">
        <f>IFERROR(__xludf.DUMMYFUNCTION("TEXTJOIN("", "", TRUE, FILTER(Validations!$U$2:$U$100, ISNUMBER(SEARCH(Validations!$U$2:$U$100, AI140))))"),"")</f>
        <v/>
      </c>
      <c r="AM140" s="24" t="b">
        <f t="shared" si="1"/>
        <v>0</v>
      </c>
      <c r="AN140" s="24" t="b">
        <v>0</v>
      </c>
      <c r="AO140" s="22" t="s">
        <v>440</v>
      </c>
      <c r="AP140" s="12" t="str">
        <f>IFERROR(__xludf.DUMMYFUNCTION("IF(TEXTJOIN("", "", TRUE, FILTER(Validations!$Q$2:$Q$100, ISNUMBER(SEARCH(Validations!$Q$2:$Q$100, AO140)))) = """", Validations!$Q$2, TEXTJOIN("", "", TRUE, FILTER(Validations!$Q$2:$Q$100, ISNUMBER(SEARCH(Validations!$Q$2:$Q$100, AO140)))))"),"Point")</f>
        <v>Point</v>
      </c>
      <c r="AQ140" s="12">
        <f>IFERROR(__xludf.DUMMYFUNCTION("IFERROR(VALUE(REGEXEXTRACT(AO140, ""\d+"")), """")"),60.0)</f>
        <v>60</v>
      </c>
      <c r="AR140" s="12" t="str">
        <f>IFERROR(__xludf.DUMMYFUNCTION("TEXTJOIN("", "", TRUE, FILTER(Validations!$R$2:$R$100, ISNUMBER(SEARCH(Validations!$R$2:$R$100, AO140))))"),"Feet")</f>
        <v>Feet</v>
      </c>
      <c r="AS140" s="27"/>
      <c r="AT140" s="12" t="str">
        <f>IFERROR(__xludf.DUMMYFUNCTION("IFERROR(TEXTJOIN("", "", TRUE, FILTER(Validations!$I$2:$I$100, ISNUMBER(SEARCH(Validations!$I$2:$I$100, AS140)))), """")"),"")</f>
        <v/>
      </c>
      <c r="AU140" s="16" t="str">
        <f t="array" ref="AU140">IFERROR(INDEX(Validations!$J$2:$J$100, MATCH(TRUE, ISNUMBER(SEARCH(Validations!$I$2:$I$100, AT140)), 0)), "")</f>
        <v/>
      </c>
      <c r="AV140" s="12" t="str">
        <f>IFERROR(__xludf.DUMMYFUNCTION("IFERROR(VALUE(REGEXEXTRACT(AS140, ""\d+"")), """")"),"")</f>
        <v/>
      </c>
      <c r="AW140" s="12" t="str">
        <f>IFERROR(__xludf.DUMMYFUNCTION("IFERROR(TEXTJOIN("", "", TRUE, FILTER(Validations!$Q$2:$Q$100, ISNUMBER(SEARCH(Validations!$Q$2:$Q$100, AS140)))), """")"),"")</f>
        <v/>
      </c>
      <c r="AX140" s="28" t="s">
        <v>152</v>
      </c>
      <c r="AY140" s="28" t="str">
        <f>IFERROR(__xludf.DUMMYFUNCTION("TEXTJOIN("", "", TRUE, FILTER(Validations!$Y$2:$Y$100, ISNUMBER(SEARCH(Validations!$X$2:$X$100, AX140))))"),"V, S, R")</f>
        <v>V, S, R</v>
      </c>
      <c r="AZ140" s="20" t="s">
        <v>695</v>
      </c>
      <c r="BA140" s="22"/>
      <c r="BB140" s="22"/>
      <c r="BC140" s="22"/>
      <c r="BD140" s="36" t="s">
        <v>696</v>
      </c>
      <c r="BE140" s="27"/>
      <c r="BF140" s="22"/>
      <c r="BG140" s="27"/>
      <c r="BH140" s="27"/>
      <c r="BI140" s="12" t="str">
        <f>IFERROR(__xludf.DUMMYFUNCTION("IFERROR(TEXTJOIN("", "", TRUE, FILTER(SRD!$A$2:$A$1000, EXACT(SRD!$A$2:$A$1000, J140))), """")"),"")</f>
        <v/>
      </c>
      <c r="BJ140" s="29"/>
      <c r="BK140" s="29"/>
    </row>
    <row r="141" ht="15.75" customHeight="1">
      <c r="A141" s="11" t="s">
        <v>697</v>
      </c>
      <c r="B141" s="12"/>
      <c r="C141" s="13"/>
      <c r="D141" s="13" t="s">
        <v>62</v>
      </c>
      <c r="E141" s="13"/>
      <c r="F141" s="14" t="s">
        <v>698</v>
      </c>
      <c r="G141" s="50" t="s">
        <v>672</v>
      </c>
      <c r="H141" s="16" t="s">
        <v>103</v>
      </c>
      <c r="I141" s="16" t="str">
        <f t="array" ref="I141">INDEX(Validations!$C$2:$C$100, MATCH(TRUE, ISNUMBER(SEARCH(Validations!$B$2:$B$100, H141)), 0))</f>
        <v>C</v>
      </c>
      <c r="J141" s="17" t="s">
        <v>699</v>
      </c>
      <c r="K141" s="18"/>
      <c r="L141" s="17" t="s">
        <v>700</v>
      </c>
      <c r="M141" s="37" t="s">
        <v>701</v>
      </c>
      <c r="N141" s="27"/>
      <c r="O141" s="17"/>
      <c r="P141" s="21"/>
      <c r="Q141" s="21"/>
      <c r="R141" s="22"/>
      <c r="S141" s="17" t="str">
        <f>IFERROR(__xludf.DUMMYFUNCTION("IFERROR(REGEXEXTRACT(J141, ""(\d{1,3}[dD]\d{1,3})""), """")"),"")</f>
        <v/>
      </c>
      <c r="T141" s="17" t="str">
        <f>IFERROR(__xludf.DUMMYFUNCTION("IF(COUNTIF(ARRAYFORMULA(LOWER(Validations!$O$2:$O$100)), LOWER(REGEXEXTRACT(J141, ""\d{1,3}[dD]\d{1,3}\s+(\w+)"")))&gt;0, REGEXEXTRACT(J141, ""\d{1,3}[dD]\d{1,3}\s+(\w+)""), """")"),"")</f>
        <v/>
      </c>
      <c r="U141" s="17" t="str">
        <f>IFERROR(__xludf.DUMMYFUNCTION("IF(COUNTIF(ARRAYFORMULA(LOWER(Validations!$P$2:$P$100)), LOWER(REGEXEXTRACT(J141, ""\d{1,3}[dD]\d{1,3}\s+(\w+)"")))&gt;0, REGEXEXTRACT(J141, ""\d{1,3}[dD]\d{1,3}\s+(\w+)""), """")"),"")</f>
        <v/>
      </c>
      <c r="V141" s="12" t="str">
        <f>IFERROR(__xludf.DUMMYFUNCTION("TEXTJOIN("", "", TRUE, FILTER(Validations!$L$2:$L$100, ISNUMBER(SEARCH(Validations!$L$2:$L$100, J141))))"),"")</f>
        <v/>
      </c>
      <c r="W141" s="12" t="str">
        <f>IFERROR(__xludf.DUMMYFUNCTION("IFERROR(TEXTJOIN("", "", TRUE, FILTER(Validations!$M$2:$M$100, ISNUMBER(SEARCH(Validations!$M$2:$M$100 &amp; "" saving throw"", J141)))), """")"),"")</f>
        <v/>
      </c>
      <c r="X141" s="12"/>
      <c r="Y141" s="12"/>
      <c r="Z141" s="12" t="str">
        <f>IFERROR(__xludf.DUMMYFUNCTION("IFERROR(TEXTJOIN("", "", TRUE, FILTER(Validations!$N$2:$N$100, ISNUMBER(SEARCH(Validations!$N$2:$N$100 &amp; "" check"", J141)))), """")"),"")</f>
        <v/>
      </c>
      <c r="AA141" s="12" t="str">
        <f>IFERROR(__xludf.DUMMYFUNCTION("IFERROR(TEXTJOIN("", "", TRUE, FILTER(Validations!$N$2:$N$100, ISNUMBER(SEARCH(Validations!$N$2:$N$100 &amp; "" check"", W141)))), """")"),"")</f>
        <v/>
      </c>
      <c r="AB141" s="23" t="str">
        <f>IFERROR(__xludf.DUMMYFUNCTION("IFERROR(CONCATENATE(IF(ISNUMBER(SEARCH(Validations!$M$2:$M$100 &amp; "" spell save"", J141)),""Spell Save"",""""), REGEXEXTRACT(J141, ""DC (\d+)"")), """")"),"")</f>
        <v/>
      </c>
      <c r="AC141" s="24" t="b">
        <v>0</v>
      </c>
      <c r="AD141" s="24" t="b">
        <v>0</v>
      </c>
      <c r="AE141" s="12" t="s">
        <v>69</v>
      </c>
      <c r="AF141" s="25">
        <f>IFERROR(__xludf.DUMMYFUNCTION("IFERROR(VALUE(REGEXEXTRACT(AE141, ""\d+"")), 1)"),1.0)</f>
        <v>1</v>
      </c>
      <c r="AG141" s="12" t="str">
        <f>IFERROR(__xludf.DUMMYFUNCTION("IF(
  ISNUMBER(SEARCH(""Bonus Action"", AE141)),
  ""Bonus Action"",
  IF(
    ISNUMBER(SEARCH(""Reaction"", AE141)),
    ""Reaction"",
    IF(
      ISNUMBER(SEARCH(""Action"", AE141)),
      ""Action"",
      TEXTJOIN("", "", TRUE, FILTER(Validations!$S"&amp;"$2:$S$100, ISNUMBER(SEARCH(Validations!$S$2:$S$100, AE141))))
    )
  )
)"),"Action")</f>
        <v>Action</v>
      </c>
      <c r="AH141" s="12"/>
      <c r="AI141" s="20" t="s">
        <v>296</v>
      </c>
      <c r="AJ141" s="26" t="str">
        <f>IFERROR(__xludf.DUMMYFUNCTION("TEXTJOIN("", "", TRUE, FILTER(Validations!$T$2:$T$100, ISNUMBER(SEARCH(Validations!$T$2:$T$100, AI141))))"),"")</f>
        <v/>
      </c>
      <c r="AK141" s="26">
        <f>IFERROR(__xludf.DUMMYFUNCTION("IFERROR(VALUE(REGEXEXTRACT(AI141, ""\d+"")), """")"),1.0)</f>
        <v>1</v>
      </c>
      <c r="AL141" s="26" t="str">
        <f>IFERROR(__xludf.DUMMYFUNCTION("TEXTJOIN("", "", TRUE, FILTER(Validations!$U$2:$U$100, ISNUMBER(SEARCH(Validations!$U$2:$U$100, AI141))))"),"Hours")</f>
        <v>Hours</v>
      </c>
      <c r="AM141" s="24" t="b">
        <f t="shared" si="1"/>
        <v>0</v>
      </c>
      <c r="AN141" s="24" t="b">
        <v>0</v>
      </c>
      <c r="AO141" s="12" t="s">
        <v>78</v>
      </c>
      <c r="AP141" s="12" t="str">
        <f>IFERROR(__xludf.DUMMYFUNCTION("IF(TEXTJOIN("", "", TRUE, FILTER(Validations!$Q$2:$Q$100, ISNUMBER(SEARCH(Validations!$Q$2:$Q$100, AO141)))) = """", Validations!$Q$2, TEXTJOIN("", "", TRUE, FILTER(Validations!$Q$2:$Q$100, ISNUMBER(SEARCH(Validations!$Q$2:$Q$100, AO141)))))"),"Point")</f>
        <v>Point</v>
      </c>
      <c r="AQ141" s="12" t="str">
        <f>IFERROR(__xludf.DUMMYFUNCTION("IFERROR(VALUE(REGEXEXTRACT(AO141, ""\d+"")), """")"),"")</f>
        <v/>
      </c>
      <c r="AR141" s="12" t="str">
        <f>IFERROR(__xludf.DUMMYFUNCTION("TEXTJOIN("", "", TRUE, FILTER(Validations!$R$2:$R$100, ISNUMBER(SEARCH(Validations!$R$2:$R$100, AO141))))"),"Self")</f>
        <v>Self</v>
      </c>
      <c r="AS141" s="27"/>
      <c r="AT141" s="12" t="str">
        <f>IFERROR(__xludf.DUMMYFUNCTION("IFERROR(TEXTJOIN("", "", TRUE, FILTER(Validations!$I$2:$I$100, ISNUMBER(SEARCH(Validations!$I$2:$I$100, AS141)))), """")"),"")</f>
        <v/>
      </c>
      <c r="AU141" s="16" t="str">
        <f t="array" ref="AU141">IFERROR(INDEX(Validations!$J$2:$J$100, MATCH(TRUE, ISNUMBER(SEARCH(Validations!$I$2:$I$100, AT141)), 0)), "")</f>
        <v/>
      </c>
      <c r="AV141" s="12" t="str">
        <f>IFERROR(__xludf.DUMMYFUNCTION("IFERROR(VALUE(REGEXEXTRACT(AS141, ""\d+"")), """")"),"")</f>
        <v/>
      </c>
      <c r="AW141" s="12" t="str">
        <f>IFERROR(__xludf.DUMMYFUNCTION("IFERROR(TEXTJOIN("", "", TRUE, FILTER(Validations!$Q$2:$Q$100, ISNUMBER(SEARCH(Validations!$Q$2:$Q$100, AS141)))), """")"),"")</f>
        <v/>
      </c>
      <c r="AX141" s="28" t="s">
        <v>72</v>
      </c>
      <c r="AY141" s="28" t="str">
        <f>IFERROR(__xludf.DUMMYFUNCTION("TEXTJOIN("", "", TRUE, FILTER(Validations!$Y$2:$Y$100, ISNUMBER(SEARCH(Validations!$X$2:$X$100, AX141))))"),"V, S")</f>
        <v>V, S</v>
      </c>
      <c r="AZ141" s="26"/>
      <c r="BA141" s="12"/>
      <c r="BB141" s="22"/>
      <c r="BC141" s="22"/>
      <c r="BD141" s="22"/>
      <c r="BE141" s="27"/>
      <c r="BF141" s="22"/>
      <c r="BG141" s="27"/>
      <c r="BH141" s="27"/>
      <c r="BI141" s="12" t="str">
        <f>IFERROR(__xludf.DUMMYFUNCTION("IFERROR(TEXTJOIN("", "", TRUE, FILTER(SRD!$A$2:$A$1000, EXACT(SRD!$A$2:$A$1000, J141))), """")"),"")</f>
        <v/>
      </c>
      <c r="BJ141" s="29"/>
      <c r="BK141" s="29"/>
    </row>
    <row r="142" ht="15.75" customHeight="1">
      <c r="A142" s="38" t="s">
        <v>702</v>
      </c>
      <c r="B142" s="12"/>
      <c r="C142" s="16"/>
      <c r="D142" s="16" t="s">
        <v>302</v>
      </c>
      <c r="E142" s="16"/>
      <c r="F142" s="32" t="s">
        <v>566</v>
      </c>
      <c r="G142" s="50" t="s">
        <v>672</v>
      </c>
      <c r="H142" s="31" t="s">
        <v>144</v>
      </c>
      <c r="I142" s="16" t="str">
        <f t="array" ref="I142">INDEX(Validations!$C$2:$C$100, MATCH(TRUE, ISNUMBER(SEARCH(Validations!$B$2:$B$100, H142)), 0))</f>
        <v>D</v>
      </c>
      <c r="J142" s="17" t="s">
        <v>703</v>
      </c>
      <c r="K142" s="18"/>
      <c r="L142" s="17"/>
      <c r="M142" s="17"/>
      <c r="N142" s="20" t="s">
        <v>704</v>
      </c>
      <c r="O142" s="17"/>
      <c r="P142" s="21"/>
      <c r="Q142" s="21"/>
      <c r="R142" s="22"/>
      <c r="S142" s="17" t="str">
        <f>IFERROR(__xludf.DUMMYFUNCTION("IFERROR(REGEXEXTRACT(J142, ""(\d{1,3}[dD]\d{1,3})""), """")"),"")</f>
        <v/>
      </c>
      <c r="T142" s="17" t="str">
        <f>IFERROR(__xludf.DUMMYFUNCTION("IF(COUNTIF(ARRAYFORMULA(LOWER(Validations!$O$2:$O$100)), LOWER(REGEXEXTRACT(J142, ""\d{1,3}[dD]\d{1,3}\s+(\w+)"")))&gt;0, REGEXEXTRACT(J142, ""\d{1,3}[dD]\d{1,3}\s+(\w+)""), """")"),"")</f>
        <v/>
      </c>
      <c r="U142" s="17" t="str">
        <f>IFERROR(__xludf.DUMMYFUNCTION("IF(COUNTIF(ARRAYFORMULA(LOWER(Validations!$P$2:$P$100)), LOWER(REGEXEXTRACT(J142, ""\d{1,3}[dD]\d{1,3}\s+(\w+)"")))&gt;0, REGEXEXTRACT(J142, ""\d{1,3}[dD]\d{1,3}\s+(\w+)""), """")"),"")</f>
        <v/>
      </c>
      <c r="V142" s="12" t="str">
        <f>IFERROR(__xludf.DUMMYFUNCTION("TEXTJOIN("", "", TRUE, FILTER(Validations!$L$2:$L$100, ISNUMBER(SEARCH(Validations!$L$2:$L$100, J142))))"),"Invisible")</f>
        <v>Invisible</v>
      </c>
      <c r="W142" s="12" t="str">
        <f>IFERROR(__xludf.DUMMYFUNCTION("IFERROR(TEXTJOIN("", "", TRUE, FILTER(Validations!$M$2:$M$100, ISNUMBER(SEARCH(Validations!$M$2:$M$100 &amp; "" saving throw"", J142)))), """")"),"")</f>
        <v/>
      </c>
      <c r="X142" s="12"/>
      <c r="Y142" s="12"/>
      <c r="Z142" s="12" t="str">
        <f>IFERROR(__xludf.DUMMYFUNCTION("IFERROR(TEXTJOIN("", "", TRUE, FILTER(Validations!$N$2:$N$100, ISNUMBER(SEARCH(Validations!$N$2:$N$100 &amp; "" check"", J142)))), """")"),"")</f>
        <v/>
      </c>
      <c r="AA142" s="12" t="str">
        <f>IFERROR(__xludf.DUMMYFUNCTION("IFERROR(TEXTJOIN("", "", TRUE, FILTER(Validations!$N$2:$N$100, ISNUMBER(SEARCH(Validations!$N$2:$N$100 &amp; "" check"", W142)))), """")"),"")</f>
        <v/>
      </c>
      <c r="AB142" s="23" t="str">
        <f>IFERROR(__xludf.DUMMYFUNCTION("IFERROR(CONCATENATE(IF(ISNUMBER(SEARCH(Validations!$M$2:$M$100 &amp; "" spell save"", J142)),""Spell Save"",""""), REGEXEXTRACT(J142, ""DC (\d+)"")), """")"),"")</f>
        <v/>
      </c>
      <c r="AC142" s="24" t="b">
        <v>1</v>
      </c>
      <c r="AD142" s="24" t="b">
        <v>0</v>
      </c>
      <c r="AE142" s="36" t="s">
        <v>134</v>
      </c>
      <c r="AF142" s="25">
        <f>IFERROR(__xludf.DUMMYFUNCTION("IFERROR(VALUE(REGEXEXTRACT(AE142, ""\d+"")), 1)"),10.0)</f>
        <v>10</v>
      </c>
      <c r="AG142" s="12" t="str">
        <f>IFERROR(__xludf.DUMMYFUNCTION("IF(
  ISNUMBER(SEARCH(""Bonus Action"", AE142)),
  ""Bonus Action"",
  IF(
    ISNUMBER(SEARCH(""Reaction"", AE142)),
    ""Reaction"",
    IF(
      ISNUMBER(SEARCH(""Action"", AE142)),
      ""Action"",
      TEXTJOIN("", "", TRUE, FILTER(Validations!$S"&amp;"$2:$S$100, ISNUMBER(SEARCH(Validations!$S$2:$S$100, AE142))))
    )
  )
)"),"Minutes")</f>
        <v>Minutes</v>
      </c>
      <c r="AH142" s="22"/>
      <c r="AI142" s="20" t="s">
        <v>296</v>
      </c>
      <c r="AJ142" s="26" t="str">
        <f>IFERROR(__xludf.DUMMYFUNCTION("TEXTJOIN("", "", TRUE, FILTER(Validations!$T$2:$T$100, ISNUMBER(SEARCH(Validations!$T$2:$T$100, AI142))))"),"")</f>
        <v/>
      </c>
      <c r="AK142" s="26">
        <f>IFERROR(__xludf.DUMMYFUNCTION("IFERROR(VALUE(REGEXEXTRACT(AI142, ""\d+"")), """")"),1.0)</f>
        <v>1</v>
      </c>
      <c r="AL142" s="26" t="str">
        <f>IFERROR(__xludf.DUMMYFUNCTION("TEXTJOIN("", "", TRUE, FILTER(Validations!$U$2:$U$100, ISNUMBER(SEARCH(Validations!$U$2:$U$100, AI142))))"),"Hours")</f>
        <v>Hours</v>
      </c>
      <c r="AM142" s="24" t="b">
        <f t="shared" si="1"/>
        <v>0</v>
      </c>
      <c r="AN142" s="24" t="b">
        <v>0</v>
      </c>
      <c r="AO142" s="22" t="s">
        <v>440</v>
      </c>
      <c r="AP142" s="12" t="str">
        <f>IFERROR(__xludf.DUMMYFUNCTION("IF(TEXTJOIN("", "", TRUE, FILTER(Validations!$Q$2:$Q$100, ISNUMBER(SEARCH(Validations!$Q$2:$Q$100, AO142)))) = """", Validations!$Q$2, TEXTJOIN("", "", TRUE, FILTER(Validations!$Q$2:$Q$100, ISNUMBER(SEARCH(Validations!$Q$2:$Q$100, AO142)))))"),"Point")</f>
        <v>Point</v>
      </c>
      <c r="AQ142" s="12">
        <f>IFERROR(__xludf.DUMMYFUNCTION("IFERROR(VALUE(REGEXEXTRACT(AO142, ""\d+"")), """")"),60.0)</f>
        <v>60</v>
      </c>
      <c r="AR142" s="12" t="str">
        <f>IFERROR(__xludf.DUMMYFUNCTION("TEXTJOIN("", "", TRUE, FILTER(Validations!$R$2:$R$100, ISNUMBER(SEARCH(Validations!$R$2:$R$100, AO142))))"),"Feet")</f>
        <v>Feet</v>
      </c>
      <c r="AS142" s="27"/>
      <c r="AT142" s="12" t="str">
        <f>IFERROR(__xludf.DUMMYFUNCTION("IFERROR(TEXTJOIN("", "", TRUE, FILTER(Validations!$I$2:$I$100, ISNUMBER(SEARCH(Validations!$I$2:$I$100, AS142)))), """")"),"")</f>
        <v/>
      </c>
      <c r="AU142" s="16" t="str">
        <f t="array" ref="AU142">IFERROR(INDEX(Validations!$J$2:$J$100, MATCH(TRUE, ISNUMBER(SEARCH(Validations!$I$2:$I$100, AT142)), 0)), "")</f>
        <v/>
      </c>
      <c r="AV142" s="12" t="str">
        <f>IFERROR(__xludf.DUMMYFUNCTION("IFERROR(VALUE(REGEXEXTRACT(AS142, ""\d+"")), """")"),"")</f>
        <v/>
      </c>
      <c r="AW142" s="12" t="str">
        <f>IFERROR(__xludf.DUMMYFUNCTION("IFERROR(TEXTJOIN("", "", TRUE, FILTER(Validations!$Q$2:$Q$100, ISNUMBER(SEARCH(Validations!$Q$2:$Q$100, AS142)))), """")"),"")</f>
        <v/>
      </c>
      <c r="AX142" s="28" t="s">
        <v>152</v>
      </c>
      <c r="AY142" s="28" t="str">
        <f>IFERROR(__xludf.DUMMYFUNCTION("TEXTJOIN("", "", TRUE, FILTER(Validations!$Y$2:$Y$100, ISNUMBER(SEARCH(Validations!$X$2:$X$100, AX142))))"),"V, S, R")</f>
        <v>V, S, R</v>
      </c>
      <c r="AZ142" s="20" t="s">
        <v>705</v>
      </c>
      <c r="BA142" s="22"/>
      <c r="BB142" s="22"/>
      <c r="BC142" s="22"/>
      <c r="BD142" s="22"/>
      <c r="BE142" s="27"/>
      <c r="BF142" s="22" t="s">
        <v>706</v>
      </c>
      <c r="BG142" s="26" t="s">
        <v>707</v>
      </c>
      <c r="BH142" s="27"/>
      <c r="BI142" s="12" t="str">
        <f>IFERROR(__xludf.DUMMYFUNCTION("IFERROR(TEXTJOIN("", "", TRUE, FILTER(SRD!$A$2:$A$1000, EXACT(SRD!$A$2:$A$1000, J142))), """")"),"")</f>
        <v/>
      </c>
      <c r="BJ142" s="29"/>
      <c r="BK142" s="29"/>
    </row>
    <row r="143" ht="15.75" customHeight="1">
      <c r="A143" s="55" t="s">
        <v>708</v>
      </c>
      <c r="B143" s="12"/>
      <c r="C143" s="61"/>
      <c r="D143" s="61" t="s">
        <v>709</v>
      </c>
      <c r="E143" s="61"/>
      <c r="F143" s="32" t="s">
        <v>637</v>
      </c>
      <c r="G143" s="57" t="s">
        <v>672</v>
      </c>
      <c r="H143" s="58" t="s">
        <v>178</v>
      </c>
      <c r="I143" s="16" t="str">
        <f t="array" ref="I143">INDEX(Validations!$C$2:$C$100, MATCH(TRUE, ISNUMBER(SEARCH(Validations!$B$2:$B$100, H143)), 0))</f>
        <v>A</v>
      </c>
      <c r="J143" s="36" t="s">
        <v>710</v>
      </c>
      <c r="K143" s="34"/>
      <c r="L143" s="36"/>
      <c r="M143" s="59"/>
      <c r="N143" s="20" t="s">
        <v>711</v>
      </c>
      <c r="O143" s="59"/>
      <c r="P143" s="60"/>
      <c r="Q143" s="60"/>
      <c r="R143" s="22"/>
      <c r="S143" s="17" t="str">
        <f>IFERROR(__xludf.DUMMYFUNCTION("IFERROR(REGEXEXTRACT(J143, ""(\d{1,3}[dD]\d{1,3})""), """")"),"1d6")</f>
        <v>1d6</v>
      </c>
      <c r="T143" s="17" t="str">
        <f>IFERROR(__xludf.DUMMYFUNCTION("IF(COUNTIF(ARRAYFORMULA(LOWER(Validations!$O$2:$O$100)), LOWER(REGEXEXTRACT(J143, ""\d{1,3}[dD]\d{1,3}\s+(\w+)"")))&gt;0, REGEXEXTRACT(J143, ""\d{1,3}[dD]\d{1,3}\s+(\w+)""), """")"),"impact")</f>
        <v>impact</v>
      </c>
      <c r="U143" s="17" t="str">
        <f>IFERROR(__xludf.DUMMYFUNCTION("IF(COUNTIF(ARRAYFORMULA(LOWER(Validations!$P$2:$P$100)), LOWER(REGEXEXTRACT(J143, ""\d{1,3}[dD]\d{1,3}\s+(\w+)"")))&gt;0, REGEXEXTRACT(J143, ""\d{1,3}[dD]\d{1,3}\s+(\w+)""), """")"),"")</f>
        <v/>
      </c>
      <c r="V143" s="12"/>
      <c r="W143" s="12" t="str">
        <f>IFERROR(__xludf.DUMMYFUNCTION("IFERROR(TEXTJOIN("", "", TRUE, FILTER(Validations!$M$2:$M$100, ISNUMBER(SEARCH(Validations!$M$2:$M$100 &amp; "" saving throw"", J143)))), """")"),"")</f>
        <v/>
      </c>
      <c r="X143" s="12"/>
      <c r="Y143" s="12"/>
      <c r="Z143" s="12" t="str">
        <f>IFERROR(__xludf.DUMMYFUNCTION("IFERROR(TEXTJOIN("", "", TRUE, FILTER(Validations!$N$2:$N$100, ISNUMBER(SEARCH(Validations!$N$2:$N$100 &amp; "" check"", J143)))), """")"),"")</f>
        <v/>
      </c>
      <c r="AA143" s="12" t="str">
        <f>IFERROR(__xludf.DUMMYFUNCTION("IFERROR(TEXTJOIN("", "", TRUE, FILTER(Validations!$N$2:$N$100, ISNUMBER(SEARCH(Validations!$N$2:$N$100 &amp; "" check"", W143)))), """")"),"")</f>
        <v/>
      </c>
      <c r="AB143" s="23" t="str">
        <f>IFERROR(__xludf.DUMMYFUNCTION("IFERROR(CONCATENATE(IF(ISNUMBER(SEARCH(Validations!$M$2:$M$100 &amp; "" spell save"", J143)),""Spell Save"",""""), REGEXEXTRACT(J143, ""DC (\d+)"")), """")"),"")</f>
        <v/>
      </c>
      <c r="AC143" s="24" t="b">
        <v>0</v>
      </c>
      <c r="AD143" s="24" t="b">
        <v>0</v>
      </c>
      <c r="AE143" s="36" t="s">
        <v>208</v>
      </c>
      <c r="AF143" s="25">
        <f>IFERROR(__xludf.DUMMYFUNCTION("IFERROR(VALUE(REGEXEXTRACT(AE143, ""\d+"")), 1)"),1.0)</f>
        <v>1</v>
      </c>
      <c r="AG143" s="12" t="str">
        <f>IFERROR(__xludf.DUMMYFUNCTION("IF(
  ISNUMBER(SEARCH(""Bonus Action"", AE143)),
  ""Bonus Action"",
  IF(
    ISNUMBER(SEARCH(""Reaction"", AE143)),
    ""Reaction"",
    IF(
      ISNUMBER(SEARCH(""Action"", AE143)),
      ""Action"",
      TEXTJOIN("", "", TRUE, FILTER(Validations!$S"&amp;"$2:$S$100, ISNUMBER(SEARCH(Validations!$S$2:$S$100, AE143))))
    )
  )
)"),"Reaction")</f>
        <v>Reaction</v>
      </c>
      <c r="AH143" s="36"/>
      <c r="AI143" s="20" t="s">
        <v>87</v>
      </c>
      <c r="AJ143" s="26" t="str">
        <f>IFERROR(__xludf.DUMMYFUNCTION("TEXTJOIN("", "", TRUE, FILTER(Validations!$T$2:$T$100, ISNUMBER(SEARCH(Validations!$T$2:$T$100, AI143))))"),"")</f>
        <v/>
      </c>
      <c r="AK143" s="26">
        <f>IFERROR(__xludf.DUMMYFUNCTION("IFERROR(VALUE(REGEXEXTRACT(AI143, ""\d+"")), """")"),1.0)</f>
        <v>1</v>
      </c>
      <c r="AL143" s="26" t="str">
        <f>IFERROR(__xludf.DUMMYFUNCTION("TEXTJOIN("", "", TRUE, FILTER(Validations!$U$2:$U$100, ISNUMBER(SEARCH(Validations!$U$2:$U$100, AI143))))"),"Rounds")</f>
        <v>Rounds</v>
      </c>
      <c r="AM143" s="24" t="b">
        <f t="shared" si="1"/>
        <v>0</v>
      </c>
      <c r="AN143" s="41" t="b">
        <v>0</v>
      </c>
      <c r="AO143" s="36" t="s">
        <v>78</v>
      </c>
      <c r="AP143" s="12" t="str">
        <f>IFERROR(__xludf.DUMMYFUNCTION("IF(TEXTJOIN("", "", TRUE, FILTER(Validations!$Q$2:$Q$100, ISNUMBER(SEARCH(Validations!$Q$2:$Q$100, AO143)))) = """", Validations!$Q$2, TEXTJOIN("", "", TRUE, FILTER(Validations!$Q$2:$Q$100, ISNUMBER(SEARCH(Validations!$Q$2:$Q$100, AO143)))))"),"Point")</f>
        <v>Point</v>
      </c>
      <c r="AQ143" s="12" t="str">
        <f>IFERROR(__xludf.DUMMYFUNCTION("IFERROR(VALUE(REGEXEXTRACT(AO143, ""\d+"")), """")"),"")</f>
        <v/>
      </c>
      <c r="AR143" s="12" t="str">
        <f>IFERROR(__xludf.DUMMYFUNCTION("TEXTJOIN("", "", TRUE, FILTER(Validations!$R$2:$R$100, ISNUMBER(SEARCH(Validations!$R$2:$R$100, AO143))))"),"Self")</f>
        <v>Self</v>
      </c>
      <c r="AS143" s="27"/>
      <c r="AT143" s="12" t="str">
        <f>IFERROR(__xludf.DUMMYFUNCTION("IFERROR(TEXTJOIN("", "", TRUE, FILTER(Validations!$I$2:$I$100, ISNUMBER(SEARCH(Validations!$I$2:$I$100, AS143)))), """")"),"")</f>
        <v/>
      </c>
      <c r="AU143" s="16" t="str">
        <f t="array" ref="AU143">IFERROR(INDEX(Validations!$J$2:$J$100, MATCH(TRUE, ISNUMBER(SEARCH(Validations!$I$2:$I$100, AT143)), 0)), "")</f>
        <v/>
      </c>
      <c r="AV143" s="12" t="str">
        <f>IFERROR(__xludf.DUMMYFUNCTION("IFERROR(VALUE(REGEXEXTRACT(AS143, ""\d+"")), """")"),"")</f>
        <v/>
      </c>
      <c r="AW143" s="12" t="str">
        <f>IFERROR(__xludf.DUMMYFUNCTION("IFERROR(TEXTJOIN("", "", TRUE, FILTER(Validations!$Q$2:$Q$100, ISNUMBER(SEARCH(Validations!$Q$2:$Q$100, AS143)))), """")"),"")</f>
        <v/>
      </c>
      <c r="AX143" s="28" t="s">
        <v>142</v>
      </c>
      <c r="AY143" s="28" t="str">
        <f>IFERROR(__xludf.DUMMYFUNCTION("TEXTJOIN("", "", TRUE, FILTER(Validations!$Y$2:$Y$100, ISNUMBER(SEARCH(Validations!$X$2:$X$100, AX143))))"),"V, S")</f>
        <v>V, S</v>
      </c>
      <c r="AZ143" s="26"/>
      <c r="BA143" s="59"/>
      <c r="BB143" s="22"/>
      <c r="BC143" s="22"/>
      <c r="BD143" s="22"/>
      <c r="BE143" s="27"/>
      <c r="BF143" s="22"/>
      <c r="BG143" s="27"/>
      <c r="BH143" s="27"/>
      <c r="BI143" s="12" t="str">
        <f>IFERROR(__xludf.DUMMYFUNCTION("IFERROR(TEXTJOIN("", "", TRUE, FILTER(SRD!$A$2:$A$1000, EXACT(SRD!$A$2:$A$1000, J143))), """")"),"")</f>
        <v/>
      </c>
      <c r="BJ143" s="29"/>
      <c r="BK143" s="29"/>
    </row>
    <row r="144" ht="15.75" customHeight="1">
      <c r="A144" s="30" t="s">
        <v>712</v>
      </c>
      <c r="B144" s="22"/>
      <c r="C144" s="16"/>
      <c r="D144" s="16" t="s">
        <v>713</v>
      </c>
      <c r="E144" s="16"/>
      <c r="F144" s="40" t="s">
        <v>139</v>
      </c>
      <c r="G144" s="50" t="s">
        <v>672</v>
      </c>
      <c r="H144" s="31" t="s">
        <v>140</v>
      </c>
      <c r="I144" s="16" t="str">
        <f t="array" ref="I144">INDEX(Validations!$C$2:$C$100, MATCH(TRUE, ISNUMBER(SEARCH(Validations!$B$2:$B$100, H144)), 0))</f>
        <v>N</v>
      </c>
      <c r="J144" s="17" t="s">
        <v>714</v>
      </c>
      <c r="K144" s="18"/>
      <c r="L144" s="17"/>
      <c r="M144" s="17"/>
      <c r="N144" s="27"/>
      <c r="O144" s="17"/>
      <c r="P144" s="21"/>
      <c r="Q144" s="21"/>
      <c r="R144" s="22"/>
      <c r="S144" s="17" t="str">
        <f>IFERROR(__xludf.DUMMYFUNCTION("IFERROR(REGEXEXTRACT(J144, ""(\d{1,3}[dD]\d{1,3})""), """")"),"")</f>
        <v/>
      </c>
      <c r="T144" s="17" t="str">
        <f>IFERROR(__xludf.DUMMYFUNCTION("IF(COUNTIF(ARRAYFORMULA(LOWER(Validations!$O$2:$O$100)), LOWER(REGEXEXTRACT(J144, ""\d{1,3}[dD]\d{1,3}\s+(\w+)"")))&gt;0, REGEXEXTRACT(J144, ""\d{1,3}[dD]\d{1,3}\s+(\w+)""), """")"),"")</f>
        <v/>
      </c>
      <c r="U144" s="17" t="str">
        <f>IFERROR(__xludf.DUMMYFUNCTION("IF(COUNTIF(ARRAYFORMULA(LOWER(Validations!$P$2:$P$100)), LOWER(REGEXEXTRACT(J144, ""\d{1,3}[dD]\d{1,3}\s+(\w+)"")))&gt;0, REGEXEXTRACT(J144, ""\d{1,3}[dD]\d{1,3}\s+(\w+)""), """")"),"")</f>
        <v/>
      </c>
      <c r="V144" s="12" t="str">
        <f>IFERROR(__xludf.DUMMYFUNCTION("TEXTJOIN("", "", TRUE, FILTER(Validations!$L$2:$L$100, ISNUMBER(SEARCH(Validations!$L$2:$L$100, J144))))"),"Compelled, Paranoid, Charmed, Aroused, Frightened, Stunned")</f>
        <v>Compelled, Paranoid, Charmed, Aroused, Frightened, Stunned</v>
      </c>
      <c r="W144" s="12" t="str">
        <f>IFERROR(__xludf.DUMMYFUNCTION("IFERROR(TEXTJOIN("", "", TRUE, FILTER(Validations!$M$2:$M$100, ISNUMBER(SEARCH(Validations!$M$2:$M$100 &amp; "" saving throw"", J144)))), """")"),"")</f>
        <v/>
      </c>
      <c r="X144" s="12"/>
      <c r="Y144" s="12"/>
      <c r="Z144" s="12" t="str">
        <f>IFERROR(__xludf.DUMMYFUNCTION("IFERROR(TEXTJOIN("", "", TRUE, FILTER(Validations!$N$2:$N$100, ISNUMBER(SEARCH(Validations!$N$2:$N$100 &amp; "" check"", J144)))), """")"),"")</f>
        <v/>
      </c>
      <c r="AA144" s="12" t="str">
        <f>IFERROR(__xludf.DUMMYFUNCTION("IFERROR(TEXTJOIN("", "", TRUE, FILTER(Validations!$N$2:$N$100, ISNUMBER(SEARCH(Validations!$N$2:$N$100 &amp; "" check"", W144)))), """")"),"")</f>
        <v/>
      </c>
      <c r="AB144" s="23" t="str">
        <f>IFERROR(__xludf.DUMMYFUNCTION("IFERROR(CONCATENATE(IF(ISNUMBER(SEARCH(Validations!$M$2:$M$100 &amp; "" spell save"", J144)),""Spell Save"",""""), REGEXEXTRACT(J144, ""DC (\d+)"")), """")"),"")</f>
        <v/>
      </c>
      <c r="AC144" s="24" t="b">
        <v>0</v>
      </c>
      <c r="AD144" s="24" t="b">
        <v>0</v>
      </c>
      <c r="AE144" s="36" t="s">
        <v>69</v>
      </c>
      <c r="AF144" s="25">
        <f>IFERROR(__xludf.DUMMYFUNCTION("IFERROR(VALUE(REGEXEXTRACT(AE144, ""\d+"")), 1)"),1.0)</f>
        <v>1</v>
      </c>
      <c r="AG144" s="12" t="str">
        <f>IFERROR(__xludf.DUMMYFUNCTION("IF(
  ISNUMBER(SEARCH(""Bonus Action"", AE144)),
  ""Bonus Action"",
  IF(
    ISNUMBER(SEARCH(""Reaction"", AE144)),
    ""Reaction"",
    IF(
      ISNUMBER(SEARCH(""Action"", AE144)),
      ""Action"",
      TEXTJOIN("", "", TRUE, FILTER(Validations!$S"&amp;"$2:$S$100, ISNUMBER(SEARCH(Validations!$S$2:$S$100, AE144))))
    )
  )
)"),"Action")</f>
        <v>Action</v>
      </c>
      <c r="AH144" s="36"/>
      <c r="AI144" s="27" t="s">
        <v>70</v>
      </c>
      <c r="AJ144" s="26" t="str">
        <f>IFERROR(__xludf.DUMMYFUNCTION("TEXTJOIN("", "", TRUE, FILTER(Validations!$T$2:$T$100, ISNUMBER(SEARCH(Validations!$T$2:$T$100, AI144))))"),"Instantaneous")</f>
        <v>Instantaneous</v>
      </c>
      <c r="AK144" s="26" t="str">
        <f>IFERROR(__xludf.DUMMYFUNCTION("IFERROR(VALUE(REGEXEXTRACT(AI144, ""\d+"")), """")"),"")</f>
        <v/>
      </c>
      <c r="AL144" s="26" t="str">
        <f>IFERROR(__xludf.DUMMYFUNCTION("TEXTJOIN("", "", TRUE, FILTER(Validations!$U$2:$U$100, ISNUMBER(SEARCH(Validations!$U$2:$U$100, AI144))))"),"")</f>
        <v/>
      </c>
      <c r="AM144" s="24" t="b">
        <f t="shared" si="1"/>
        <v>0</v>
      </c>
      <c r="AN144" s="24" t="b">
        <v>0</v>
      </c>
      <c r="AO144" s="22" t="s">
        <v>71</v>
      </c>
      <c r="AP144" s="12" t="str">
        <f>IFERROR(__xludf.DUMMYFUNCTION("IF(TEXTJOIN("", "", TRUE, FILTER(Validations!$Q$2:$Q$100, ISNUMBER(SEARCH(Validations!$Q$2:$Q$100, AO144)))) = """", Validations!$Q$2, TEXTJOIN("", "", TRUE, FILTER(Validations!$Q$2:$Q$100, ISNUMBER(SEARCH(Validations!$Q$2:$Q$100, AO144)))))"),"Point")</f>
        <v>Point</v>
      </c>
      <c r="AQ144" s="12" t="str">
        <f>IFERROR(__xludf.DUMMYFUNCTION("IFERROR(VALUE(REGEXEXTRACT(AO144, ""\d+"")), """")"),"")</f>
        <v/>
      </c>
      <c r="AR144" s="12" t="str">
        <f>IFERROR(__xludf.DUMMYFUNCTION("TEXTJOIN("", "", TRUE, FILTER(Validations!$R$2:$R$100, ISNUMBER(SEARCH(Validations!$R$2:$R$100, AO144))))"),"Touch")</f>
        <v>Touch</v>
      </c>
      <c r="AS144" s="27"/>
      <c r="AT144" s="12" t="str">
        <f>IFERROR(__xludf.DUMMYFUNCTION("IFERROR(TEXTJOIN("", "", TRUE, FILTER(Validations!$I$2:$I$100, ISNUMBER(SEARCH(Validations!$I$2:$I$100, AS144)))), """")"),"")</f>
        <v/>
      </c>
      <c r="AU144" s="16" t="str">
        <f t="array" ref="AU144">IFERROR(INDEX(Validations!$J$2:$J$100, MATCH(TRUE, ISNUMBER(SEARCH(Validations!$I$2:$I$100, AT144)), 0)), "")</f>
        <v/>
      </c>
      <c r="AV144" s="12" t="str">
        <f>IFERROR(__xludf.DUMMYFUNCTION("IFERROR(VALUE(REGEXEXTRACT(AS144, ""\d+"")), """")"),"")</f>
        <v/>
      </c>
      <c r="AW144" s="12" t="str">
        <f>IFERROR(__xludf.DUMMYFUNCTION("IFERROR(TEXTJOIN("", "", TRUE, FILTER(Validations!$Q$2:$Q$100, ISNUMBER(SEARCH(Validations!$Q$2:$Q$100, AS144)))), """")"),"")</f>
        <v/>
      </c>
      <c r="AX144" s="28" t="s">
        <v>152</v>
      </c>
      <c r="AY144" s="28" t="str">
        <f>IFERROR(__xludf.DUMMYFUNCTION("TEXTJOIN("", "", TRUE, FILTER(Validations!$Y$2:$Y$100, ISNUMBER(SEARCH(Validations!$X$2:$X$100, AX144))))"),"V, S, R")</f>
        <v>V, S, R</v>
      </c>
      <c r="AZ144" s="20" t="s">
        <v>715</v>
      </c>
      <c r="BA144" s="22"/>
      <c r="BB144" s="22"/>
      <c r="BC144" s="22"/>
      <c r="BD144" s="22"/>
      <c r="BE144" s="27"/>
      <c r="BF144" s="22"/>
      <c r="BG144" s="27"/>
      <c r="BH144" s="27"/>
      <c r="BI144" s="12" t="str">
        <f>IFERROR(__xludf.DUMMYFUNCTION("IFERROR(TEXTJOIN("", "", TRUE, FILTER(SRD!$A$2:$A$1000, EXACT(SRD!$A$2:$A$1000, J144))), """")"),"")</f>
        <v/>
      </c>
      <c r="BJ144" s="29"/>
      <c r="BK144" s="29"/>
    </row>
    <row r="145" ht="15.75" customHeight="1">
      <c r="A145" s="11" t="s">
        <v>716</v>
      </c>
      <c r="B145" s="12"/>
      <c r="C145" s="13"/>
      <c r="D145" s="13" t="s">
        <v>478</v>
      </c>
      <c r="E145" s="13"/>
      <c r="F145" s="14" t="s">
        <v>717</v>
      </c>
      <c r="G145" s="50" t="s">
        <v>672</v>
      </c>
      <c r="H145" s="16" t="s">
        <v>144</v>
      </c>
      <c r="I145" s="16" t="str">
        <f t="array" ref="I145">INDEX(Validations!$C$2:$C$100, MATCH(TRUE, ISNUMBER(SEARCH(Validations!$B$2:$B$100, H145)), 0))</f>
        <v>D</v>
      </c>
      <c r="J145" s="17" t="s">
        <v>718</v>
      </c>
      <c r="K145" s="18"/>
      <c r="L145" s="17"/>
      <c r="M145" s="37"/>
      <c r="N145" s="20" t="s">
        <v>719</v>
      </c>
      <c r="O145" s="17" t="s">
        <v>720</v>
      </c>
      <c r="P145" s="21"/>
      <c r="Q145" s="21"/>
      <c r="R145" s="22"/>
      <c r="S145" s="17" t="str">
        <f>IFERROR(__xludf.DUMMYFUNCTION("IFERROR(REGEXEXTRACT(J145, ""(\d{1,3}[dD]\d{1,3})""), """")"),"")</f>
        <v/>
      </c>
      <c r="T145" s="17" t="str">
        <f>IFERROR(__xludf.DUMMYFUNCTION("IF(COUNTIF(ARRAYFORMULA(LOWER(Validations!$O$2:$O$100)), LOWER(REGEXEXTRACT(J145, ""\d{1,3}[dD]\d{1,3}\s+(\w+)"")))&gt;0, REGEXEXTRACT(J145, ""\d{1,3}[dD]\d{1,3}\s+(\w+)""), """")"),"")</f>
        <v/>
      </c>
      <c r="U145" s="17" t="str">
        <f>IFERROR(__xludf.DUMMYFUNCTION("IF(COUNTIF(ARRAYFORMULA(LOWER(Validations!$P$2:$P$100)), LOWER(REGEXEXTRACT(J145, ""\d{1,3}[dD]\d{1,3}\s+(\w+)"")))&gt;0, REGEXEXTRACT(J145, ""\d{1,3}[dD]\d{1,3}\s+(\w+)""), """")"),"")</f>
        <v/>
      </c>
      <c r="V145" s="12" t="str">
        <f>IFERROR(__xludf.DUMMYFUNCTION("TEXTJOIN("", "", TRUE, FILTER(Validations!$L$2:$L$100, ISNUMBER(SEARCH(Validations!$L$2:$L$100, J145))))"),"")</f>
        <v/>
      </c>
      <c r="W145" s="12" t="str">
        <f>IFERROR(__xludf.DUMMYFUNCTION("IFERROR(TEXTJOIN("", "", TRUE, FILTER(Validations!$M$2:$M$100, ISNUMBER(SEARCH(Validations!$M$2:$M$100 &amp; "" saving throw"", J145)))), """")"),"")</f>
        <v/>
      </c>
      <c r="X145" s="12"/>
      <c r="Y145" s="12"/>
      <c r="Z145" s="12" t="str">
        <f>IFERROR(__xludf.DUMMYFUNCTION("IFERROR(TEXTJOIN("", "", TRUE, FILTER(Validations!$N$2:$N$100, ISNUMBER(SEARCH(Validations!$N$2:$N$100 &amp; "" check"", J145)))), """")"),"")</f>
        <v/>
      </c>
      <c r="AA145" s="12" t="str">
        <f>IFERROR(__xludf.DUMMYFUNCTION("IFERROR(TEXTJOIN("", "", TRUE, FILTER(Validations!$N$2:$N$100, ISNUMBER(SEARCH(Validations!$N$2:$N$100 &amp; "" check"", W145)))), """")"),"")</f>
        <v/>
      </c>
      <c r="AB145" s="23" t="str">
        <f>IFERROR(__xludf.DUMMYFUNCTION("IFERROR(CONCATENATE(IF(ISNUMBER(SEARCH(Validations!$M$2:$M$100 &amp; "" spell save"", J145)),""Spell Save"",""""), REGEXEXTRACT(J145, ""DC (\d+)"")), """")"),"")</f>
        <v/>
      </c>
      <c r="AC145" s="24" t="b">
        <v>0</v>
      </c>
      <c r="AD145" s="24" t="b">
        <v>0</v>
      </c>
      <c r="AE145" s="12" t="s">
        <v>69</v>
      </c>
      <c r="AF145" s="25">
        <f>IFERROR(__xludf.DUMMYFUNCTION("IFERROR(VALUE(REGEXEXTRACT(AE145, ""\d+"")), 1)"),1.0)</f>
        <v>1</v>
      </c>
      <c r="AG145" s="12" t="str">
        <f>IFERROR(__xludf.DUMMYFUNCTION("IF(
  ISNUMBER(SEARCH(""Bonus Action"", AE145)),
  ""Bonus Action"",
  IF(
    ISNUMBER(SEARCH(""Reaction"", AE145)),
    ""Reaction"",
    IF(
      ISNUMBER(SEARCH(""Action"", AE145)),
      ""Action"",
      TEXTJOIN("", "", TRUE, FILTER(Validations!$S"&amp;"$2:$S$100, ISNUMBER(SEARCH(Validations!$S$2:$S$100, AE145))))
    )
  )
)"),"Action")</f>
        <v>Action</v>
      </c>
      <c r="AH145" s="12"/>
      <c r="AI145" s="26" t="s">
        <v>70</v>
      </c>
      <c r="AJ145" s="26" t="str">
        <f>IFERROR(__xludf.DUMMYFUNCTION("TEXTJOIN("", "", TRUE, FILTER(Validations!$T$2:$T$100, ISNUMBER(SEARCH(Validations!$T$2:$T$100, AI145))))"),"Instantaneous")</f>
        <v>Instantaneous</v>
      </c>
      <c r="AK145" s="26" t="str">
        <f>IFERROR(__xludf.DUMMYFUNCTION("IFERROR(VALUE(REGEXEXTRACT(AI145, ""\d+"")), """")"),"")</f>
        <v/>
      </c>
      <c r="AL145" s="26" t="str">
        <f>IFERROR(__xludf.DUMMYFUNCTION("TEXTJOIN("", "", TRUE, FILTER(Validations!$U$2:$U$100, ISNUMBER(SEARCH(Validations!$U$2:$U$100, AI145))))"),"")</f>
        <v/>
      </c>
      <c r="AM145" s="24" t="b">
        <f t="shared" si="1"/>
        <v>0</v>
      </c>
      <c r="AN145" s="24" t="b">
        <v>0</v>
      </c>
      <c r="AO145" s="12" t="s">
        <v>71</v>
      </c>
      <c r="AP145" s="12" t="str">
        <f>IFERROR(__xludf.DUMMYFUNCTION("IF(TEXTJOIN("", "", TRUE, FILTER(Validations!$Q$2:$Q$100, ISNUMBER(SEARCH(Validations!$Q$2:$Q$100, AO145)))) = """", Validations!$Q$2, TEXTJOIN("", "", TRUE, FILTER(Validations!$Q$2:$Q$100, ISNUMBER(SEARCH(Validations!$Q$2:$Q$100, AO145)))))"),"Point")</f>
        <v>Point</v>
      </c>
      <c r="AQ145" s="12" t="str">
        <f>IFERROR(__xludf.DUMMYFUNCTION("IFERROR(VALUE(REGEXEXTRACT(AO145, ""\d+"")), """")"),"")</f>
        <v/>
      </c>
      <c r="AR145" s="12" t="str">
        <f>IFERROR(__xludf.DUMMYFUNCTION("TEXTJOIN("", "", TRUE, FILTER(Validations!$R$2:$R$100, ISNUMBER(SEARCH(Validations!$R$2:$R$100, AO145))))"),"Touch")</f>
        <v>Touch</v>
      </c>
      <c r="AS145" s="27"/>
      <c r="AT145" s="12" t="str">
        <f>IFERROR(__xludf.DUMMYFUNCTION("IFERROR(TEXTJOIN("", "", TRUE, FILTER(Validations!$I$2:$I$100, ISNUMBER(SEARCH(Validations!$I$2:$I$100, AS145)))), """")"),"")</f>
        <v/>
      </c>
      <c r="AU145" s="16" t="str">
        <f t="array" ref="AU145">IFERROR(INDEX(Validations!$J$2:$J$100, MATCH(TRUE, ISNUMBER(SEARCH(Validations!$I$2:$I$100, AT145)), 0)), "")</f>
        <v/>
      </c>
      <c r="AV145" s="12" t="str">
        <f>IFERROR(__xludf.DUMMYFUNCTION("IFERROR(VALUE(REGEXEXTRACT(AS145, ""\d+"")), """")"),"")</f>
        <v/>
      </c>
      <c r="AW145" s="12" t="str">
        <f>IFERROR(__xludf.DUMMYFUNCTION("IFERROR(TEXTJOIN("", "", TRUE, FILTER(Validations!$Q$2:$Q$100, ISNUMBER(SEARCH(Validations!$Q$2:$Q$100, AS145)))), """")"),"")</f>
        <v/>
      </c>
      <c r="AX145" s="28" t="s">
        <v>72</v>
      </c>
      <c r="AY145" s="28" t="str">
        <f>IFERROR(__xludf.DUMMYFUNCTION("TEXTJOIN("", "", TRUE, FILTER(Validations!$Y$2:$Y$100, ISNUMBER(SEARCH(Validations!$X$2:$X$100, AX145))))"),"V, S")</f>
        <v>V, S</v>
      </c>
      <c r="AZ145" s="26"/>
      <c r="BA145" s="12"/>
      <c r="BB145" s="22"/>
      <c r="BC145" s="22"/>
      <c r="BD145" s="22"/>
      <c r="BE145" s="27"/>
      <c r="BF145" s="22"/>
      <c r="BG145" s="27"/>
      <c r="BH145" s="27"/>
      <c r="BI145" s="12" t="str">
        <f>IFERROR(__xludf.DUMMYFUNCTION("IFERROR(TEXTJOIN("", "", TRUE, FILTER(SRD!$A$2:$A$1000, EXACT(SRD!$A$2:$A$1000, J145))), """")"),"")</f>
        <v/>
      </c>
      <c r="BJ145" s="29"/>
      <c r="BK145" s="29"/>
    </row>
    <row r="146" ht="15.75" customHeight="1">
      <c r="A146" s="11" t="s">
        <v>721</v>
      </c>
      <c r="B146" s="12"/>
      <c r="C146" s="13"/>
      <c r="D146" s="13" t="s">
        <v>62</v>
      </c>
      <c r="E146" s="13"/>
      <c r="F146" s="14" t="s">
        <v>97</v>
      </c>
      <c r="G146" s="50" t="s">
        <v>672</v>
      </c>
      <c r="H146" s="31" t="s">
        <v>85</v>
      </c>
      <c r="I146" s="16" t="str">
        <f t="array" ref="I146">INDEX(Validations!$C$2:$C$100, MATCH(TRUE, ISNUMBER(SEARCH(Validations!$B$2:$B$100, H146)), 0))</f>
        <v>T</v>
      </c>
      <c r="J146" s="17" t="s">
        <v>722</v>
      </c>
      <c r="K146" s="18"/>
      <c r="L146" s="17"/>
      <c r="M146" s="37"/>
      <c r="N146" s="20" t="s">
        <v>723</v>
      </c>
      <c r="O146" s="17" t="s">
        <v>724</v>
      </c>
      <c r="P146" s="21"/>
      <c r="Q146" s="21"/>
      <c r="R146" s="22"/>
      <c r="S146" s="17" t="str">
        <f>IFERROR(__xludf.DUMMYFUNCTION("IFERROR(REGEXEXTRACT(J146, ""(\d{1,3}[dD]\d{1,3})""), """")"),"")</f>
        <v/>
      </c>
      <c r="T146" s="17" t="str">
        <f>IFERROR(__xludf.DUMMYFUNCTION("IF(COUNTIF(ARRAYFORMULA(LOWER(Validations!$O$2:$O$100)), LOWER(REGEXEXTRACT(J146, ""\d{1,3}[dD]\d{1,3}\s+(\w+)"")))&gt;0, REGEXEXTRACT(J146, ""\d{1,3}[dD]\d{1,3}\s+(\w+)""), """")"),"")</f>
        <v/>
      </c>
      <c r="U146" s="17" t="str">
        <f>IFERROR(__xludf.DUMMYFUNCTION("IF(COUNTIF(ARRAYFORMULA(LOWER(Validations!$P$2:$P$100)), LOWER(REGEXEXTRACT(J146, ""\d{1,3}[dD]\d{1,3}\s+(\w+)"")))&gt;0, REGEXEXTRACT(J146, ""\d{1,3}[dD]\d{1,3}\s+(\w+)""), """")"),"")</f>
        <v/>
      </c>
      <c r="V146" s="12" t="str">
        <f>IFERROR(__xludf.DUMMYFUNCTION("TEXTJOIN("", "", TRUE, FILTER(Validations!$L$2:$L$100, ISNUMBER(SEARCH(Validations!$L$2:$L$100, J146))))"),"")</f>
        <v/>
      </c>
      <c r="W146" s="12" t="str">
        <f>IFERROR(__xludf.DUMMYFUNCTION("IFERROR(TEXTJOIN("", "", TRUE, FILTER(Validations!$M$2:$M$100, ISNUMBER(SEARCH(Validations!$M$2:$M$100 &amp; "" saving throw"", J146)))), """")"),"")</f>
        <v/>
      </c>
      <c r="X146" s="12"/>
      <c r="Y146" s="12"/>
      <c r="Z146" s="12" t="str">
        <f>IFERROR(__xludf.DUMMYFUNCTION("IFERROR(TEXTJOIN("", "", TRUE, FILTER(Validations!$N$2:$N$100, ISNUMBER(SEARCH(Validations!$N$2:$N$100 &amp; "" check"", J146)))), """")"),"")</f>
        <v/>
      </c>
      <c r="AA146" s="12" t="str">
        <f>IFERROR(__xludf.DUMMYFUNCTION("IFERROR(TEXTJOIN("", "", TRUE, FILTER(Validations!$N$2:$N$100, ISNUMBER(SEARCH(Validations!$N$2:$N$100 &amp; "" check"", W146)))), """")"),"")</f>
        <v/>
      </c>
      <c r="AB146" s="23" t="str">
        <f>IFERROR(__xludf.DUMMYFUNCTION("IFERROR(CONCATENATE(IF(ISNUMBER(SEARCH(Validations!$M$2:$M$100 &amp; "" spell save"", J146)),""Spell Save"",""""), REGEXEXTRACT(J146, ""DC (\d+)"")), """")"),"")</f>
        <v/>
      </c>
      <c r="AC146" s="24" t="b">
        <v>0</v>
      </c>
      <c r="AD146" s="24" t="b">
        <v>0</v>
      </c>
      <c r="AE146" s="12" t="s">
        <v>69</v>
      </c>
      <c r="AF146" s="25">
        <f>IFERROR(__xludf.DUMMYFUNCTION("IFERROR(VALUE(REGEXEXTRACT(AE146, ""\d+"")), 1)"),1.0)</f>
        <v>1</v>
      </c>
      <c r="AG146" s="12" t="str">
        <f>IFERROR(__xludf.DUMMYFUNCTION("IF(
  ISNUMBER(SEARCH(""Bonus Action"", AE146)),
  ""Bonus Action"",
  IF(
    ISNUMBER(SEARCH(""Reaction"", AE146)),
    ""Reaction"",
    IF(
      ISNUMBER(SEARCH(""Action"", AE146)),
      ""Action"",
      TEXTJOIN("", "", TRUE, FILTER(Validations!$S"&amp;"$2:$S$100, ISNUMBER(SEARCH(Validations!$S$2:$S$100, AE146))))
    )
  )
)"),"Action")</f>
        <v>Action</v>
      </c>
      <c r="AH146" s="12"/>
      <c r="AI146" s="26" t="s">
        <v>70</v>
      </c>
      <c r="AJ146" s="26" t="str">
        <f>IFERROR(__xludf.DUMMYFUNCTION("TEXTJOIN("", "", TRUE, FILTER(Validations!$T$2:$T$100, ISNUMBER(SEARCH(Validations!$T$2:$T$100, AI146))))"),"Instantaneous")</f>
        <v>Instantaneous</v>
      </c>
      <c r="AK146" s="26" t="str">
        <f>IFERROR(__xludf.DUMMYFUNCTION("IFERROR(VALUE(REGEXEXTRACT(AI146, ""\d+"")), """")"),"")</f>
        <v/>
      </c>
      <c r="AL146" s="26" t="str">
        <f>IFERROR(__xludf.DUMMYFUNCTION("TEXTJOIN("", "", TRUE, FILTER(Validations!$U$2:$U$100, ISNUMBER(SEARCH(Validations!$U$2:$U$100, AI146))))"),"")</f>
        <v/>
      </c>
      <c r="AM146" s="24" t="b">
        <f t="shared" si="1"/>
        <v>0</v>
      </c>
      <c r="AN146" s="24" t="b">
        <v>0</v>
      </c>
      <c r="AO146" s="36" t="s">
        <v>725</v>
      </c>
      <c r="AP146" s="12" t="str">
        <f>IFERROR(__xludf.DUMMYFUNCTION("IF(TEXTJOIN("", "", TRUE, FILTER(Validations!$Q$2:$Q$100, ISNUMBER(SEARCH(Validations!$Q$2:$Q$100, AO146)))) = """", Validations!$Q$2, TEXTJOIN("", "", TRUE, FILTER(Validations!$Q$2:$Q$100, ISNUMBER(SEARCH(Validations!$Q$2:$Q$100, AO146)))))"),"Point")</f>
        <v>Point</v>
      </c>
      <c r="AQ146" s="12">
        <f>IFERROR(__xludf.DUMMYFUNCTION("IFERROR(VALUE(REGEXEXTRACT(AO146, ""\d+"")), """")"),500.0)</f>
        <v>500</v>
      </c>
      <c r="AR146" s="12" t="str">
        <f>IFERROR(__xludf.DUMMYFUNCTION("TEXTJOIN("", "", TRUE, FILTER(Validations!$R$2:$R$100, ISNUMBER(SEARCH(Validations!$R$2:$R$100, AO146))))"),"Feet")</f>
        <v>Feet</v>
      </c>
      <c r="AS146" s="27"/>
      <c r="AT146" s="12" t="str">
        <f>IFERROR(__xludf.DUMMYFUNCTION("IFERROR(TEXTJOIN("", "", TRUE, FILTER(Validations!$I$2:$I$100, ISNUMBER(SEARCH(Validations!$I$2:$I$100, AS146)))), """")"),"")</f>
        <v/>
      </c>
      <c r="AU146" s="16" t="str">
        <f t="array" ref="AU146">IFERROR(INDEX(Validations!$J$2:$J$100, MATCH(TRUE, ISNUMBER(SEARCH(Validations!$I$2:$I$100, AT146)), 0)), "")</f>
        <v/>
      </c>
      <c r="AV146" s="12" t="str">
        <f>IFERROR(__xludf.DUMMYFUNCTION("IFERROR(VALUE(REGEXEXTRACT(AS146, ""\d+"")), """")"),"")</f>
        <v/>
      </c>
      <c r="AW146" s="12" t="str">
        <f>IFERROR(__xludf.DUMMYFUNCTION("IFERROR(TEXTJOIN("", "", TRUE, FILTER(Validations!$Q$2:$Q$100, ISNUMBER(SEARCH(Validations!$Q$2:$Q$100, AS146)))), """")"),"")</f>
        <v/>
      </c>
      <c r="AX146" s="28" t="s">
        <v>106</v>
      </c>
      <c r="AY146" s="28" t="str">
        <f>IFERROR(__xludf.DUMMYFUNCTION("TEXTJOIN("", "", TRUE, FILTER(Validations!$Y$2:$Y$100, ISNUMBER(SEARCH(Validations!$X$2:$X$100, AX146))))"),"S")</f>
        <v>S</v>
      </c>
      <c r="AZ146" s="26"/>
      <c r="BA146" s="12"/>
      <c r="BB146" s="22"/>
      <c r="BC146" s="22"/>
      <c r="BD146" s="22"/>
      <c r="BE146" s="27"/>
      <c r="BF146" s="22"/>
      <c r="BG146" s="27"/>
      <c r="BH146" s="27"/>
      <c r="BI146" s="12" t="str">
        <f>IFERROR(__xludf.DUMMYFUNCTION("IFERROR(TEXTJOIN("", "", TRUE, FILTER(SRD!$A$2:$A$1000, EXACT(SRD!$A$2:$A$1000, J146))), """")"),"")</f>
        <v/>
      </c>
      <c r="BJ146" s="29"/>
      <c r="BK146" s="29"/>
    </row>
    <row r="147" ht="15.75" customHeight="1">
      <c r="A147" s="38" t="s">
        <v>726</v>
      </c>
      <c r="B147" s="12"/>
      <c r="C147" s="16"/>
      <c r="D147" s="16" t="s">
        <v>727</v>
      </c>
      <c r="E147" s="16"/>
      <c r="F147" s="14" t="s">
        <v>728</v>
      </c>
      <c r="G147" s="15" t="s">
        <v>672</v>
      </c>
      <c r="H147" s="31" t="s">
        <v>140</v>
      </c>
      <c r="I147" s="16" t="str">
        <f t="array" ref="I147">INDEX(Validations!$C$2:$C$100, MATCH(TRUE, ISNUMBER(SEARCH(Validations!$B$2:$B$100, H147)), 0))</f>
        <v>N</v>
      </c>
      <c r="J147" s="17" t="s">
        <v>729</v>
      </c>
      <c r="K147" s="51"/>
      <c r="L147" s="17"/>
      <c r="M147" s="52"/>
      <c r="N147" s="27"/>
      <c r="O147" s="17" t="s">
        <v>730</v>
      </c>
      <c r="P147" s="21"/>
      <c r="Q147" s="21"/>
      <c r="R147" s="36" t="s">
        <v>731</v>
      </c>
      <c r="S147" s="17" t="str">
        <f>IFERROR(__xludf.DUMMYFUNCTION("IFERROR(REGEXEXTRACT(J147, ""(\d{1,3}[dD]\d{1,3})""), """")"),"2d6")</f>
        <v>2d6</v>
      </c>
      <c r="T147" s="17" t="str">
        <f>IFERROR(__xludf.DUMMYFUNCTION("IF(COUNTIF(ARRAYFORMULA(LOWER(Validations!$O$2:$O$100)), LOWER(REGEXEXTRACT(J147, ""\d{1,3}[dD]\d{1,3}\s+(\w+)"")))&gt;0, REGEXEXTRACT(J147, ""\d{1,3}[dD]\d{1,3}\s+(\w+)""), """")"),"chiaric")</f>
        <v>chiaric</v>
      </c>
      <c r="U147" s="17" t="str">
        <f>IFERROR(__xludf.DUMMYFUNCTION("IF(COUNTIF(ARRAYFORMULA(LOWER(Validations!$P$2:$P$100)), LOWER(REGEXEXTRACT(J147, ""\d{1,3}[dD]\d{1,3}\s+(\w+)"")))&gt;0, REGEXEXTRACT(J147, ""\d{1,3}[dD]\d{1,3}\s+(\w+)""), """")"),"")</f>
        <v/>
      </c>
      <c r="V147" s="12" t="str">
        <f>IFERROR(__xludf.DUMMYFUNCTION("TEXTJOIN("", "", TRUE, FILTER(Validations!$L$2:$L$100, ISNUMBER(SEARCH(Validations!$L$2:$L$100, J147))))"),"")</f>
        <v/>
      </c>
      <c r="W147" s="12" t="str">
        <f>IFERROR(__xludf.DUMMYFUNCTION("IFERROR(TEXTJOIN("", "", TRUE, FILTER(Validations!$M$2:$M$100, ISNUMBER(SEARCH(Validations!$M$2:$M$100 &amp; "" saving throw"", J147)))), """")"),"Constitution")</f>
        <v>Constitution</v>
      </c>
      <c r="X147" s="12"/>
      <c r="Y147" s="12"/>
      <c r="Z147" s="12" t="str">
        <f>IFERROR(__xludf.DUMMYFUNCTION("IFERROR(TEXTJOIN("", "", TRUE, FILTER(Validations!$N$2:$N$100, ISNUMBER(SEARCH(Validations!$N$2:$N$100 &amp; "" check"", J147)))), """")"),"")</f>
        <v/>
      </c>
      <c r="AA147" s="12" t="str">
        <f>IFERROR(__xludf.DUMMYFUNCTION("IFERROR(TEXTJOIN("", "", TRUE, FILTER(Validations!$N$2:$N$100, ISNUMBER(SEARCH(Validations!$N$2:$N$100 &amp; "" check"", W147)))), """")"),"")</f>
        <v/>
      </c>
      <c r="AB147" s="23" t="str">
        <f>IFERROR(__xludf.DUMMYFUNCTION("IFERROR(CONCATENATE(IF(ISNUMBER(SEARCH(Validations!$M$2:$M$100 &amp; "" spell save"", J147)),""Spell Save"",""""), REGEXEXTRACT(J147, ""DC (\d+)"")), """")"),"")</f>
        <v/>
      </c>
      <c r="AC147" s="24" t="b">
        <v>0</v>
      </c>
      <c r="AD147" s="24" t="b">
        <v>0</v>
      </c>
      <c r="AE147" s="12" t="s">
        <v>69</v>
      </c>
      <c r="AF147" s="25">
        <f>IFERROR(__xludf.DUMMYFUNCTION("IFERROR(VALUE(REGEXEXTRACT(AE147, ""\d+"")), 1)"),1.0)</f>
        <v>1</v>
      </c>
      <c r="AG147" s="12" t="str">
        <f>IFERROR(__xludf.DUMMYFUNCTION("IF(
  ISNUMBER(SEARCH(""Bonus Action"", AE147)),
  ""Bonus Action"",
  IF(
    ISNUMBER(SEARCH(""Reaction"", AE147)),
    ""Reaction"",
    IF(
      ISNUMBER(SEARCH(""Action"", AE147)),
      ""Action"",
      TEXTJOIN("", "", TRUE, FILTER(Validations!$S"&amp;"$2:$S$100, ISNUMBER(SEARCH(Validations!$S$2:$S$100, AE147))))
    )
  )
)"),"Action")</f>
        <v>Action</v>
      </c>
      <c r="AH147" s="12"/>
      <c r="AI147" s="20" t="s">
        <v>70</v>
      </c>
      <c r="AJ147" s="26" t="str">
        <f>IFERROR(__xludf.DUMMYFUNCTION("TEXTJOIN("", "", TRUE, FILTER(Validations!$T$2:$T$100, ISNUMBER(SEARCH(Validations!$T$2:$T$100, AI147))))"),"Instantaneous")</f>
        <v>Instantaneous</v>
      </c>
      <c r="AK147" s="26" t="str">
        <f>IFERROR(__xludf.DUMMYFUNCTION("IFERROR(VALUE(REGEXEXTRACT(AI147, ""\d+"")), """")"),"")</f>
        <v/>
      </c>
      <c r="AL147" s="26" t="str">
        <f>IFERROR(__xludf.DUMMYFUNCTION("TEXTJOIN("", "", TRUE, FILTER(Validations!$U$2:$U$100, ISNUMBER(SEARCH(Validations!$U$2:$U$100, AI147))))"),"")</f>
        <v/>
      </c>
      <c r="AM147" s="24" t="b">
        <f t="shared" si="1"/>
        <v>0</v>
      </c>
      <c r="AN147" s="24" t="b">
        <v>0</v>
      </c>
      <c r="AO147" s="12" t="s">
        <v>78</v>
      </c>
      <c r="AP147" s="12" t="str">
        <f>IFERROR(__xludf.DUMMYFUNCTION("IF(TEXTJOIN("", "", TRUE, FILTER(Validations!$Q$2:$Q$100, ISNUMBER(SEARCH(Validations!$Q$2:$Q$100, AO147)))) = """", Validations!$Q$2, TEXTJOIN("", "", TRUE, FILTER(Validations!$Q$2:$Q$100, ISNUMBER(SEARCH(Validations!$Q$2:$Q$100, AO147)))))"),"Point")</f>
        <v>Point</v>
      </c>
      <c r="AQ147" s="12" t="str">
        <f>IFERROR(__xludf.DUMMYFUNCTION("IFERROR(VALUE(REGEXEXTRACT(AO147, ""\d+"")), """")"),"")</f>
        <v/>
      </c>
      <c r="AR147" s="12" t="str">
        <f>IFERROR(__xludf.DUMMYFUNCTION("TEXTJOIN("", "", TRUE, FILTER(Validations!$R$2:$R$100, ISNUMBER(SEARCH(Validations!$R$2:$R$100, AO147))))"),"Self")</f>
        <v>Self</v>
      </c>
      <c r="AS147" s="26" t="s">
        <v>732</v>
      </c>
      <c r="AT147" s="12" t="str">
        <f>IFERROR(__xludf.DUMMYFUNCTION("IFERROR(TEXTJOIN("", "", TRUE, FILTER(Validations!$I$2:$I$100, ISNUMBER(SEARCH(Validations!$I$2:$I$100, AS147)))), """")"),"Cone")</f>
        <v>Cone</v>
      </c>
      <c r="AU147" s="16" t="str">
        <f t="array" ref="AU147">IFERROR(INDEX(Validations!$J$2:$J$100, MATCH(TRUE, ISNUMBER(SEARCH(Validations!$I$2:$I$100, AT147)), 0)), "")</f>
        <v>N</v>
      </c>
      <c r="AV147" s="12">
        <f>IFERROR(__xludf.DUMMYFUNCTION("IFERROR(VALUE(REGEXEXTRACT(AS147, ""\d+"")), """")"),20.0)</f>
        <v>20</v>
      </c>
      <c r="AW147" s="12" t="str">
        <f>IFERROR(__xludf.DUMMYFUNCTION("IFERROR(TEXTJOIN("", "", TRUE, FILTER(Validations!$Q$2:$Q$100, ISNUMBER(SEARCH(Validations!$Q$2:$Q$100, AS147)))), """")"),"Cone")</f>
        <v>Cone</v>
      </c>
      <c r="AX147" s="36" t="s">
        <v>106</v>
      </c>
      <c r="AY147" s="28" t="str">
        <f>IFERROR(__xludf.DUMMYFUNCTION("TEXTJOIN("", "", TRUE, FILTER(Validations!$Y$2:$Y$100, ISNUMBER(SEARCH(Validations!$X$2:$X$100, AX147))))"),"S")</f>
        <v>S</v>
      </c>
      <c r="AZ147" s="27"/>
      <c r="BA147" s="22"/>
      <c r="BB147" s="22"/>
      <c r="BC147" s="22"/>
      <c r="BD147" s="22"/>
      <c r="BE147" s="27"/>
      <c r="BF147" s="22"/>
      <c r="BG147" s="27"/>
      <c r="BH147" s="27"/>
      <c r="BI147" s="12" t="str">
        <f>IFERROR(__xludf.DUMMYFUNCTION("IFERROR(TEXTJOIN("", "", TRUE, FILTER(SRD!$A$2:$A$1000, EXACT(SRD!$A$2:$A$1000, J147))), """")"),"")</f>
        <v/>
      </c>
      <c r="BJ147" s="29"/>
      <c r="BK147" s="29"/>
    </row>
    <row r="148" ht="15.75" customHeight="1">
      <c r="A148" s="38" t="s">
        <v>733</v>
      </c>
      <c r="B148" s="12"/>
      <c r="C148" s="13"/>
      <c r="D148" s="13" t="s">
        <v>623</v>
      </c>
      <c r="E148" s="13"/>
      <c r="F148" s="14" t="s">
        <v>734</v>
      </c>
      <c r="G148" s="50" t="s">
        <v>672</v>
      </c>
      <c r="H148" s="31" t="s">
        <v>144</v>
      </c>
      <c r="I148" s="16" t="str">
        <f t="array" ref="I148">INDEX(Validations!$C$2:$C$100, MATCH(TRUE, ISNUMBER(SEARCH(Validations!$B$2:$B$100, H148)), 0))</f>
        <v>D</v>
      </c>
      <c r="J148" s="17" t="s">
        <v>735</v>
      </c>
      <c r="K148" s="18"/>
      <c r="L148" s="17" t="s">
        <v>736</v>
      </c>
      <c r="M148" s="37" t="s">
        <v>737</v>
      </c>
      <c r="N148" s="27"/>
      <c r="O148" s="44"/>
      <c r="P148" s="45"/>
      <c r="Q148" s="45"/>
      <c r="R148" s="22"/>
      <c r="S148" s="17" t="str">
        <f>IFERROR(__xludf.DUMMYFUNCTION("IFERROR(REGEXEXTRACT(J148, ""(\d{1,3}[dD]\d{1,3})""), """")"),"")</f>
        <v/>
      </c>
      <c r="T148" s="17" t="str">
        <f>IFERROR(__xludf.DUMMYFUNCTION("IF(COUNTIF(ARRAYFORMULA(LOWER(Validations!$O$2:$O$100)), LOWER(REGEXEXTRACT(J148, ""\d{1,3}[dD]\d{1,3}\s+(\w+)"")))&gt;0, REGEXEXTRACT(J148, ""\d{1,3}[dD]\d{1,3}\s+(\w+)""), """")"),"")</f>
        <v/>
      </c>
      <c r="U148" s="17" t="str">
        <f>IFERROR(__xludf.DUMMYFUNCTION("IF(COUNTIF(ARRAYFORMULA(LOWER(Validations!$P$2:$P$100)), LOWER(REGEXEXTRACT(J148, ""\d{1,3}[dD]\d{1,3}\s+(\w+)"")))&gt;0, REGEXEXTRACT(J148, ""\d{1,3}[dD]\d{1,3}\s+(\w+)""), """")"),"")</f>
        <v/>
      </c>
      <c r="V148" s="12" t="str">
        <f>IFERROR(__xludf.DUMMYFUNCTION("TEXTJOIN("", "", TRUE, FILTER(Validations!$L$2:$L$100, ISNUMBER(SEARCH(Validations!$L$2:$L$100, J148))))"),"")</f>
        <v/>
      </c>
      <c r="W148" s="12" t="str">
        <f>IFERROR(__xludf.DUMMYFUNCTION("IFERROR(TEXTJOIN("", "", TRUE, FILTER(Validations!$M$2:$M$100, ISNUMBER(SEARCH(Validations!$M$2:$M$100 &amp; "" saving throw"", J148)))), """")"),"")</f>
        <v/>
      </c>
      <c r="X148" s="12"/>
      <c r="Y148" s="12"/>
      <c r="Z148" s="12" t="str">
        <f>IFERROR(__xludf.DUMMYFUNCTION("IFERROR(TEXTJOIN("", "", TRUE, FILTER(Validations!$N$2:$N$100, ISNUMBER(SEARCH(Validations!$N$2:$N$100 &amp; "" check"", J148)))), """")"),"")</f>
        <v/>
      </c>
      <c r="AA148" s="12" t="str">
        <f>IFERROR(__xludf.DUMMYFUNCTION("IFERROR(TEXTJOIN("", "", TRUE, FILTER(Validations!$N$2:$N$100, ISNUMBER(SEARCH(Validations!$N$2:$N$100 &amp; "" check"", W148)))), """")"),"")</f>
        <v/>
      </c>
      <c r="AB148" s="23" t="str">
        <f>IFERROR(__xludf.DUMMYFUNCTION("IFERROR(CONCATENATE(IF(ISNUMBER(SEARCH(Validations!$M$2:$M$100 &amp; "" spell save"", J148)),""Spell Save"",""""), REGEXEXTRACT(J148, ""DC (\d+)"")), """")"),"")</f>
        <v/>
      </c>
      <c r="AC148" s="24" t="b">
        <v>0</v>
      </c>
      <c r="AD148" s="24" t="b">
        <v>0</v>
      </c>
      <c r="AE148" s="12" t="s">
        <v>69</v>
      </c>
      <c r="AF148" s="25">
        <f>IFERROR(__xludf.DUMMYFUNCTION("IFERROR(VALUE(REGEXEXTRACT(AE148, ""\d+"")), 1)"),1.0)</f>
        <v>1</v>
      </c>
      <c r="AG148" s="12" t="str">
        <f>IFERROR(__xludf.DUMMYFUNCTION("IF(
  ISNUMBER(SEARCH(""Bonus Action"", AE148)),
  ""Bonus Action"",
  IF(
    ISNUMBER(SEARCH(""Reaction"", AE148)),
    ""Reaction"",
    IF(
      ISNUMBER(SEARCH(""Action"", AE148)),
      ""Action"",
      TEXTJOIN("", "", TRUE, FILTER(Validations!$S"&amp;"$2:$S$100, ISNUMBER(SEARCH(Validations!$S$2:$S$100, AE148))))
    )
  )
)"),"Action")</f>
        <v>Action</v>
      </c>
      <c r="AH148" s="12"/>
      <c r="AI148" s="26" t="s">
        <v>70</v>
      </c>
      <c r="AJ148" s="26" t="str">
        <f>IFERROR(__xludf.DUMMYFUNCTION("TEXTJOIN("", "", TRUE, FILTER(Validations!$T$2:$T$100, ISNUMBER(SEARCH(Validations!$T$2:$T$100, AI148))))"),"Instantaneous")</f>
        <v>Instantaneous</v>
      </c>
      <c r="AK148" s="26" t="str">
        <f>IFERROR(__xludf.DUMMYFUNCTION("IFERROR(VALUE(REGEXEXTRACT(AI148, ""\d+"")), """")"),"")</f>
        <v/>
      </c>
      <c r="AL148" s="26" t="str">
        <f>IFERROR(__xludf.DUMMYFUNCTION("TEXTJOIN("", "", TRUE, FILTER(Validations!$U$2:$U$100, ISNUMBER(SEARCH(Validations!$U$2:$U$100, AI148))))"),"")</f>
        <v/>
      </c>
      <c r="AM148" s="24" t="b">
        <f t="shared" si="1"/>
        <v>0</v>
      </c>
      <c r="AN148" s="24" t="b">
        <v>0</v>
      </c>
      <c r="AO148" s="36" t="s">
        <v>440</v>
      </c>
      <c r="AP148" s="12" t="str">
        <f>IFERROR(__xludf.DUMMYFUNCTION("IF(TEXTJOIN("", "", TRUE, FILTER(Validations!$Q$2:$Q$100, ISNUMBER(SEARCH(Validations!$Q$2:$Q$100, AO148)))) = """", Validations!$Q$2, TEXTJOIN("", "", TRUE, FILTER(Validations!$Q$2:$Q$100, ISNUMBER(SEARCH(Validations!$Q$2:$Q$100, AO148)))))"),"Point")</f>
        <v>Point</v>
      </c>
      <c r="AQ148" s="12">
        <f>IFERROR(__xludf.DUMMYFUNCTION("IFERROR(VALUE(REGEXEXTRACT(AO148, ""\d+"")), """")"),60.0)</f>
        <v>60</v>
      </c>
      <c r="AR148" s="12" t="str">
        <f>IFERROR(__xludf.DUMMYFUNCTION("TEXTJOIN("", "", TRUE, FILTER(Validations!$R$2:$R$100, ISNUMBER(SEARCH(Validations!$R$2:$R$100, AO148))))"),"Feet")</f>
        <v>Feet</v>
      </c>
      <c r="AS148" s="27"/>
      <c r="AT148" s="12" t="str">
        <f>IFERROR(__xludf.DUMMYFUNCTION("IFERROR(TEXTJOIN("", "", TRUE, FILTER(Validations!$I$2:$I$100, ISNUMBER(SEARCH(Validations!$I$2:$I$100, AS148)))), """")"),"")</f>
        <v/>
      </c>
      <c r="AU148" s="16" t="str">
        <f t="array" ref="AU148">IFERROR(INDEX(Validations!$J$2:$J$100, MATCH(TRUE, ISNUMBER(SEARCH(Validations!$I$2:$I$100, AT148)), 0)), "")</f>
        <v/>
      </c>
      <c r="AV148" s="12" t="str">
        <f>IFERROR(__xludf.DUMMYFUNCTION("IFERROR(VALUE(REGEXEXTRACT(AS148, ""\d+"")), """")"),"")</f>
        <v/>
      </c>
      <c r="AW148" s="12" t="str">
        <f>IFERROR(__xludf.DUMMYFUNCTION("IFERROR(TEXTJOIN("", "", TRUE, FILTER(Validations!$Q$2:$Q$100, ISNUMBER(SEARCH(Validations!$Q$2:$Q$100, AS148)))), """")"),"")</f>
        <v/>
      </c>
      <c r="AX148" s="28" t="s">
        <v>106</v>
      </c>
      <c r="AY148" s="28" t="str">
        <f>IFERROR(__xludf.DUMMYFUNCTION("TEXTJOIN("", "", TRUE, FILTER(Validations!$Y$2:$Y$100, ISNUMBER(SEARCH(Validations!$X$2:$X$100, AX148))))"),"S")</f>
        <v>S</v>
      </c>
      <c r="AZ148" s="26"/>
      <c r="BA148" s="12"/>
      <c r="BB148" s="22"/>
      <c r="BC148" s="22"/>
      <c r="BD148" s="22"/>
      <c r="BE148" s="27"/>
      <c r="BF148" s="22"/>
      <c r="BG148" s="27"/>
      <c r="BH148" s="27"/>
      <c r="BI148" s="12" t="str">
        <f>IFERROR(__xludf.DUMMYFUNCTION("IFERROR(TEXTJOIN("", "", TRUE, FILTER(SRD!$A$2:$A$1000, EXACT(SRD!$A$2:$A$1000, J148))), """")"),"")</f>
        <v/>
      </c>
      <c r="BJ148" s="29"/>
      <c r="BK148" s="29"/>
    </row>
    <row r="149" ht="15.75" customHeight="1">
      <c r="A149" s="30" t="s">
        <v>738</v>
      </c>
      <c r="B149" s="22"/>
      <c r="C149" s="16"/>
      <c r="D149" s="16" t="s">
        <v>739</v>
      </c>
      <c r="E149" s="16"/>
      <c r="F149" s="32" t="s">
        <v>499</v>
      </c>
      <c r="G149" s="50" t="s">
        <v>672</v>
      </c>
      <c r="H149" s="16" t="s">
        <v>183</v>
      </c>
      <c r="I149" s="16" t="str">
        <f t="array" ref="I149">INDEX(Validations!$C$2:$C$100, MATCH(TRUE, ISNUMBER(SEARCH(Validations!$B$2:$B$100, H149)), 0))</f>
        <v>E</v>
      </c>
      <c r="J149" s="17" t="s">
        <v>740</v>
      </c>
      <c r="K149" s="18"/>
      <c r="L149" s="17"/>
      <c r="M149" s="17"/>
      <c r="N149" s="27"/>
      <c r="O149" s="66"/>
      <c r="P149" s="21"/>
      <c r="Q149" s="17" t="s">
        <v>741</v>
      </c>
      <c r="R149" s="22"/>
      <c r="S149" s="17" t="str">
        <f>IFERROR(__xludf.DUMMYFUNCTION("IFERROR(REGEXEXTRACT(J149, ""(\d{1,3}[dD]\d{1,3})""), """")"),"")</f>
        <v/>
      </c>
      <c r="T149" s="17" t="str">
        <f>IFERROR(__xludf.DUMMYFUNCTION("IF(COUNTIF(ARRAYFORMULA(LOWER(Validations!$O$2:$O$100)), LOWER(REGEXEXTRACT(J149, ""\d{1,3}[dD]\d{1,3}\s+(\w+)"")))&gt;0, REGEXEXTRACT(J149, ""\d{1,3}[dD]\d{1,3}\s+(\w+)""), """")"),"")</f>
        <v/>
      </c>
      <c r="U149" s="17" t="str">
        <f>IFERROR(__xludf.DUMMYFUNCTION("IF(COUNTIF(ARRAYFORMULA(LOWER(Validations!$P$2:$P$100)), LOWER(REGEXEXTRACT(J149, ""\d{1,3}[dD]\d{1,3}\s+(\w+)"")))&gt;0, REGEXEXTRACT(J149, ""\d{1,3}[dD]\d{1,3}\s+(\w+)""), """")"),"")</f>
        <v/>
      </c>
      <c r="V149" s="12" t="str">
        <f>IFERROR(__xludf.DUMMYFUNCTION("TEXTJOIN("", "", TRUE, FILTER(Validations!$L$2:$L$100, ISNUMBER(SEARCH(Validations!$L$2:$L$100, J149))))"),"")</f>
        <v/>
      </c>
      <c r="W149" s="12" t="str">
        <f>IFERROR(__xludf.DUMMYFUNCTION("IFERROR(TEXTJOIN("", "", TRUE, FILTER(Validations!$M$2:$M$100, ISNUMBER(SEARCH(Validations!$M$2:$M$100 &amp; "" saving throw"", J149)))), """")"),"")</f>
        <v/>
      </c>
      <c r="X149" s="12"/>
      <c r="Y149" s="12"/>
      <c r="Z149" s="12" t="str">
        <f>IFERROR(__xludf.DUMMYFUNCTION("IFERROR(TEXTJOIN("", "", TRUE, FILTER(Validations!$N$2:$N$100, ISNUMBER(SEARCH(Validations!$N$2:$N$100 &amp; "" check"", J149)))), """")"),"")</f>
        <v/>
      </c>
      <c r="AA149" s="12" t="str">
        <f>IFERROR(__xludf.DUMMYFUNCTION("IFERROR(TEXTJOIN("", "", TRUE, FILTER(Validations!$N$2:$N$100, ISNUMBER(SEARCH(Validations!$N$2:$N$100 &amp; "" check"", W149)))), """")"),"")</f>
        <v/>
      </c>
      <c r="AB149" s="23" t="str">
        <f>IFERROR(__xludf.DUMMYFUNCTION("IFERROR(CONCATENATE(IF(ISNUMBER(SEARCH(Validations!$M$2:$M$100 &amp; "" spell save"", J149)),""Spell Save"",""""), REGEXEXTRACT(J149, ""DC (\d+)"")), """")"),"")</f>
        <v/>
      </c>
      <c r="AC149" s="24" t="b">
        <v>0</v>
      </c>
      <c r="AD149" s="24" t="b">
        <v>0</v>
      </c>
      <c r="AE149" s="36" t="s">
        <v>69</v>
      </c>
      <c r="AF149" s="25">
        <f>IFERROR(__xludf.DUMMYFUNCTION("IFERROR(VALUE(REGEXEXTRACT(AE149, ""\d+"")), 1)"),1.0)</f>
        <v>1</v>
      </c>
      <c r="AG149" s="12" t="str">
        <f>IFERROR(__xludf.DUMMYFUNCTION("IF(
  ISNUMBER(SEARCH(""Bonus Action"", AE149)),
  ""Bonus Action"",
  IF(
    ISNUMBER(SEARCH(""Reaction"", AE149)),
    ""Reaction"",
    IF(
      ISNUMBER(SEARCH(""Action"", AE149)),
      ""Action"",
      TEXTJOIN("", "", TRUE, FILTER(Validations!$S"&amp;"$2:$S$100, ISNUMBER(SEARCH(Validations!$S$2:$S$100, AE149))))
    )
  )
)"),"Action")</f>
        <v>Action</v>
      </c>
      <c r="AH149" s="36"/>
      <c r="AI149" s="20" t="s">
        <v>134</v>
      </c>
      <c r="AJ149" s="26" t="str">
        <f>IFERROR(__xludf.DUMMYFUNCTION("TEXTJOIN("", "", TRUE, FILTER(Validations!$T$2:$T$100, ISNUMBER(SEARCH(Validations!$T$2:$T$100, AI149))))"),"")</f>
        <v/>
      </c>
      <c r="AK149" s="26">
        <f>IFERROR(__xludf.DUMMYFUNCTION("IFERROR(VALUE(REGEXEXTRACT(AI149, ""\d+"")), """")"),10.0)</f>
        <v>10</v>
      </c>
      <c r="AL149" s="26" t="str">
        <f>IFERROR(__xludf.DUMMYFUNCTION("TEXTJOIN("", "", TRUE, FILTER(Validations!$U$2:$U$100, ISNUMBER(SEARCH(Validations!$U$2:$U$100, AI149))))"),"Minutes")</f>
        <v>Minutes</v>
      </c>
      <c r="AM149" s="24" t="b">
        <f t="shared" si="1"/>
        <v>0</v>
      </c>
      <c r="AN149" s="24" t="b">
        <v>0</v>
      </c>
      <c r="AO149" s="22" t="s">
        <v>71</v>
      </c>
      <c r="AP149" s="12" t="str">
        <f>IFERROR(__xludf.DUMMYFUNCTION("IF(TEXTJOIN("", "", TRUE, FILTER(Validations!$Q$2:$Q$100, ISNUMBER(SEARCH(Validations!$Q$2:$Q$100, AO149)))) = """", Validations!$Q$2, TEXTJOIN("", "", TRUE, FILTER(Validations!$Q$2:$Q$100, ISNUMBER(SEARCH(Validations!$Q$2:$Q$100, AO149)))))"),"Point")</f>
        <v>Point</v>
      </c>
      <c r="AQ149" s="12" t="str">
        <f>IFERROR(__xludf.DUMMYFUNCTION("IFERROR(VALUE(REGEXEXTRACT(AO149, ""\d+"")), """")"),"")</f>
        <v/>
      </c>
      <c r="AR149" s="12" t="str">
        <f>IFERROR(__xludf.DUMMYFUNCTION("TEXTJOIN("", "", TRUE, FILTER(Validations!$R$2:$R$100, ISNUMBER(SEARCH(Validations!$R$2:$R$100, AO149))))"),"Touch")</f>
        <v>Touch</v>
      </c>
      <c r="AS149" s="27"/>
      <c r="AT149" s="12" t="str">
        <f>IFERROR(__xludf.DUMMYFUNCTION("IFERROR(TEXTJOIN("", "", TRUE, FILTER(Validations!$I$2:$I$100, ISNUMBER(SEARCH(Validations!$I$2:$I$100, AS149)))), """")"),"")</f>
        <v/>
      </c>
      <c r="AU149" s="16" t="str">
        <f t="array" ref="AU149">IFERROR(INDEX(Validations!$J$2:$J$100, MATCH(TRUE, ISNUMBER(SEARCH(Validations!$I$2:$I$100, AT149)), 0)), "")</f>
        <v/>
      </c>
      <c r="AV149" s="12" t="str">
        <f>IFERROR(__xludf.DUMMYFUNCTION("IFERROR(VALUE(REGEXEXTRACT(AS149, ""\d+"")), """")"),"")</f>
        <v/>
      </c>
      <c r="AW149" s="12" t="str">
        <f>IFERROR(__xludf.DUMMYFUNCTION("IFERROR(TEXTJOIN("", "", TRUE, FILTER(Validations!$Q$2:$Q$100, ISNUMBER(SEARCH(Validations!$Q$2:$Q$100, AS149)))), """")"),"")</f>
        <v/>
      </c>
      <c r="AX149" s="28" t="s">
        <v>142</v>
      </c>
      <c r="AY149" s="28" t="str">
        <f>IFERROR(__xludf.DUMMYFUNCTION("TEXTJOIN("", "", TRUE, FILTER(Validations!$Y$2:$Y$100, ISNUMBER(SEARCH(Validations!$X$2:$X$100, AX149))))"),"V, S")</f>
        <v>V, S</v>
      </c>
      <c r="AZ149" s="27"/>
      <c r="BA149" s="22"/>
      <c r="BB149" s="22"/>
      <c r="BC149" s="22"/>
      <c r="BD149" s="22"/>
      <c r="BE149" s="27"/>
      <c r="BF149" s="22"/>
      <c r="BG149" s="27"/>
      <c r="BH149" s="27"/>
      <c r="BI149" s="12" t="str">
        <f>IFERROR(__xludf.DUMMYFUNCTION("IFERROR(TEXTJOIN("", "", TRUE, FILTER(SRD!$A$2:$A$1000, EXACT(SRD!$A$2:$A$1000, J149))), """")"),"")</f>
        <v/>
      </c>
      <c r="BJ149" s="29"/>
      <c r="BK149" s="29"/>
    </row>
    <row r="150" ht="15.75" customHeight="1">
      <c r="A150" s="30" t="s">
        <v>742</v>
      </c>
      <c r="B150" s="22"/>
      <c r="C150" s="16"/>
      <c r="D150" s="16" t="s">
        <v>743</v>
      </c>
      <c r="E150" s="16"/>
      <c r="F150" s="32" t="s">
        <v>102</v>
      </c>
      <c r="G150" s="50" t="s">
        <v>672</v>
      </c>
      <c r="H150" s="31" t="s">
        <v>183</v>
      </c>
      <c r="I150" s="16" t="str">
        <f t="array" ref="I150">INDEX(Validations!$C$2:$C$100, MATCH(TRUE, ISNUMBER(SEARCH(Validations!$B$2:$B$100, H150)), 0))</f>
        <v>E</v>
      </c>
      <c r="J150" s="17" t="s">
        <v>744</v>
      </c>
      <c r="K150" s="18"/>
      <c r="L150" s="17"/>
      <c r="M150" s="17"/>
      <c r="N150" s="27"/>
      <c r="O150" s="17"/>
      <c r="P150" s="21"/>
      <c r="Q150" s="21"/>
      <c r="R150" s="36" t="s">
        <v>745</v>
      </c>
      <c r="S150" s="17" t="str">
        <f>IFERROR(__xludf.DUMMYFUNCTION("IFERROR(REGEXEXTRACT(J150, ""(\d{1,3}[dD]\d{1,3})""), """")"),"")</f>
        <v/>
      </c>
      <c r="T150" s="17" t="str">
        <f>IFERROR(__xludf.DUMMYFUNCTION("IF(COUNTIF(ARRAYFORMULA(LOWER(Validations!$O$2:$O$100)), LOWER(REGEXEXTRACT(J150, ""\d{1,3}[dD]\d{1,3}\s+(\w+)"")))&gt;0, REGEXEXTRACT(J150, ""\d{1,3}[dD]\d{1,3}\s+(\w+)""), """")"),"")</f>
        <v/>
      </c>
      <c r="U150" s="17" t="str">
        <f>IFERROR(__xludf.DUMMYFUNCTION("IF(COUNTIF(ARRAYFORMULA(LOWER(Validations!$P$2:$P$100)), LOWER(REGEXEXTRACT(J150, ""\d{1,3}[dD]\d{1,3}\s+(\w+)"")))&gt;0, REGEXEXTRACT(J150, ""\d{1,3}[dD]\d{1,3}\s+(\w+)""), """")"),"")</f>
        <v/>
      </c>
      <c r="V150" s="12" t="str">
        <f>IFERROR(__xludf.DUMMYFUNCTION("TEXTJOIN("", "", TRUE, FILTER(Validations!$L$2:$L$100, ISNUMBER(SEARCH(Validations!$L$2:$L$100, J150))))"),"Paranoid, Aroused")</f>
        <v>Paranoid, Aroused</v>
      </c>
      <c r="W150" s="12" t="str">
        <f>IFERROR(__xludf.DUMMYFUNCTION("IFERROR(TEXTJOIN("", "", TRUE, FILTER(Validations!$M$2:$M$100, ISNUMBER(SEARCH(Validations!$M$2:$M$100 &amp; "" saving throw"", J150)))), """")"),"Wisdom")</f>
        <v>Wisdom</v>
      </c>
      <c r="X150" s="12"/>
      <c r="Y150" s="12"/>
      <c r="Z150" s="12" t="str">
        <f>IFERROR(__xludf.DUMMYFUNCTION("IFERROR(TEXTJOIN("", "", TRUE, FILTER(Validations!$N$2:$N$100, ISNUMBER(SEARCH(Validations!$N$2:$N$100 &amp; "" check"", J150)))), """")"),"")</f>
        <v/>
      </c>
      <c r="AA150" s="12" t="str">
        <f>IFERROR(__xludf.DUMMYFUNCTION("IFERROR(TEXTJOIN("", "", TRUE, FILTER(Validations!$N$2:$N$100, ISNUMBER(SEARCH(Validations!$N$2:$N$100 &amp; "" check"", W150)))), """")"),"")</f>
        <v/>
      </c>
      <c r="AB150" s="23" t="str">
        <f>IFERROR(__xludf.DUMMYFUNCTION("IFERROR(CONCATENATE(IF(ISNUMBER(SEARCH(Validations!$M$2:$M$100 &amp; "" spell save"", J150)),""Spell Save"",""""), REGEXEXTRACT(J150, ""DC (\d+)"")), """")"),"")</f>
        <v/>
      </c>
      <c r="AC150" s="24" t="b">
        <v>0</v>
      </c>
      <c r="AD150" s="24" t="b">
        <v>0</v>
      </c>
      <c r="AE150" s="36" t="s">
        <v>69</v>
      </c>
      <c r="AF150" s="25">
        <f>IFERROR(__xludf.DUMMYFUNCTION("IFERROR(VALUE(REGEXEXTRACT(AE150, ""\d+"")), 1)"),1.0)</f>
        <v>1</v>
      </c>
      <c r="AG150" s="12" t="str">
        <f>IFERROR(__xludf.DUMMYFUNCTION("IF(
  ISNUMBER(SEARCH(""Bonus Action"", AE150)),
  ""Bonus Action"",
  IF(
    ISNUMBER(SEARCH(""Reaction"", AE150)),
    ""Reaction"",
    IF(
      ISNUMBER(SEARCH(""Action"", AE150)),
      ""Action"",
      TEXTJOIN("", "", TRUE, FILTER(Validations!$S"&amp;"$2:$S$100, ISNUMBER(SEARCH(Validations!$S$2:$S$100, AE150))))
    )
  )
)"),"Action")</f>
        <v>Action</v>
      </c>
      <c r="AH150" s="36"/>
      <c r="AI150" s="20" t="s">
        <v>92</v>
      </c>
      <c r="AJ150" s="26" t="str">
        <f>IFERROR(__xludf.DUMMYFUNCTION("TEXTJOIN("", "", TRUE, FILTER(Validations!$T$2:$T$100, ISNUMBER(SEARCH(Validations!$T$2:$T$100, AI150))))"),"")</f>
        <v/>
      </c>
      <c r="AK150" s="26">
        <f>IFERROR(__xludf.DUMMYFUNCTION("IFERROR(VALUE(REGEXEXTRACT(AI150, ""\d+"")), """")"),1.0)</f>
        <v>1</v>
      </c>
      <c r="AL150" s="26" t="str">
        <f>IFERROR(__xludf.DUMMYFUNCTION("TEXTJOIN("", "", TRUE, FILTER(Validations!$U$2:$U$100, ISNUMBER(SEARCH(Validations!$U$2:$U$100, AI150))))"),"Minutes")</f>
        <v>Minutes</v>
      </c>
      <c r="AM150" s="24" t="b">
        <f t="shared" si="1"/>
        <v>0</v>
      </c>
      <c r="AN150" s="24" t="b">
        <v>1</v>
      </c>
      <c r="AO150" s="22" t="s">
        <v>112</v>
      </c>
      <c r="AP150" s="12" t="str">
        <f>IFERROR(__xludf.DUMMYFUNCTION("IF(TEXTJOIN("", "", TRUE, FILTER(Validations!$Q$2:$Q$100, ISNUMBER(SEARCH(Validations!$Q$2:$Q$100, AO150)))) = """", Validations!$Q$2, TEXTJOIN("", "", TRUE, FILTER(Validations!$Q$2:$Q$100, ISNUMBER(SEARCH(Validations!$Q$2:$Q$100, AO150)))))"),"Point")</f>
        <v>Point</v>
      </c>
      <c r="AQ150" s="12">
        <f>IFERROR(__xludf.DUMMYFUNCTION("IFERROR(VALUE(REGEXEXTRACT(AO150, ""\d+"")), """")"),30.0)</f>
        <v>30</v>
      </c>
      <c r="AR150" s="12" t="str">
        <f>IFERROR(__xludf.DUMMYFUNCTION("TEXTJOIN("", "", TRUE, FILTER(Validations!$R$2:$R$100, ISNUMBER(SEARCH(Validations!$R$2:$R$100, AO150))))"),"Feet")</f>
        <v>Feet</v>
      </c>
      <c r="AS150" s="27"/>
      <c r="AT150" s="12" t="str">
        <f>IFERROR(__xludf.DUMMYFUNCTION("IFERROR(TEXTJOIN("", "", TRUE, FILTER(Validations!$I$2:$I$100, ISNUMBER(SEARCH(Validations!$I$2:$I$100, AS150)))), """")"),"")</f>
        <v/>
      </c>
      <c r="AU150" s="16" t="str">
        <f t="array" ref="AU150">IFERROR(INDEX(Validations!$J$2:$J$100, MATCH(TRUE, ISNUMBER(SEARCH(Validations!$I$2:$I$100, AT150)), 0)), "")</f>
        <v/>
      </c>
      <c r="AV150" s="12" t="str">
        <f>IFERROR(__xludf.DUMMYFUNCTION("IFERROR(VALUE(REGEXEXTRACT(AS150, ""\d+"")), """")"),"")</f>
        <v/>
      </c>
      <c r="AW150" s="12" t="str">
        <f>IFERROR(__xludf.DUMMYFUNCTION("IFERROR(TEXTJOIN("", "", TRUE, FILTER(Validations!$Q$2:$Q$100, ISNUMBER(SEARCH(Validations!$Q$2:$Q$100, AS150)))), """")"),"")</f>
        <v/>
      </c>
      <c r="AX150" s="28" t="s">
        <v>152</v>
      </c>
      <c r="AY150" s="28" t="str">
        <f>IFERROR(__xludf.DUMMYFUNCTION("TEXTJOIN("", "", TRUE, FILTER(Validations!$Y$2:$Y$100, ISNUMBER(SEARCH(Validations!$X$2:$X$100, AX150))))"),"V, S, R")</f>
        <v>V, S, R</v>
      </c>
      <c r="AZ150" s="20" t="s">
        <v>746</v>
      </c>
      <c r="BA150" s="22"/>
      <c r="BB150" s="22"/>
      <c r="BC150" s="22"/>
      <c r="BD150" s="22" t="s">
        <v>747</v>
      </c>
      <c r="BE150" s="27"/>
      <c r="BF150" s="22"/>
      <c r="BG150" s="27"/>
      <c r="BH150" s="27"/>
      <c r="BI150" s="12" t="str">
        <f>IFERROR(__xludf.DUMMYFUNCTION("IFERROR(TEXTJOIN("", "", TRUE, FILTER(SRD!$A$2:$A$1000, EXACT(SRD!$A$2:$A$1000, J150))), """")"),"")</f>
        <v/>
      </c>
      <c r="BJ150" s="29"/>
      <c r="BK150" s="29"/>
    </row>
    <row r="151" ht="15.75" customHeight="1">
      <c r="A151" s="30" t="s">
        <v>748</v>
      </c>
      <c r="B151" s="22"/>
      <c r="C151" s="16"/>
      <c r="D151" s="16" t="s">
        <v>749</v>
      </c>
      <c r="E151" s="16"/>
      <c r="F151" s="32" t="s">
        <v>75</v>
      </c>
      <c r="G151" s="50" t="s">
        <v>672</v>
      </c>
      <c r="H151" s="31" t="s">
        <v>85</v>
      </c>
      <c r="I151" s="16" t="str">
        <f t="array" ref="I151">INDEX(Validations!$C$2:$C$100, MATCH(TRUE, ISNUMBER(SEARCH(Validations!$B$2:$B$100, H151)), 0))</f>
        <v>T</v>
      </c>
      <c r="J151" s="17" t="s">
        <v>750</v>
      </c>
      <c r="K151" s="18"/>
      <c r="L151" s="17"/>
      <c r="M151" s="17"/>
      <c r="N151" s="27"/>
      <c r="O151" s="17"/>
      <c r="P151" s="21"/>
      <c r="Q151" s="21"/>
      <c r="R151" s="22"/>
      <c r="S151" s="17" t="str">
        <f>IFERROR(__xludf.DUMMYFUNCTION("IFERROR(REGEXEXTRACT(J151, ""(\d{1,3}[dD]\d{1,3})""), """")"),"")</f>
        <v/>
      </c>
      <c r="T151" s="17" t="str">
        <f>IFERROR(__xludf.DUMMYFUNCTION("IF(COUNTIF(ARRAYFORMULA(LOWER(Validations!$O$2:$O$100)), LOWER(REGEXEXTRACT(J151, ""\d{1,3}[dD]\d{1,3}\s+(\w+)"")))&gt;0, REGEXEXTRACT(J151, ""\d{1,3}[dD]\d{1,3}\s+(\w+)""), """")"),"")</f>
        <v/>
      </c>
      <c r="U151" s="17" t="str">
        <f>IFERROR(__xludf.DUMMYFUNCTION("IF(COUNTIF(ARRAYFORMULA(LOWER(Validations!$P$2:$P$100)), LOWER(REGEXEXTRACT(J151, ""\d{1,3}[dD]\d{1,3}\s+(\w+)"")))&gt;0, REGEXEXTRACT(J151, ""\d{1,3}[dD]\d{1,3}\s+(\w+)""), """")"),"")</f>
        <v/>
      </c>
      <c r="V151" s="12" t="str">
        <f>IFERROR(__xludf.DUMMYFUNCTION("TEXTJOIN("", "", TRUE, FILTER(Validations!$L$2:$L$100, ISNUMBER(SEARCH(Validations!$L$2:$L$100, J151))))"),"")</f>
        <v/>
      </c>
      <c r="W151" s="12" t="str">
        <f>IFERROR(__xludf.DUMMYFUNCTION("IFERROR(TEXTJOIN("", "", TRUE, FILTER(Validations!$M$2:$M$100, ISNUMBER(SEARCH(Validations!$M$2:$M$100 &amp; "" saving throw"", J151)))), """")"),"")</f>
        <v/>
      </c>
      <c r="X151" s="12"/>
      <c r="Y151" s="12"/>
      <c r="Z151" s="12" t="str">
        <f>IFERROR(__xludf.DUMMYFUNCTION("IFERROR(TEXTJOIN("", "", TRUE, FILTER(Validations!$N$2:$N$100, ISNUMBER(SEARCH(Validations!$N$2:$N$100 &amp; "" check"", J151)))), """")"),"Investigation")</f>
        <v>Investigation</v>
      </c>
      <c r="AA151" s="12" t="str">
        <f>IFERROR(__xludf.DUMMYFUNCTION("IFERROR(TEXTJOIN("", "", TRUE, FILTER(Validations!$N$2:$N$100, ISNUMBER(SEARCH(Validations!$N$2:$N$100 &amp; "" check"", W151)))), """")"),"")</f>
        <v/>
      </c>
      <c r="AB151" s="23" t="str">
        <f>IFERROR(__xludf.DUMMYFUNCTION("IFERROR(CONCATENATE(IF(ISNUMBER(SEARCH(Validations!$M$2:$M$100 &amp; "" spell save"", J151)),""Spell Save"",""""), REGEXEXTRACT(J151, ""DC (\d+)"")), """")"),"")</f>
        <v/>
      </c>
      <c r="AC151" s="24" t="b">
        <v>0</v>
      </c>
      <c r="AD151" s="24" t="b">
        <v>0</v>
      </c>
      <c r="AE151" s="36" t="s">
        <v>92</v>
      </c>
      <c r="AF151" s="25">
        <f>IFERROR(__xludf.DUMMYFUNCTION("IFERROR(VALUE(REGEXEXTRACT(AE151, ""\d+"")), 1)"),1.0)</f>
        <v>1</v>
      </c>
      <c r="AG151" s="12" t="str">
        <f>IFERROR(__xludf.DUMMYFUNCTION("IF(
  ISNUMBER(SEARCH(""Bonus Action"", AE151)),
  ""Bonus Action"",
  IF(
    ISNUMBER(SEARCH(""Reaction"", AE151)),
    ""Reaction"",
    IF(
      ISNUMBER(SEARCH(""Action"", AE151)),
      ""Action"",
      TEXTJOIN("", "", TRUE, FILTER(Validations!$S"&amp;"$2:$S$100, ISNUMBER(SEARCH(Validations!$S$2:$S$100, AE151))))
    )
  )
)"),"Minutes")</f>
        <v>Minutes</v>
      </c>
      <c r="AH151" s="22"/>
      <c r="AI151" s="20" t="s">
        <v>347</v>
      </c>
      <c r="AJ151" s="26" t="str">
        <f>IFERROR(__xludf.DUMMYFUNCTION("TEXTJOIN("", "", TRUE, FILTER(Validations!$T$2:$T$100, ISNUMBER(SEARCH(Validations!$T$2:$T$100, AI151))))"),"")</f>
        <v/>
      </c>
      <c r="AK151" s="26">
        <f>IFERROR(__xludf.DUMMYFUNCTION("IFERROR(VALUE(REGEXEXTRACT(AI151, ""\d+"")), """")"),24.0)</f>
        <v>24</v>
      </c>
      <c r="AL151" s="26" t="str">
        <f>IFERROR(__xludf.DUMMYFUNCTION("TEXTJOIN("", "", TRUE, FILTER(Validations!$U$2:$U$100, ISNUMBER(SEARCH(Validations!$U$2:$U$100, AI151))))"),"Hours")</f>
        <v>Hours</v>
      </c>
      <c r="AM151" s="24" t="b">
        <f t="shared" si="1"/>
        <v>0</v>
      </c>
      <c r="AN151" s="24" t="b">
        <v>0</v>
      </c>
      <c r="AO151" s="22" t="s">
        <v>71</v>
      </c>
      <c r="AP151" s="12" t="str">
        <f>IFERROR(__xludf.DUMMYFUNCTION("IF(TEXTJOIN("", "", TRUE, FILTER(Validations!$Q$2:$Q$100, ISNUMBER(SEARCH(Validations!$Q$2:$Q$100, AO151)))) = """", Validations!$Q$2, TEXTJOIN("", "", TRUE, FILTER(Validations!$Q$2:$Q$100, ISNUMBER(SEARCH(Validations!$Q$2:$Q$100, AO151)))))"),"Point")</f>
        <v>Point</v>
      </c>
      <c r="AQ151" s="12" t="str">
        <f>IFERROR(__xludf.DUMMYFUNCTION("IFERROR(VALUE(REGEXEXTRACT(AO151, ""\d+"")), """")"),"")</f>
        <v/>
      </c>
      <c r="AR151" s="12" t="str">
        <f>IFERROR(__xludf.DUMMYFUNCTION("TEXTJOIN("", "", TRUE, FILTER(Validations!$R$2:$R$100, ISNUMBER(SEARCH(Validations!$R$2:$R$100, AO151))))"),"Touch")</f>
        <v>Touch</v>
      </c>
      <c r="AS151" s="27"/>
      <c r="AT151" s="12" t="str">
        <f>IFERROR(__xludf.DUMMYFUNCTION("IFERROR(TEXTJOIN("", "", TRUE, FILTER(Validations!$I$2:$I$100, ISNUMBER(SEARCH(Validations!$I$2:$I$100, AS151)))), """")"),"")</f>
        <v/>
      </c>
      <c r="AU151" s="16" t="str">
        <f t="array" ref="AU151">IFERROR(INDEX(Validations!$J$2:$J$100, MATCH(TRUE, ISNUMBER(SEARCH(Validations!$I$2:$I$100, AT151)), 0)), "")</f>
        <v/>
      </c>
      <c r="AV151" s="12" t="str">
        <f>IFERROR(__xludf.DUMMYFUNCTION("IFERROR(VALUE(REGEXEXTRACT(AS151, ""\d+"")), """")"),"")</f>
        <v/>
      </c>
      <c r="AW151" s="12" t="str">
        <f>IFERROR(__xludf.DUMMYFUNCTION("IFERROR(TEXTJOIN("", "", TRUE, FILTER(Validations!$Q$2:$Q$100, ISNUMBER(SEARCH(Validations!$Q$2:$Q$100, AS151)))), """")"),"")</f>
        <v/>
      </c>
      <c r="AX151" s="28" t="s">
        <v>152</v>
      </c>
      <c r="AY151" s="28" t="str">
        <f>IFERROR(__xludf.DUMMYFUNCTION("TEXTJOIN("", "", TRUE, FILTER(Validations!$Y$2:$Y$100, ISNUMBER(SEARCH(Validations!$X$2:$X$100, AX151))))"),"V, S, R")</f>
        <v>V, S, R</v>
      </c>
      <c r="AZ151" s="20" t="s">
        <v>751</v>
      </c>
      <c r="BA151" s="22"/>
      <c r="BB151" s="22"/>
      <c r="BC151" s="22"/>
      <c r="BD151" s="22"/>
      <c r="BE151" s="27"/>
      <c r="BF151" s="22"/>
      <c r="BG151" s="27"/>
      <c r="BH151" s="27"/>
      <c r="BI151" s="12" t="str">
        <f>IFERROR(__xludf.DUMMYFUNCTION("IFERROR(TEXTJOIN("", "", TRUE, FILTER(SRD!$A$2:$A$1000, EXACT(SRD!$A$2:$A$1000, J151))), """")"),"")</f>
        <v/>
      </c>
      <c r="BJ151" s="29"/>
      <c r="BK151" s="29"/>
    </row>
    <row r="152" ht="15.75" customHeight="1">
      <c r="A152" s="38" t="s">
        <v>752</v>
      </c>
      <c r="B152" s="12"/>
      <c r="C152" s="16"/>
      <c r="D152" s="16" t="s">
        <v>753</v>
      </c>
      <c r="E152" s="16"/>
      <c r="F152" s="32" t="s">
        <v>102</v>
      </c>
      <c r="G152" s="50" t="s">
        <v>672</v>
      </c>
      <c r="H152" s="31" t="s">
        <v>65</v>
      </c>
      <c r="I152" s="16" t="str">
        <f t="array" ref="I152">INDEX(Validations!$C$2:$C$100, MATCH(TRUE, ISNUMBER(SEARCH(Validations!$B$2:$B$100, H152)), 0))</f>
        <v>I</v>
      </c>
      <c r="J152" s="17" t="s">
        <v>754</v>
      </c>
      <c r="K152" s="18"/>
      <c r="L152" s="17"/>
      <c r="M152" s="17"/>
      <c r="N152" s="27"/>
      <c r="O152" s="17"/>
      <c r="P152" s="21"/>
      <c r="Q152" s="21"/>
      <c r="R152" s="22"/>
      <c r="S152" s="17" t="str">
        <f>IFERROR(__xludf.DUMMYFUNCTION("IFERROR(REGEXEXTRACT(J152, ""(\d{1,3}[dD]\d{1,3})""), """")"),"")</f>
        <v/>
      </c>
      <c r="T152" s="17" t="str">
        <f>IFERROR(__xludf.DUMMYFUNCTION("IF(COUNTIF(ARRAYFORMULA(LOWER(Validations!$O$2:$O$100)), LOWER(REGEXEXTRACT(J152, ""\d{1,3}[dD]\d{1,3}\s+(\w+)"")))&gt;0, REGEXEXTRACT(J152, ""\d{1,3}[dD]\d{1,3}\s+(\w+)""), """")"),"")</f>
        <v/>
      </c>
      <c r="U152" s="17" t="str">
        <f>IFERROR(__xludf.DUMMYFUNCTION("IF(COUNTIF(ARRAYFORMULA(LOWER(Validations!$P$2:$P$100)), LOWER(REGEXEXTRACT(J152, ""\d{1,3}[dD]\d{1,3}\s+(\w+)"")))&gt;0, REGEXEXTRACT(J152, ""\d{1,3}[dD]\d{1,3}\s+(\w+)""), """")"),"")</f>
        <v/>
      </c>
      <c r="V152" s="12" t="str">
        <f>IFERROR(__xludf.DUMMYFUNCTION("TEXTJOIN("", "", TRUE, FILTER(Validations!$L$2:$L$100, ISNUMBER(SEARCH(Validations!$L$2:$L$100, J152))))"),"")</f>
        <v/>
      </c>
      <c r="W152" s="12" t="str">
        <f>IFERROR(__xludf.DUMMYFUNCTION("IFERROR(TEXTJOIN("", "", TRUE, FILTER(Validations!$M$2:$M$100, ISNUMBER(SEARCH(Validations!$M$2:$M$100 &amp; "" saving throw"", J152)))), """")"),"")</f>
        <v/>
      </c>
      <c r="X152" s="12"/>
      <c r="Y152" s="12"/>
      <c r="Z152" s="12" t="str">
        <f>IFERROR(__xludf.DUMMYFUNCTION("IFERROR(TEXTJOIN("", "", TRUE, FILTER(Validations!$N$2:$N$100, ISNUMBER(SEARCH(Validations!$N$2:$N$100 &amp; "" check"", J152)))), """")"),"")</f>
        <v/>
      </c>
      <c r="AA152" s="12" t="str">
        <f>IFERROR(__xludf.DUMMYFUNCTION("IFERROR(TEXTJOIN("", "", TRUE, FILTER(Validations!$N$2:$N$100, ISNUMBER(SEARCH(Validations!$N$2:$N$100 &amp; "" check"", W152)))), """")"),"")</f>
        <v/>
      </c>
      <c r="AB152" s="23" t="str">
        <f>IFERROR(__xludf.DUMMYFUNCTION("IFERROR(CONCATENATE(IF(ISNUMBER(SEARCH(Validations!$M$2:$M$100 &amp; "" spell save"", J152)),""Spell Save"",""""), REGEXEXTRACT(J152, ""DC (\d+)"")), """")"),"15")</f>
        <v>15</v>
      </c>
      <c r="AC152" s="24" t="b">
        <v>1</v>
      </c>
      <c r="AD152" s="24" t="b">
        <v>0</v>
      </c>
      <c r="AE152" s="36" t="s">
        <v>134</v>
      </c>
      <c r="AF152" s="25">
        <f>IFERROR(__xludf.DUMMYFUNCTION("IFERROR(VALUE(REGEXEXTRACT(AE152, ""\d+"")), 1)"),10.0)</f>
        <v>10</v>
      </c>
      <c r="AG152" s="12" t="str">
        <f>IFERROR(__xludf.DUMMYFUNCTION("IF(
  ISNUMBER(SEARCH(""Bonus Action"", AE152)),
  ""Bonus Action"",
  IF(
    ISNUMBER(SEARCH(""Reaction"", AE152)),
    ""Reaction"",
    IF(
      ISNUMBER(SEARCH(""Action"", AE152)),
      ""Action"",
      TEXTJOIN("", "", TRUE, FILTER(Validations!$S"&amp;"$2:$S$100, ISNUMBER(SEARCH(Validations!$S$2:$S$100, AE152))))
    )
  )
)"),"Minutes")</f>
        <v>Minutes</v>
      </c>
      <c r="AH152" s="22"/>
      <c r="AI152" s="20" t="s">
        <v>134</v>
      </c>
      <c r="AJ152" s="26" t="str">
        <f>IFERROR(__xludf.DUMMYFUNCTION("TEXTJOIN("", "", TRUE, FILTER(Validations!$T$2:$T$100, ISNUMBER(SEARCH(Validations!$T$2:$T$100, AI152))))"),"")</f>
        <v/>
      </c>
      <c r="AK152" s="26">
        <f>IFERROR(__xludf.DUMMYFUNCTION("IFERROR(VALUE(REGEXEXTRACT(AI152, ""\d+"")), """")"),10.0)</f>
        <v>10</v>
      </c>
      <c r="AL152" s="26" t="str">
        <f>IFERROR(__xludf.DUMMYFUNCTION("TEXTJOIN("", "", TRUE, FILTER(Validations!$U$2:$U$100, ISNUMBER(SEARCH(Validations!$U$2:$U$100, AI152))))"),"Minutes")</f>
        <v>Minutes</v>
      </c>
      <c r="AM152" s="24" t="b">
        <f t="shared" si="1"/>
        <v>0</v>
      </c>
      <c r="AN152" s="24" t="b">
        <v>0</v>
      </c>
      <c r="AO152" s="22" t="s">
        <v>755</v>
      </c>
      <c r="AP152" s="12" t="str">
        <f>IFERROR(__xludf.DUMMYFUNCTION("IF(TEXTJOIN("", "", TRUE, FILTER(Validations!$Q$2:$Q$100, ISNUMBER(SEARCH(Validations!$Q$2:$Q$100, AO152)))) = """", Validations!$Q$2, TEXTJOIN("", "", TRUE, FILTER(Validations!$Q$2:$Q$100, ISNUMBER(SEARCH(Validations!$Q$2:$Q$100, AO152)))))"),"Point")</f>
        <v>Point</v>
      </c>
      <c r="AQ152" s="12">
        <f>IFERROR(__xludf.DUMMYFUNCTION("IFERROR(VALUE(REGEXEXTRACT(AO152, ""\d+"")), """")"),1.0)</f>
        <v>1</v>
      </c>
      <c r="AR152" s="12" t="str">
        <f>IFERROR(__xludf.DUMMYFUNCTION("TEXTJOIN("", "", TRUE, FILTER(Validations!$R$2:$R$100, ISNUMBER(SEARCH(Validations!$R$2:$R$100, AO152))))"),"")</f>
        <v/>
      </c>
      <c r="AS152" s="27"/>
      <c r="AT152" s="12" t="str">
        <f>IFERROR(__xludf.DUMMYFUNCTION("IFERROR(TEXTJOIN("", "", TRUE, FILTER(Validations!$I$2:$I$100, ISNUMBER(SEARCH(Validations!$I$2:$I$100, AS152)))), """")"),"")</f>
        <v/>
      </c>
      <c r="AU152" s="16" t="str">
        <f t="array" ref="AU152">IFERROR(INDEX(Validations!$J$2:$J$100, MATCH(TRUE, ISNUMBER(SEARCH(Validations!$I$2:$I$100, AT152)), 0)), "")</f>
        <v/>
      </c>
      <c r="AV152" s="12" t="str">
        <f>IFERROR(__xludf.DUMMYFUNCTION("IFERROR(VALUE(REGEXEXTRACT(AS152, ""\d+"")), """")"),"")</f>
        <v/>
      </c>
      <c r="AW152" s="12" t="str">
        <f>IFERROR(__xludf.DUMMYFUNCTION("IFERROR(TEXTJOIN("", "", TRUE, FILTER(Validations!$Q$2:$Q$100, ISNUMBER(SEARCH(Validations!$Q$2:$Q$100, AS152)))), """")"),"")</f>
        <v/>
      </c>
      <c r="AX152" s="28" t="s">
        <v>152</v>
      </c>
      <c r="AY152" s="28" t="str">
        <f>IFERROR(__xludf.DUMMYFUNCTION("TEXTJOIN("", "", TRUE, FILTER(Validations!$Y$2:$Y$100, ISNUMBER(SEARCH(Validations!$X$2:$X$100, AX152))))"),"V, S, R")</f>
        <v>V, S, R</v>
      </c>
      <c r="AZ152" s="20" t="s">
        <v>756</v>
      </c>
      <c r="BA152" s="22"/>
      <c r="BB152" s="22"/>
      <c r="BC152" s="22"/>
      <c r="BD152" s="22"/>
      <c r="BE152" s="27"/>
      <c r="BF152" s="22"/>
      <c r="BG152" s="27"/>
      <c r="BH152" s="27"/>
      <c r="BI152" s="12" t="str">
        <f>IFERROR(__xludf.DUMMYFUNCTION("IFERROR(TEXTJOIN("", "", TRUE, FILTER(SRD!$A$2:$A$1000, EXACT(SRD!$A$2:$A$1000, J152))), """")"),"")</f>
        <v/>
      </c>
      <c r="BJ152" s="29"/>
      <c r="BK152" s="29"/>
    </row>
    <row r="153" ht="15.75" customHeight="1">
      <c r="A153" s="30" t="s">
        <v>757</v>
      </c>
      <c r="B153" s="22"/>
      <c r="C153" s="16"/>
      <c r="D153" s="16" t="s">
        <v>758</v>
      </c>
      <c r="E153" s="16"/>
      <c r="F153" s="32" t="s">
        <v>759</v>
      </c>
      <c r="G153" s="50" t="s">
        <v>672</v>
      </c>
      <c r="H153" s="31" t="s">
        <v>65</v>
      </c>
      <c r="I153" s="16" t="str">
        <f t="array" ref="I153">INDEX(Validations!$C$2:$C$100, MATCH(TRUE, ISNUMBER(SEARCH(Validations!$B$2:$B$100, H153)), 0))</f>
        <v>I</v>
      </c>
      <c r="J153" s="17" t="s">
        <v>760</v>
      </c>
      <c r="K153" s="18"/>
      <c r="L153" s="33"/>
      <c r="M153" s="33"/>
      <c r="N153" s="27"/>
      <c r="O153" s="33"/>
      <c r="P153" s="35"/>
      <c r="Q153" s="35"/>
      <c r="R153" s="22"/>
      <c r="S153" s="17" t="str">
        <f>IFERROR(__xludf.DUMMYFUNCTION("IFERROR(REGEXEXTRACT(J153, ""(\d{1,3}[dD]\d{1,3})""), """")"),"")</f>
        <v/>
      </c>
      <c r="T153" s="17" t="str">
        <f>IFERROR(__xludf.DUMMYFUNCTION("IF(COUNTIF(ARRAYFORMULA(LOWER(Validations!$O$2:$O$100)), LOWER(REGEXEXTRACT(J153, ""\d{1,3}[dD]\d{1,3}\s+(\w+)"")))&gt;0, REGEXEXTRACT(J153, ""\d{1,3}[dD]\d{1,3}\s+(\w+)""), """")"),"")</f>
        <v/>
      </c>
      <c r="U153" s="17" t="str">
        <f>IFERROR(__xludf.DUMMYFUNCTION("IF(COUNTIF(ARRAYFORMULA(LOWER(Validations!$P$2:$P$100)), LOWER(REGEXEXTRACT(J153, ""\d{1,3}[dD]\d{1,3}\s+(\w+)"")))&gt;0, REGEXEXTRACT(J153, ""\d{1,3}[dD]\d{1,3}\s+(\w+)""), """")"),"")</f>
        <v/>
      </c>
      <c r="V153" s="12" t="str">
        <f>IFERROR(__xludf.DUMMYFUNCTION("TEXTJOIN("", "", TRUE, FILTER(Validations!$L$2:$L$100, ISNUMBER(SEARCH(Validations!$L$2:$L$100, J153))))"),"Invisible")</f>
        <v>Invisible</v>
      </c>
      <c r="W153" s="12" t="str">
        <f>IFERROR(__xludf.DUMMYFUNCTION("IFERROR(TEXTJOIN("", "", TRUE, FILTER(Validations!$M$2:$M$100, ISNUMBER(SEARCH(Validations!$M$2:$M$100 &amp; "" saving throw"", J153)))), """")"),"")</f>
        <v/>
      </c>
      <c r="X153" s="12"/>
      <c r="Y153" s="12"/>
      <c r="Z153" s="12" t="str">
        <f>IFERROR(__xludf.DUMMYFUNCTION("IFERROR(TEXTJOIN("", "", TRUE, FILTER(Validations!$N$2:$N$100, ISNUMBER(SEARCH(Validations!$N$2:$N$100 &amp; "" check"", J153)))), """")"),"")</f>
        <v/>
      </c>
      <c r="AA153" s="12" t="str">
        <f>IFERROR(__xludf.DUMMYFUNCTION("IFERROR(TEXTJOIN("", "", TRUE, FILTER(Validations!$N$2:$N$100, ISNUMBER(SEARCH(Validations!$N$2:$N$100 &amp; "" check"", W153)))), """")"),"")</f>
        <v/>
      </c>
      <c r="AB153" s="23" t="str">
        <f>IFERROR(__xludf.DUMMYFUNCTION("IFERROR(CONCATENATE(IF(ISNUMBER(SEARCH(Validations!$M$2:$M$100 &amp; "" spell save"", J153)),""Spell Save"",""""), REGEXEXTRACT(J153, ""DC (\d+)"")), """")"),"")</f>
        <v/>
      </c>
      <c r="AC153" s="24" t="b">
        <v>0</v>
      </c>
      <c r="AD153" s="24" t="b">
        <v>0</v>
      </c>
      <c r="AE153" s="36" t="s">
        <v>69</v>
      </c>
      <c r="AF153" s="25">
        <f>IFERROR(__xludf.DUMMYFUNCTION("IFERROR(VALUE(REGEXEXTRACT(AE153, ""\d+"")), 1)"),1.0)</f>
        <v>1</v>
      </c>
      <c r="AG153" s="12" t="str">
        <f>IFERROR(__xludf.DUMMYFUNCTION("IF(
  ISNUMBER(SEARCH(""Bonus Action"", AE153)),
  ""Bonus Action"",
  IF(
    ISNUMBER(SEARCH(""Reaction"", AE153)),
    ""Reaction"",
    IF(
      ISNUMBER(SEARCH(""Action"", AE153)),
      ""Action"",
      TEXTJOIN("", "", TRUE, FILTER(Validations!$S"&amp;"$2:$S$100, ISNUMBER(SEARCH(Validations!$S$2:$S$100, AE153))))
    )
  )
)"),"Action")</f>
        <v>Action</v>
      </c>
      <c r="AH153" s="36"/>
      <c r="AI153" s="20" t="s">
        <v>296</v>
      </c>
      <c r="AJ153" s="26" t="str">
        <f>IFERROR(__xludf.DUMMYFUNCTION("TEXTJOIN("", "", TRUE, FILTER(Validations!$T$2:$T$100, ISNUMBER(SEARCH(Validations!$T$2:$T$100, AI153))))"),"")</f>
        <v/>
      </c>
      <c r="AK153" s="26">
        <f>IFERROR(__xludf.DUMMYFUNCTION("IFERROR(VALUE(REGEXEXTRACT(AI153, ""\d+"")), """")"),1.0)</f>
        <v>1</v>
      </c>
      <c r="AL153" s="26" t="str">
        <f>IFERROR(__xludf.DUMMYFUNCTION("TEXTJOIN("", "", TRUE, FILTER(Validations!$U$2:$U$100, ISNUMBER(SEARCH(Validations!$U$2:$U$100, AI153))))"),"Hours")</f>
        <v>Hours</v>
      </c>
      <c r="AM153" s="24" t="b">
        <f t="shared" si="1"/>
        <v>0</v>
      </c>
      <c r="AN153" s="24" t="b">
        <v>1</v>
      </c>
      <c r="AO153" s="22" t="s">
        <v>71</v>
      </c>
      <c r="AP153" s="12" t="str">
        <f>IFERROR(__xludf.DUMMYFUNCTION("IF(TEXTJOIN("", "", TRUE, FILTER(Validations!$Q$2:$Q$100, ISNUMBER(SEARCH(Validations!$Q$2:$Q$100, AO153)))) = """", Validations!$Q$2, TEXTJOIN("", "", TRUE, FILTER(Validations!$Q$2:$Q$100, ISNUMBER(SEARCH(Validations!$Q$2:$Q$100, AO153)))))"),"Point")</f>
        <v>Point</v>
      </c>
      <c r="AQ153" s="12" t="str">
        <f>IFERROR(__xludf.DUMMYFUNCTION("IFERROR(VALUE(REGEXEXTRACT(AO153, ""\d+"")), """")"),"")</f>
        <v/>
      </c>
      <c r="AR153" s="12" t="str">
        <f>IFERROR(__xludf.DUMMYFUNCTION("TEXTJOIN("", "", TRUE, FILTER(Validations!$R$2:$R$100, ISNUMBER(SEARCH(Validations!$R$2:$R$100, AO153))))"),"Touch")</f>
        <v>Touch</v>
      </c>
      <c r="AS153" s="27"/>
      <c r="AT153" s="12" t="str">
        <f>IFERROR(__xludf.DUMMYFUNCTION("IFERROR(TEXTJOIN("", "", TRUE, FILTER(Validations!$I$2:$I$100, ISNUMBER(SEARCH(Validations!$I$2:$I$100, AS153)))), """")"),"")</f>
        <v/>
      </c>
      <c r="AU153" s="16" t="str">
        <f t="array" ref="AU153">IFERROR(INDEX(Validations!$J$2:$J$100, MATCH(TRUE, ISNUMBER(SEARCH(Validations!$I$2:$I$100, AT153)), 0)), "")</f>
        <v/>
      </c>
      <c r="AV153" s="12" t="str">
        <f>IFERROR(__xludf.DUMMYFUNCTION("IFERROR(VALUE(REGEXEXTRACT(AS153, ""\d+"")), """")"),"")</f>
        <v/>
      </c>
      <c r="AW153" s="12" t="str">
        <f>IFERROR(__xludf.DUMMYFUNCTION("IFERROR(TEXTJOIN("", "", TRUE, FILTER(Validations!$Q$2:$Q$100, ISNUMBER(SEARCH(Validations!$Q$2:$Q$100, AS153)))), """")"),"")</f>
        <v/>
      </c>
      <c r="AX153" s="28" t="s">
        <v>72</v>
      </c>
      <c r="AY153" s="28" t="str">
        <f>IFERROR(__xludf.DUMMYFUNCTION("TEXTJOIN("", "", TRUE, FILTER(Validations!$Y$2:$Y$100, ISNUMBER(SEARCH(Validations!$X$2:$X$100, AX153))))"),"V, S")</f>
        <v>V, S</v>
      </c>
      <c r="AZ153" s="27"/>
      <c r="BA153" s="22"/>
      <c r="BB153" s="22"/>
      <c r="BC153" s="22"/>
      <c r="BD153" s="22"/>
      <c r="BE153" s="27"/>
      <c r="BF153" s="22"/>
      <c r="BG153" s="27"/>
      <c r="BH153" s="27"/>
      <c r="BI153" s="12" t="str">
        <f>IFERROR(__xludf.DUMMYFUNCTION("IFERROR(TEXTJOIN("", "", TRUE, FILTER(SRD!$A$2:$A$1000, EXACT(SRD!$A$2:$A$1000, J153))), """")"),"")</f>
        <v/>
      </c>
      <c r="BJ153" s="29"/>
      <c r="BK153" s="29"/>
    </row>
    <row r="154" ht="15.75" customHeight="1">
      <c r="A154" s="11" t="s">
        <v>761</v>
      </c>
      <c r="B154" s="12"/>
      <c r="C154" s="16"/>
      <c r="D154" s="16" t="s">
        <v>762</v>
      </c>
      <c r="E154" s="16"/>
      <c r="F154" s="32" t="s">
        <v>102</v>
      </c>
      <c r="G154" s="50" t="s">
        <v>672</v>
      </c>
      <c r="H154" s="16" t="s">
        <v>144</v>
      </c>
      <c r="I154" s="16" t="str">
        <f t="array" ref="I154">INDEX(Validations!$C$2:$C$100, MATCH(TRUE, ISNUMBER(SEARCH(Validations!$B$2:$B$100, H154)), 0))</f>
        <v>D</v>
      </c>
      <c r="J154" s="17" t="s">
        <v>763</v>
      </c>
      <c r="K154" s="18"/>
      <c r="L154" s="33"/>
      <c r="M154" s="17" t="s">
        <v>764</v>
      </c>
      <c r="N154" s="20" t="s">
        <v>765</v>
      </c>
      <c r="O154" s="33"/>
      <c r="P154" s="35"/>
      <c r="Q154" s="35"/>
      <c r="R154" s="22"/>
      <c r="S154" s="17" t="str">
        <f>IFERROR(__xludf.DUMMYFUNCTION("IFERROR(REGEXEXTRACT(J154, ""(\d{1,3}[dD]\d{1,3})""), """")"),"")</f>
        <v/>
      </c>
      <c r="T154" s="17" t="str">
        <f>IFERROR(__xludf.DUMMYFUNCTION("IF(COUNTIF(ARRAYFORMULA(LOWER(Validations!$O$2:$O$100)), LOWER(REGEXEXTRACT(J154, ""\d{1,3}[dD]\d{1,3}\s+(\w+)"")))&gt;0, REGEXEXTRACT(J154, ""\d{1,3}[dD]\d{1,3}\s+(\w+)""), """")"),"")</f>
        <v/>
      </c>
      <c r="U154" s="17" t="str">
        <f>IFERROR(__xludf.DUMMYFUNCTION("IF(COUNTIF(ARRAYFORMULA(LOWER(Validations!$P$2:$P$100)), LOWER(REGEXEXTRACT(J154, ""\d{1,3}[dD]\d{1,3}\s+(\w+)"")))&gt;0, REGEXEXTRACT(J154, ""\d{1,3}[dD]\d{1,3}\s+(\w+)""), """")"),"")</f>
        <v/>
      </c>
      <c r="V154" s="12" t="str">
        <f>IFERROR(__xludf.DUMMYFUNCTION("TEXTJOIN("", "", TRUE, FILTER(Validations!$L$2:$L$100, ISNUMBER(SEARCH(Validations!$L$2:$L$100, J154))))"),"")</f>
        <v/>
      </c>
      <c r="W154" s="12" t="str">
        <f>IFERROR(__xludf.DUMMYFUNCTION("IFERROR(TEXTJOIN("", "", TRUE, FILTER(Validations!$M$2:$M$100, ISNUMBER(SEARCH(Validations!$M$2:$M$100 &amp; "" saving throw"", J154)))), """")"),"")</f>
        <v/>
      </c>
      <c r="X154" s="12"/>
      <c r="Y154" s="12"/>
      <c r="Z154" s="12" t="str">
        <f>IFERROR(__xludf.DUMMYFUNCTION("IFERROR(TEXTJOIN("", "", TRUE, FILTER(Validations!$N$2:$N$100, ISNUMBER(SEARCH(Validations!$N$2:$N$100 &amp; "" check"", J154)))), """")"),"")</f>
        <v/>
      </c>
      <c r="AA154" s="12" t="str">
        <f>IFERROR(__xludf.DUMMYFUNCTION("IFERROR(TEXTJOIN("", "", TRUE, FILTER(Validations!$N$2:$N$100, ISNUMBER(SEARCH(Validations!$N$2:$N$100 &amp; "" check"", W154)))), """")"),"")</f>
        <v/>
      </c>
      <c r="AB154" s="23" t="str">
        <f>IFERROR(__xludf.DUMMYFUNCTION("IFERROR(CONCATENATE(IF(ISNUMBER(SEARCH(Validations!$M$2:$M$100 &amp; "" spell save"", J154)),""Spell Save"",""""), REGEXEXTRACT(J154, ""DC (\d+)"")), """")"),"15")</f>
        <v>15</v>
      </c>
      <c r="AC154" s="24" t="b">
        <v>0</v>
      </c>
      <c r="AD154" s="24" t="b">
        <v>0</v>
      </c>
      <c r="AE154" s="36" t="s">
        <v>69</v>
      </c>
      <c r="AF154" s="25">
        <f>IFERROR(__xludf.DUMMYFUNCTION("IFERROR(VALUE(REGEXEXTRACT(AE154, ""\d+"")), 1)"),1.0)</f>
        <v>1</v>
      </c>
      <c r="AG154" s="12" t="str">
        <f>IFERROR(__xludf.DUMMYFUNCTION("IF(
  ISNUMBER(SEARCH(""Bonus Action"", AE154)),
  ""Bonus Action"",
  IF(
    ISNUMBER(SEARCH(""Reaction"", AE154)),
    ""Reaction"",
    IF(
      ISNUMBER(SEARCH(""Action"", AE154)),
      ""Action"",
      TEXTJOIN("", "", TRUE, FILTER(Validations!$S"&amp;"$2:$S$100, ISNUMBER(SEARCH(Validations!$S$2:$S$100, AE154))))
    )
  )
)"),"Action")</f>
        <v>Action</v>
      </c>
      <c r="AH154" s="36"/>
      <c r="AI154" s="27" t="s">
        <v>70</v>
      </c>
      <c r="AJ154" s="26" t="str">
        <f>IFERROR(__xludf.DUMMYFUNCTION("TEXTJOIN("", "", TRUE, FILTER(Validations!$T$2:$T$100, ISNUMBER(SEARCH(Validations!$T$2:$T$100, AI154))))"),"Instantaneous")</f>
        <v>Instantaneous</v>
      </c>
      <c r="AK154" s="26" t="str">
        <f>IFERROR(__xludf.DUMMYFUNCTION("IFERROR(VALUE(REGEXEXTRACT(AI154, ""\d+"")), """")"),"")</f>
        <v/>
      </c>
      <c r="AL154" s="26" t="str">
        <f>IFERROR(__xludf.DUMMYFUNCTION("TEXTJOIN("", "", TRUE, FILTER(Validations!$U$2:$U$100, ISNUMBER(SEARCH(Validations!$U$2:$U$100, AI154))))"),"")</f>
        <v/>
      </c>
      <c r="AM154" s="24" t="b">
        <f t="shared" si="1"/>
        <v>0</v>
      </c>
      <c r="AN154" s="24" t="b">
        <v>0</v>
      </c>
      <c r="AO154" s="22" t="s">
        <v>71</v>
      </c>
      <c r="AP154" s="12" t="str">
        <f>IFERROR(__xludf.DUMMYFUNCTION("IF(TEXTJOIN("", "", TRUE, FILTER(Validations!$Q$2:$Q$100, ISNUMBER(SEARCH(Validations!$Q$2:$Q$100, AO154)))) = """", Validations!$Q$2, TEXTJOIN("", "", TRUE, FILTER(Validations!$Q$2:$Q$100, ISNUMBER(SEARCH(Validations!$Q$2:$Q$100, AO154)))))"),"Point")</f>
        <v>Point</v>
      </c>
      <c r="AQ154" s="12" t="str">
        <f>IFERROR(__xludf.DUMMYFUNCTION("IFERROR(VALUE(REGEXEXTRACT(AO154, ""\d+"")), """")"),"")</f>
        <v/>
      </c>
      <c r="AR154" s="12" t="str">
        <f>IFERROR(__xludf.DUMMYFUNCTION("TEXTJOIN("", "", TRUE, FILTER(Validations!$R$2:$R$100, ISNUMBER(SEARCH(Validations!$R$2:$R$100, AO154))))"),"Touch")</f>
        <v>Touch</v>
      </c>
      <c r="AS154" s="27"/>
      <c r="AT154" s="12" t="str">
        <f>IFERROR(__xludf.DUMMYFUNCTION("IFERROR(TEXTJOIN("", "", TRUE, FILTER(Validations!$I$2:$I$100, ISNUMBER(SEARCH(Validations!$I$2:$I$100, AS154)))), """")"),"")</f>
        <v/>
      </c>
      <c r="AU154" s="16" t="str">
        <f t="array" ref="AU154">IFERROR(INDEX(Validations!$J$2:$J$100, MATCH(TRUE, ISNUMBER(SEARCH(Validations!$I$2:$I$100, AT154)), 0)), "")</f>
        <v/>
      </c>
      <c r="AV154" s="12" t="str">
        <f>IFERROR(__xludf.DUMMYFUNCTION("IFERROR(VALUE(REGEXEXTRACT(AS154, ""\d+"")), """")"),"")</f>
        <v/>
      </c>
      <c r="AW154" s="12" t="str">
        <f>IFERROR(__xludf.DUMMYFUNCTION("IFERROR(TEXTJOIN("", "", TRUE, FILTER(Validations!$Q$2:$Q$100, ISNUMBER(SEARCH(Validations!$Q$2:$Q$100, AS154)))), """")"),"")</f>
        <v/>
      </c>
      <c r="AX154" s="28" t="s">
        <v>94</v>
      </c>
      <c r="AY154" s="28" t="str">
        <f>IFERROR(__xludf.DUMMYFUNCTION("TEXTJOIN("", "", TRUE, FILTER(Validations!$Y$2:$Y$100, ISNUMBER(SEARCH(Validations!$X$2:$X$100, AX154))))"),"V, S, R")</f>
        <v>V, S, R</v>
      </c>
      <c r="AZ154" s="20" t="s">
        <v>766</v>
      </c>
      <c r="BA154" s="22"/>
      <c r="BB154" s="22"/>
      <c r="BC154" s="22"/>
      <c r="BD154" s="22"/>
      <c r="BE154" s="27"/>
      <c r="BF154" s="22"/>
      <c r="BG154" s="27"/>
      <c r="BH154" s="27"/>
      <c r="BI154" s="12" t="str">
        <f>IFERROR(__xludf.DUMMYFUNCTION("IFERROR(TEXTJOIN("", "", TRUE, FILTER(SRD!$A$2:$A$1000, EXACT(SRD!$A$2:$A$1000, J154))), """")"),"")</f>
        <v/>
      </c>
      <c r="BJ154" s="29"/>
      <c r="BK154" s="29"/>
    </row>
    <row r="155" ht="15.75" customHeight="1">
      <c r="A155" s="30" t="s">
        <v>767</v>
      </c>
      <c r="B155" s="22"/>
      <c r="C155" s="16"/>
      <c r="D155" s="16" t="s">
        <v>768</v>
      </c>
      <c r="E155" s="16"/>
      <c r="F155" s="32" t="s">
        <v>769</v>
      </c>
      <c r="G155" s="50" t="s">
        <v>672</v>
      </c>
      <c r="H155" s="31" t="s">
        <v>85</v>
      </c>
      <c r="I155" s="16" t="str">
        <f t="array" ref="I155">INDEX(Validations!$C$2:$C$100, MATCH(TRUE, ISNUMBER(SEARCH(Validations!$B$2:$B$100, H155)), 0))</f>
        <v>T</v>
      </c>
      <c r="J155" s="17" t="s">
        <v>770</v>
      </c>
      <c r="K155" s="18"/>
      <c r="L155" s="17"/>
      <c r="M155" s="17"/>
      <c r="N155" s="27"/>
      <c r="O155" s="17"/>
      <c r="P155" s="21"/>
      <c r="Q155" s="21"/>
      <c r="R155" s="36" t="s">
        <v>771</v>
      </c>
      <c r="S155" s="17" t="str">
        <f>IFERROR(__xludf.DUMMYFUNCTION("IFERROR(REGEXEXTRACT(J155, ""(\d{1,3}[dD]\d{1,3})""), """")"),"")</f>
        <v/>
      </c>
      <c r="T155" s="17" t="str">
        <f>IFERROR(__xludf.DUMMYFUNCTION("IF(COUNTIF(ARRAYFORMULA(LOWER(Validations!$O$2:$O$100)), LOWER(REGEXEXTRACT(J155, ""\d{1,3}[dD]\d{1,3}\s+(\w+)"")))&gt;0, REGEXEXTRACT(J155, ""\d{1,3}[dD]\d{1,3}\s+(\w+)""), """")"),"")</f>
        <v/>
      </c>
      <c r="U155" s="17" t="str">
        <f>IFERROR(__xludf.DUMMYFUNCTION("IF(COUNTIF(ARRAYFORMULA(LOWER(Validations!$P$2:$P$100)), LOWER(REGEXEXTRACT(J155, ""\d{1,3}[dD]\d{1,3}\s+(\w+)"")))&gt;0, REGEXEXTRACT(J155, ""\d{1,3}[dD]\d{1,3}\s+(\w+)""), """")"),"")</f>
        <v/>
      </c>
      <c r="V155" s="12" t="str">
        <f>IFERROR(__xludf.DUMMYFUNCTION("TEXTJOIN("", "", TRUE, FILTER(Validations!$L$2:$L$100, ISNUMBER(SEARCH(Validations!$L$2:$L$100, J155))))"),"Altered, Invisible")</f>
        <v>Altered, Invisible</v>
      </c>
      <c r="W155" s="12" t="str">
        <f>IFERROR(__xludf.DUMMYFUNCTION("IFERROR(TEXTJOIN("", "", TRUE, FILTER(Validations!$M$2:$M$100, ISNUMBER(SEARCH(Validations!$M$2:$M$100 &amp; "" saving throw"", J155)))), """")"),"")</f>
        <v/>
      </c>
      <c r="X155" s="12"/>
      <c r="Y155" s="12"/>
      <c r="Z155" s="12" t="str">
        <f>IFERROR(__xludf.DUMMYFUNCTION("IFERROR(TEXTJOIN("", "", TRUE, FILTER(Validations!$N$2:$N$100, ISNUMBER(SEARCH(Validations!$N$2:$N$100 &amp; "" check"", J155)))), """")"),"")</f>
        <v/>
      </c>
      <c r="AA155" s="12" t="str">
        <f>IFERROR(__xludf.DUMMYFUNCTION("IFERROR(TEXTJOIN("", "", TRUE, FILTER(Validations!$N$2:$N$100, ISNUMBER(SEARCH(Validations!$N$2:$N$100 &amp; "" check"", W155)))), """")"),"")</f>
        <v/>
      </c>
      <c r="AB155" s="23" t="str">
        <f>IFERROR(__xludf.DUMMYFUNCTION("IFERROR(CONCATENATE(IF(ISNUMBER(SEARCH(Validations!$M$2:$M$100 &amp; "" spell save"", J155)),""Spell Save"",""""), REGEXEXTRACT(J155, ""DC (\d+)"")), """")"),"")</f>
        <v/>
      </c>
      <c r="AC155" s="24" t="b">
        <v>0</v>
      </c>
      <c r="AD155" s="24" t="b">
        <v>0</v>
      </c>
      <c r="AE155" s="36" t="s">
        <v>69</v>
      </c>
      <c r="AF155" s="25">
        <f>IFERROR(__xludf.DUMMYFUNCTION("IFERROR(VALUE(REGEXEXTRACT(AE155, ""\d+"")), 1)"),1.0)</f>
        <v>1</v>
      </c>
      <c r="AG155" s="12" t="str">
        <f>IFERROR(__xludf.DUMMYFUNCTION("IF(
  ISNUMBER(SEARCH(""Bonus Action"", AE155)),
  ""Bonus Action"",
  IF(
    ISNUMBER(SEARCH(""Reaction"", AE155)),
    ""Reaction"",
    IF(
      ISNUMBER(SEARCH(""Action"", AE155)),
      ""Action"",
      TEXTJOIN("", "", TRUE, FILTER(Validations!$S"&amp;"$2:$S$100, ISNUMBER(SEARCH(Validations!$S$2:$S$100, AE155))))
    )
  )
)"),"Action")</f>
        <v>Action</v>
      </c>
      <c r="AH155" s="36"/>
      <c r="AI155" s="20" t="s">
        <v>296</v>
      </c>
      <c r="AJ155" s="26" t="str">
        <f>IFERROR(__xludf.DUMMYFUNCTION("TEXTJOIN("", "", TRUE, FILTER(Validations!$T$2:$T$100, ISNUMBER(SEARCH(Validations!$T$2:$T$100, AI155))))"),"")</f>
        <v/>
      </c>
      <c r="AK155" s="26">
        <f>IFERROR(__xludf.DUMMYFUNCTION("IFERROR(VALUE(REGEXEXTRACT(AI155, ""\d+"")), """")"),1.0)</f>
        <v>1</v>
      </c>
      <c r="AL155" s="26" t="str">
        <f>IFERROR(__xludf.DUMMYFUNCTION("TEXTJOIN("", "", TRUE, FILTER(Validations!$U$2:$U$100, ISNUMBER(SEARCH(Validations!$U$2:$U$100, AI155))))"),"Hours")</f>
        <v>Hours</v>
      </c>
      <c r="AM155" s="24" t="b">
        <f t="shared" si="1"/>
        <v>0</v>
      </c>
      <c r="AN155" s="24" t="b">
        <v>0</v>
      </c>
      <c r="AO155" s="36" t="s">
        <v>772</v>
      </c>
      <c r="AP155" s="12" t="str">
        <f>IFERROR(__xludf.DUMMYFUNCTION("IF(TEXTJOIN("", "", TRUE, FILTER(Validations!$Q$2:$Q$100, ISNUMBER(SEARCH(Validations!$Q$2:$Q$100, AO155)))) = """", Validations!$Q$2, TEXTJOIN("", "", TRUE, FILTER(Validations!$Q$2:$Q$100, ISNUMBER(SEARCH(Validations!$Q$2:$Q$100, AO155)))))"),"Point")</f>
        <v>Point</v>
      </c>
      <c r="AQ155" s="12">
        <f>IFERROR(__xludf.DUMMYFUNCTION("IFERROR(VALUE(REGEXEXTRACT(AO155, ""\d+"")), """")"),1.0)</f>
        <v>1</v>
      </c>
      <c r="AR155" s="12" t="str">
        <f>IFERROR(__xludf.DUMMYFUNCTION("TEXTJOIN("", "", TRUE, FILTER(Validations!$R$2:$R$100, ISNUMBER(SEARCH(Validations!$R$2:$R$100, AO155))))"),"Touch, Feet")</f>
        <v>Touch, Feet</v>
      </c>
      <c r="AS155" s="27"/>
      <c r="AT155" s="12" t="str">
        <f>IFERROR(__xludf.DUMMYFUNCTION("IFERROR(TEXTJOIN("", "", TRUE, FILTER(Validations!$I$2:$I$100, ISNUMBER(SEARCH(Validations!$I$2:$I$100, AS155)))), """")"),"")</f>
        <v/>
      </c>
      <c r="AU155" s="16" t="str">
        <f t="array" ref="AU155">IFERROR(INDEX(Validations!$J$2:$J$100, MATCH(TRUE, ISNUMBER(SEARCH(Validations!$I$2:$I$100, AT155)), 0)), "")</f>
        <v/>
      </c>
      <c r="AV155" s="12" t="str">
        <f>IFERROR(__xludf.DUMMYFUNCTION("IFERROR(VALUE(REGEXEXTRACT(AS155, ""\d+"")), """")"),"")</f>
        <v/>
      </c>
      <c r="AW155" s="12" t="str">
        <f>IFERROR(__xludf.DUMMYFUNCTION("IFERROR(TEXTJOIN("", "", TRUE, FILTER(Validations!$Q$2:$Q$100, ISNUMBER(SEARCH(Validations!$Q$2:$Q$100, AS155)))), """")"),"")</f>
        <v/>
      </c>
      <c r="AX155" s="28" t="s">
        <v>152</v>
      </c>
      <c r="AY155" s="28" t="str">
        <f>IFERROR(__xludf.DUMMYFUNCTION("TEXTJOIN("", "", TRUE, FILTER(Validations!$Y$2:$Y$100, ISNUMBER(SEARCH(Validations!$X$2:$X$100, AX155))))"),"V, S, R")</f>
        <v>V, S, R</v>
      </c>
      <c r="AZ155" s="20" t="s">
        <v>773</v>
      </c>
      <c r="BA155" s="22"/>
      <c r="BB155" s="22"/>
      <c r="BC155" s="22"/>
      <c r="BD155" s="22"/>
      <c r="BE155" s="27"/>
      <c r="BF155" s="22"/>
      <c r="BG155" s="27"/>
      <c r="BH155" s="27"/>
      <c r="BI155" s="12" t="str">
        <f>IFERROR(__xludf.DUMMYFUNCTION("IFERROR(TEXTJOIN("", "", TRUE, FILTER(SRD!$A$2:$A$1000, EXACT(SRD!$A$2:$A$1000, J155))), """")"),"")</f>
        <v/>
      </c>
      <c r="BJ155" s="29"/>
      <c r="BK155" s="29"/>
    </row>
    <row r="156" ht="15.75" customHeight="1">
      <c r="A156" s="11" t="s">
        <v>774</v>
      </c>
      <c r="B156" s="12"/>
      <c r="C156" s="13"/>
      <c r="D156" s="13" t="s">
        <v>62</v>
      </c>
      <c r="E156" s="13"/>
      <c r="F156" s="14" t="s">
        <v>775</v>
      </c>
      <c r="G156" s="50" t="s">
        <v>672</v>
      </c>
      <c r="H156" s="16" t="s">
        <v>65</v>
      </c>
      <c r="I156" s="16" t="str">
        <f t="array" ref="I156">INDEX(Validations!$C$2:$C$100, MATCH(TRUE, ISNUMBER(SEARCH(Validations!$B$2:$B$100, H156)), 0))</f>
        <v>I</v>
      </c>
      <c r="J156" s="17" t="s">
        <v>776</v>
      </c>
      <c r="K156" s="18"/>
      <c r="L156" s="17"/>
      <c r="M156" s="37"/>
      <c r="N156" s="27"/>
      <c r="O156" s="17" t="s">
        <v>777</v>
      </c>
      <c r="P156" s="21"/>
      <c r="Q156" s="21"/>
      <c r="R156" s="36" t="s">
        <v>778</v>
      </c>
      <c r="S156" s="17" t="str">
        <f>IFERROR(__xludf.DUMMYFUNCTION("IFERROR(REGEXEXTRACT(J156, ""(\d{1,3}[dD]\d{1,3})""), """")"),"")</f>
        <v/>
      </c>
      <c r="T156" s="17" t="str">
        <f>IFERROR(__xludf.DUMMYFUNCTION("IF(COUNTIF(ARRAYFORMULA(LOWER(Validations!$O$2:$O$100)), LOWER(REGEXEXTRACT(J156, ""\d{1,3}[dD]\d{1,3}\s+(\w+)"")))&gt;0, REGEXEXTRACT(J156, ""\d{1,3}[dD]\d{1,3}\s+(\w+)""), """")"),"")</f>
        <v/>
      </c>
      <c r="U156" s="17" t="str">
        <f>IFERROR(__xludf.DUMMYFUNCTION("IF(COUNTIF(ARRAYFORMULA(LOWER(Validations!$P$2:$P$100)), LOWER(REGEXEXTRACT(J156, ""\d{1,3}[dD]\d{1,3}\s+(\w+)"")))&gt;0, REGEXEXTRACT(J156, ""\d{1,3}[dD]\d{1,3}\s+(\w+)""), """")"),"")</f>
        <v/>
      </c>
      <c r="V156" s="12" t="str">
        <f>IFERROR(__xludf.DUMMYFUNCTION("TEXTJOIN("", "", TRUE, FILTER(Validations!$L$2:$L$100, ISNUMBER(SEARCH(Validations!$L$2:$L$100, J156))))"),"")</f>
        <v/>
      </c>
      <c r="W156" s="12" t="str">
        <f>IFERROR(__xludf.DUMMYFUNCTION("IFERROR(TEXTJOIN("", "", TRUE, FILTER(Validations!$M$2:$M$100, ISNUMBER(SEARCH(Validations!$M$2:$M$100 &amp; "" saving throw"", J156)))), """")"),"Wisdom")</f>
        <v>Wisdom</v>
      </c>
      <c r="X156" s="12"/>
      <c r="Y156" s="12"/>
      <c r="Z156" s="12" t="str">
        <f>IFERROR(__xludf.DUMMYFUNCTION("IFERROR(TEXTJOIN("", "", TRUE, FILTER(Validations!$N$2:$N$100, ISNUMBER(SEARCH(Validations!$N$2:$N$100 &amp; "" check"", J156)))), """")"),"")</f>
        <v/>
      </c>
      <c r="AA156" s="12" t="str">
        <f>IFERROR(__xludf.DUMMYFUNCTION("IFERROR(TEXTJOIN("", "", TRUE, FILTER(Validations!$N$2:$N$100, ISNUMBER(SEARCH(Validations!$N$2:$N$100 &amp; "" check"", W156)))), """")"),"")</f>
        <v/>
      </c>
      <c r="AB156" s="23" t="str">
        <f>IFERROR(__xludf.DUMMYFUNCTION("IFERROR(CONCATENATE(IF(ISNUMBER(SEARCH(Validations!$M$2:$M$100 &amp; "" spell save"", J156)),""Spell Save"",""""), REGEXEXTRACT(J156, ""DC (\d+)"")), """")"),"")</f>
        <v/>
      </c>
      <c r="AC156" s="24" t="b">
        <v>0</v>
      </c>
      <c r="AD156" s="24" t="b">
        <v>0</v>
      </c>
      <c r="AE156" s="36" t="s">
        <v>208</v>
      </c>
      <c r="AF156" s="25">
        <f>IFERROR(__xludf.DUMMYFUNCTION("IFERROR(VALUE(REGEXEXTRACT(AE156, ""\d+"")), 1)"),1.0)</f>
        <v>1</v>
      </c>
      <c r="AG156" s="12" t="str">
        <f>IFERROR(__xludf.DUMMYFUNCTION("IF(
  ISNUMBER(SEARCH(""Bonus Action"", AE156)),
  ""Bonus Action"",
  IF(
    ISNUMBER(SEARCH(""Reaction"", AE156)),
    ""Reaction"",
    IF(
      ISNUMBER(SEARCH(""Action"", AE156)),
      ""Action"",
      TEXTJOIN("", "", TRUE, FILTER(Validations!$S"&amp;"$2:$S$100, ISNUMBER(SEARCH(Validations!$S$2:$S$100, AE156))))
    )
  )
)"),"Reaction")</f>
        <v>Reaction</v>
      </c>
      <c r="AH156" s="36" t="s">
        <v>779</v>
      </c>
      <c r="AI156" s="26" t="s">
        <v>70</v>
      </c>
      <c r="AJ156" s="26" t="str">
        <f>IFERROR(__xludf.DUMMYFUNCTION("TEXTJOIN("", "", TRUE, FILTER(Validations!$T$2:$T$100, ISNUMBER(SEARCH(Validations!$T$2:$T$100, AI156))))"),"Instantaneous")</f>
        <v>Instantaneous</v>
      </c>
      <c r="AK156" s="26" t="str">
        <f>IFERROR(__xludf.DUMMYFUNCTION("IFERROR(VALUE(REGEXEXTRACT(AI156, ""\d+"")), """")"),"")</f>
        <v/>
      </c>
      <c r="AL156" s="26" t="str">
        <f>IFERROR(__xludf.DUMMYFUNCTION("TEXTJOIN("", "", TRUE, FILTER(Validations!$U$2:$U$100, ISNUMBER(SEARCH(Validations!$U$2:$U$100, AI156))))"),"")</f>
        <v/>
      </c>
      <c r="AM156" s="24" t="b">
        <f t="shared" si="1"/>
        <v>0</v>
      </c>
      <c r="AN156" s="24" t="b">
        <v>0</v>
      </c>
      <c r="AO156" s="36" t="s">
        <v>112</v>
      </c>
      <c r="AP156" s="12" t="str">
        <f>IFERROR(__xludf.DUMMYFUNCTION("IF(TEXTJOIN("", "", TRUE, FILTER(Validations!$Q$2:$Q$100, ISNUMBER(SEARCH(Validations!$Q$2:$Q$100, AO156)))) = """", Validations!$Q$2, TEXTJOIN("", "", TRUE, FILTER(Validations!$Q$2:$Q$100, ISNUMBER(SEARCH(Validations!$Q$2:$Q$100, AO156)))))"),"Point")</f>
        <v>Point</v>
      </c>
      <c r="AQ156" s="12">
        <f>IFERROR(__xludf.DUMMYFUNCTION("IFERROR(VALUE(REGEXEXTRACT(AO156, ""\d+"")), """")"),30.0)</f>
        <v>30</v>
      </c>
      <c r="AR156" s="12" t="str">
        <f>IFERROR(__xludf.DUMMYFUNCTION("TEXTJOIN("", "", TRUE, FILTER(Validations!$R$2:$R$100, ISNUMBER(SEARCH(Validations!$R$2:$R$100, AO156))))"),"Feet")</f>
        <v>Feet</v>
      </c>
      <c r="AS156" s="27"/>
      <c r="AT156" s="12" t="str">
        <f>IFERROR(__xludf.DUMMYFUNCTION("IFERROR(TEXTJOIN("", "", TRUE, FILTER(Validations!$I$2:$I$100, ISNUMBER(SEARCH(Validations!$I$2:$I$100, AS156)))), """")"),"")</f>
        <v/>
      </c>
      <c r="AU156" s="16" t="str">
        <f t="array" ref="AU156">IFERROR(INDEX(Validations!$J$2:$J$100, MATCH(TRUE, ISNUMBER(SEARCH(Validations!$I$2:$I$100, AT156)), 0)), "")</f>
        <v/>
      </c>
      <c r="AV156" s="12" t="str">
        <f>IFERROR(__xludf.DUMMYFUNCTION("IFERROR(VALUE(REGEXEXTRACT(AS156, ""\d+"")), """")"),"")</f>
        <v/>
      </c>
      <c r="AW156" s="12" t="str">
        <f>IFERROR(__xludf.DUMMYFUNCTION("IFERROR(TEXTJOIN("", "", TRUE, FILTER(Validations!$Q$2:$Q$100, ISNUMBER(SEARCH(Validations!$Q$2:$Q$100, AS156)))), """")"),"")</f>
        <v/>
      </c>
      <c r="AX156" s="28" t="s">
        <v>72</v>
      </c>
      <c r="AY156" s="28" t="str">
        <f>IFERROR(__xludf.DUMMYFUNCTION("TEXTJOIN("", "", TRUE, FILTER(Validations!$Y$2:$Y$100, ISNUMBER(SEARCH(Validations!$X$2:$X$100, AX156))))"),"V, S")</f>
        <v>V, S</v>
      </c>
      <c r="AZ156" s="26"/>
      <c r="BA156" s="12"/>
      <c r="BB156" s="22"/>
      <c r="BC156" s="22"/>
      <c r="BD156" s="22"/>
      <c r="BE156" s="27"/>
      <c r="BF156" s="22"/>
      <c r="BG156" s="27"/>
      <c r="BH156" s="27"/>
      <c r="BI156" s="12" t="str">
        <f>IFERROR(__xludf.DUMMYFUNCTION("IFERROR(TEXTJOIN("", "", TRUE, FILTER(SRD!$A$2:$A$1000, EXACT(SRD!$A$2:$A$1000, J156))), """")"),"")</f>
        <v/>
      </c>
      <c r="BJ156" s="29"/>
      <c r="BK156" s="29"/>
    </row>
    <row r="157" ht="15.75" customHeight="1">
      <c r="A157" s="11" t="s">
        <v>780</v>
      </c>
      <c r="B157" s="12"/>
      <c r="C157" s="16"/>
      <c r="D157" s="16" t="s">
        <v>345</v>
      </c>
      <c r="E157" s="16"/>
      <c r="F157" s="32" t="s">
        <v>123</v>
      </c>
      <c r="G157" s="50" t="s">
        <v>672</v>
      </c>
      <c r="H157" s="31" t="s">
        <v>183</v>
      </c>
      <c r="I157" s="16" t="str">
        <f t="array" ref="I157">INDEX(Validations!$C$2:$C$100, MATCH(TRUE, ISNUMBER(SEARCH(Validations!$B$2:$B$100, H157)), 0))</f>
        <v>E</v>
      </c>
      <c r="J157" s="17" t="s">
        <v>781</v>
      </c>
      <c r="K157" s="18"/>
      <c r="L157" s="17"/>
      <c r="M157" s="17"/>
      <c r="N157" s="27"/>
      <c r="O157" s="17"/>
      <c r="P157" s="21"/>
      <c r="Q157" s="21"/>
      <c r="R157" s="22"/>
      <c r="S157" s="17" t="str">
        <f>IFERROR(__xludf.DUMMYFUNCTION("IFERROR(REGEXEXTRACT(J157, ""(\d{1,3}[dD]\d{1,3})""), """")"),"")</f>
        <v/>
      </c>
      <c r="T157" s="17" t="str">
        <f>IFERROR(__xludf.DUMMYFUNCTION("IF(COUNTIF(ARRAYFORMULA(LOWER(Validations!$O$2:$O$100)), LOWER(REGEXEXTRACT(J157, ""\d{1,3}[dD]\d{1,3}\s+(\w+)"")))&gt;0, REGEXEXTRACT(J157, ""\d{1,3}[dD]\d{1,3}\s+(\w+)""), """")"),"")</f>
        <v/>
      </c>
      <c r="U157" s="17" t="str">
        <f>IFERROR(__xludf.DUMMYFUNCTION("IF(COUNTIF(ARRAYFORMULA(LOWER(Validations!$P$2:$P$100)), LOWER(REGEXEXTRACT(J157, ""\d{1,3}[dD]\d{1,3}\s+(\w+)"")))&gt;0, REGEXEXTRACT(J157, ""\d{1,3}[dD]\d{1,3}\s+(\w+)""), """")"),"")</f>
        <v/>
      </c>
      <c r="V157" s="12" t="str">
        <f>IFERROR(__xludf.DUMMYFUNCTION("TEXTJOIN("", "", TRUE, FILTER(Validations!$L$2:$L$100, ISNUMBER(SEARCH(Validations!$L$2:$L$100, J157))))"),"")</f>
        <v/>
      </c>
      <c r="W157" s="12" t="str">
        <f>IFERROR(__xludf.DUMMYFUNCTION("IFERROR(TEXTJOIN("", "", TRUE, FILTER(Validations!$M$2:$M$100, ISNUMBER(SEARCH(Validations!$M$2:$M$100 &amp; "" saving throw"", J157)))), """")"),"")</f>
        <v/>
      </c>
      <c r="X157" s="12"/>
      <c r="Y157" s="12"/>
      <c r="Z157" s="12" t="str">
        <f>IFERROR(__xludf.DUMMYFUNCTION("IFERROR(TEXTJOIN("", "", TRUE, FILTER(Validations!$N$2:$N$100, ISNUMBER(SEARCH(Validations!$N$2:$N$100 &amp; "" check"", J157)))), """")"),"")</f>
        <v/>
      </c>
      <c r="AA157" s="12" t="str">
        <f>IFERROR(__xludf.DUMMYFUNCTION("IFERROR(TEXTJOIN("", "", TRUE, FILTER(Validations!$N$2:$N$100, ISNUMBER(SEARCH(Validations!$N$2:$N$100 &amp; "" check"", W157)))), """")"),"")</f>
        <v/>
      </c>
      <c r="AB157" s="23" t="str">
        <f>IFERROR(__xludf.DUMMYFUNCTION("IFERROR(CONCATENATE(IF(ISNUMBER(SEARCH(Validations!$M$2:$M$100 &amp; "" spell save"", J157)),""Spell Save"",""""), REGEXEXTRACT(J157, ""DC (\d+)"")), """")"),"")</f>
        <v/>
      </c>
      <c r="AC157" s="24" t="b">
        <v>0</v>
      </c>
      <c r="AD157" s="24" t="b">
        <v>0</v>
      </c>
      <c r="AE157" s="36" t="s">
        <v>69</v>
      </c>
      <c r="AF157" s="25">
        <f>IFERROR(__xludf.DUMMYFUNCTION("IFERROR(VALUE(REGEXEXTRACT(AE157, ""\d+"")), 1)"),1.0)</f>
        <v>1</v>
      </c>
      <c r="AG157" s="12" t="str">
        <f>IFERROR(__xludf.DUMMYFUNCTION("IF(
  ISNUMBER(SEARCH(""Bonus Action"", AE157)),
  ""Bonus Action"",
  IF(
    ISNUMBER(SEARCH(""Reaction"", AE157)),
    ""Reaction"",
    IF(
      ISNUMBER(SEARCH(""Action"", AE157)),
      ""Action"",
      TEXTJOIN("", "", TRUE, FILTER(Validations!$S"&amp;"$2:$S$100, ISNUMBER(SEARCH(Validations!$S$2:$S$100, AE157))))
    )
  )
)"),"Action")</f>
        <v>Action</v>
      </c>
      <c r="AH157" s="36"/>
      <c r="AI157" s="20" t="s">
        <v>782</v>
      </c>
      <c r="AJ157" s="26" t="str">
        <f>IFERROR(__xludf.DUMMYFUNCTION("TEXTJOIN("", "", TRUE, FILTER(Validations!$T$2:$T$100, ISNUMBER(SEARCH(Validations!$T$2:$T$100, AI157))))"),"")</f>
        <v/>
      </c>
      <c r="AK157" s="26">
        <f>IFERROR(__xludf.DUMMYFUNCTION("IFERROR(VALUE(REGEXEXTRACT(AI157, ""\d+"")), """")"),1.0)</f>
        <v>1</v>
      </c>
      <c r="AL157" s="26" t="str">
        <f>IFERROR(__xludf.DUMMYFUNCTION("TEXTJOIN("", "", TRUE, FILTER(Validations!$U$2:$U$100, ISNUMBER(SEARCH(Validations!$U$2:$U$100, AI157))))"),"")</f>
        <v/>
      </c>
      <c r="AM157" s="24" t="b">
        <f t="shared" si="1"/>
        <v>0</v>
      </c>
      <c r="AN157" s="24" t="b">
        <v>0</v>
      </c>
      <c r="AO157" s="22" t="s">
        <v>71</v>
      </c>
      <c r="AP157" s="12" t="str">
        <f>IFERROR(__xludf.DUMMYFUNCTION("IF(TEXTJOIN("", "", TRUE, FILTER(Validations!$Q$2:$Q$100, ISNUMBER(SEARCH(Validations!$Q$2:$Q$100, AO157)))) = """", Validations!$Q$2, TEXTJOIN("", "", TRUE, FILTER(Validations!$Q$2:$Q$100, ISNUMBER(SEARCH(Validations!$Q$2:$Q$100, AO157)))))"),"Point")</f>
        <v>Point</v>
      </c>
      <c r="AQ157" s="12" t="str">
        <f>IFERROR(__xludf.DUMMYFUNCTION("IFERROR(VALUE(REGEXEXTRACT(AO157, ""\d+"")), """")"),"")</f>
        <v/>
      </c>
      <c r="AR157" s="12" t="str">
        <f>IFERROR(__xludf.DUMMYFUNCTION("TEXTJOIN("", "", TRUE, FILTER(Validations!$R$2:$R$100, ISNUMBER(SEARCH(Validations!$R$2:$R$100, AO157))))"),"Touch")</f>
        <v>Touch</v>
      </c>
      <c r="AS157" s="27"/>
      <c r="AT157" s="12" t="str">
        <f>IFERROR(__xludf.DUMMYFUNCTION("IFERROR(TEXTJOIN("", "", TRUE, FILTER(Validations!$I$2:$I$100, ISNUMBER(SEARCH(Validations!$I$2:$I$100, AS157)))), """")"),"")</f>
        <v/>
      </c>
      <c r="AU157" s="16" t="str">
        <f t="array" ref="AU157">IFERROR(INDEX(Validations!$J$2:$J$100, MATCH(TRUE, ISNUMBER(SEARCH(Validations!$I$2:$I$100, AT157)), 0)), "")</f>
        <v/>
      </c>
      <c r="AV157" s="12" t="str">
        <f>IFERROR(__xludf.DUMMYFUNCTION("IFERROR(VALUE(REGEXEXTRACT(AS157, ""\d+"")), """")"),"")</f>
        <v/>
      </c>
      <c r="AW157" s="12" t="str">
        <f>IFERROR(__xludf.DUMMYFUNCTION("IFERROR(TEXTJOIN("", "", TRUE, FILTER(Validations!$Q$2:$Q$100, ISNUMBER(SEARCH(Validations!$Q$2:$Q$100, AS157)))), """")"),"")</f>
        <v/>
      </c>
      <c r="AX157" s="28" t="s">
        <v>106</v>
      </c>
      <c r="AY157" s="28" t="str">
        <f>IFERROR(__xludf.DUMMYFUNCTION("TEXTJOIN("", "", TRUE, FILTER(Validations!$Y$2:$Y$100, ISNUMBER(SEARCH(Validations!$X$2:$X$100, AX157))))"),"S")</f>
        <v>S</v>
      </c>
      <c r="AZ157" s="27"/>
      <c r="BA157" s="22"/>
      <c r="BB157" s="22"/>
      <c r="BC157" s="22"/>
      <c r="BD157" s="22"/>
      <c r="BE157" s="27"/>
      <c r="BF157" s="22"/>
      <c r="BG157" s="27"/>
      <c r="BH157" s="27"/>
      <c r="BI157" s="12" t="str">
        <f>IFERROR(__xludf.DUMMYFUNCTION("IFERROR(TEXTJOIN("", "", TRUE, FILTER(SRD!$A$2:$A$1000, EXACT(SRD!$A$2:$A$1000, J157))), """")"),"")</f>
        <v/>
      </c>
      <c r="BJ157" s="29"/>
      <c r="BK157" s="29"/>
    </row>
    <row r="158" ht="15.75" customHeight="1">
      <c r="A158" s="11" t="s">
        <v>783</v>
      </c>
      <c r="B158" s="12"/>
      <c r="C158" s="16"/>
      <c r="D158" s="16" t="s">
        <v>784</v>
      </c>
      <c r="E158" s="16"/>
      <c r="F158" s="32" t="s">
        <v>123</v>
      </c>
      <c r="G158" s="50" t="s">
        <v>672</v>
      </c>
      <c r="H158" s="31" t="s">
        <v>183</v>
      </c>
      <c r="I158" s="16" t="str">
        <f t="array" ref="I158">INDEX(Validations!$C$2:$C$100, MATCH(TRUE, ISNUMBER(SEARCH(Validations!$B$2:$B$100, H158)), 0))</f>
        <v>E</v>
      </c>
      <c r="J158" s="17" t="s">
        <v>785</v>
      </c>
      <c r="K158" s="18"/>
      <c r="L158" s="17"/>
      <c r="M158" s="17"/>
      <c r="N158" s="27"/>
      <c r="O158" s="17"/>
      <c r="P158" s="21"/>
      <c r="Q158" s="21"/>
      <c r="R158" s="22"/>
      <c r="S158" s="17" t="str">
        <f>IFERROR(__xludf.DUMMYFUNCTION("IFERROR(REGEXEXTRACT(J158, ""(\d{1,3}[dD]\d{1,3})""), """")"),"")</f>
        <v/>
      </c>
      <c r="T158" s="17" t="str">
        <f>IFERROR(__xludf.DUMMYFUNCTION("IF(COUNTIF(ARRAYFORMULA(LOWER(Validations!$O$2:$O$100)), LOWER(REGEXEXTRACT(J158, ""\d{1,3}[dD]\d{1,3}\s+(\w+)"")))&gt;0, REGEXEXTRACT(J158, ""\d{1,3}[dD]\d{1,3}\s+(\w+)""), """")"),"")</f>
        <v/>
      </c>
      <c r="U158" s="17" t="str">
        <f>IFERROR(__xludf.DUMMYFUNCTION("IF(COUNTIF(ARRAYFORMULA(LOWER(Validations!$P$2:$P$100)), LOWER(REGEXEXTRACT(J158, ""\d{1,3}[dD]\d{1,3}\s+(\w+)"")))&gt;0, REGEXEXTRACT(J158, ""\d{1,3}[dD]\d{1,3}\s+(\w+)""), """")"),"")</f>
        <v/>
      </c>
      <c r="V158" s="12" t="str">
        <f>IFERROR(__xludf.DUMMYFUNCTION("TEXTJOIN("", "", TRUE, FILTER(Validations!$L$2:$L$100, ISNUMBER(SEARCH(Validations!$L$2:$L$100, J158))))"),"Unconscious")</f>
        <v>Unconscious</v>
      </c>
      <c r="W158" s="12" t="str">
        <f>IFERROR(__xludf.DUMMYFUNCTION("IFERROR(TEXTJOIN("", "", TRUE, FILTER(Validations!$M$2:$M$100, ISNUMBER(SEARCH(Validations!$M$2:$M$100 &amp; "" saving throw"", J158)))), """")"),"")</f>
        <v/>
      </c>
      <c r="X158" s="12"/>
      <c r="Y158" s="12"/>
      <c r="Z158" s="12" t="str">
        <f>IFERROR(__xludf.DUMMYFUNCTION("IFERROR(TEXTJOIN("", "", TRUE, FILTER(Validations!$N$2:$N$100, ISNUMBER(SEARCH(Validations!$N$2:$N$100 &amp; "" check"", J158)))), """")"),"")</f>
        <v/>
      </c>
      <c r="AA158" s="12" t="str">
        <f>IFERROR(__xludf.DUMMYFUNCTION("IFERROR(TEXTJOIN("", "", TRUE, FILTER(Validations!$N$2:$N$100, ISNUMBER(SEARCH(Validations!$N$2:$N$100 &amp; "" check"", W158)))), """")"),"")</f>
        <v/>
      </c>
      <c r="AB158" s="23" t="str">
        <f>IFERROR(__xludf.DUMMYFUNCTION("IFERROR(CONCATENATE(IF(ISNUMBER(SEARCH(Validations!$M$2:$M$100 &amp; "" spell save"", J158)),""Spell Save"",""""), REGEXEXTRACT(J158, ""DC (\d+)"")), """")"),"")</f>
        <v/>
      </c>
      <c r="AC158" s="24" t="b">
        <v>0</v>
      </c>
      <c r="AD158" s="24" t="b">
        <v>0</v>
      </c>
      <c r="AE158" s="36" t="s">
        <v>69</v>
      </c>
      <c r="AF158" s="25">
        <f>IFERROR(__xludf.DUMMYFUNCTION("IFERROR(VALUE(REGEXEXTRACT(AE158, ""\d+"")), 1)"),1.0)</f>
        <v>1</v>
      </c>
      <c r="AG158" s="12" t="str">
        <f>IFERROR(__xludf.DUMMYFUNCTION("IF(
  ISNUMBER(SEARCH(""Bonus Action"", AE158)),
  ""Bonus Action"",
  IF(
    ISNUMBER(SEARCH(""Reaction"", AE158)),
    ""Reaction"",
    IF(
      ISNUMBER(SEARCH(""Action"", AE158)),
      ""Action"",
      TEXTJOIN("", "", TRUE, FILTER(Validations!$S"&amp;"$2:$S$100, ISNUMBER(SEARCH(Validations!$S$2:$S$100, AE158))))
    )
  )
)"),"Action")</f>
        <v>Action</v>
      </c>
      <c r="AH158" s="36"/>
      <c r="AI158" s="20" t="s">
        <v>134</v>
      </c>
      <c r="AJ158" s="26" t="str">
        <f>IFERROR(__xludf.DUMMYFUNCTION("TEXTJOIN("", "", TRUE, FILTER(Validations!$T$2:$T$100, ISNUMBER(SEARCH(Validations!$T$2:$T$100, AI158))))"),"")</f>
        <v/>
      </c>
      <c r="AK158" s="26">
        <f>IFERROR(__xludf.DUMMYFUNCTION("IFERROR(VALUE(REGEXEXTRACT(AI158, ""\d+"")), """")"),10.0)</f>
        <v>10</v>
      </c>
      <c r="AL158" s="26" t="str">
        <f>IFERROR(__xludf.DUMMYFUNCTION("TEXTJOIN("", "", TRUE, FILTER(Validations!$U$2:$U$100, ISNUMBER(SEARCH(Validations!$U$2:$U$100, AI158))))"),"Minutes")</f>
        <v>Minutes</v>
      </c>
      <c r="AM158" s="24" t="b">
        <f t="shared" si="1"/>
        <v>0</v>
      </c>
      <c r="AN158" s="24" t="b">
        <v>0</v>
      </c>
      <c r="AO158" s="22" t="s">
        <v>71</v>
      </c>
      <c r="AP158" s="12" t="str">
        <f>IFERROR(__xludf.DUMMYFUNCTION("IF(TEXTJOIN("", "", TRUE, FILTER(Validations!$Q$2:$Q$100, ISNUMBER(SEARCH(Validations!$Q$2:$Q$100, AO158)))) = """", Validations!$Q$2, TEXTJOIN("", "", TRUE, FILTER(Validations!$Q$2:$Q$100, ISNUMBER(SEARCH(Validations!$Q$2:$Q$100, AO158)))))"),"Point")</f>
        <v>Point</v>
      </c>
      <c r="AQ158" s="12" t="str">
        <f>IFERROR(__xludf.DUMMYFUNCTION("IFERROR(VALUE(REGEXEXTRACT(AO158, ""\d+"")), """")"),"")</f>
        <v/>
      </c>
      <c r="AR158" s="12" t="str">
        <f>IFERROR(__xludf.DUMMYFUNCTION("TEXTJOIN("", "", TRUE, FILTER(Validations!$R$2:$R$100, ISNUMBER(SEARCH(Validations!$R$2:$R$100, AO158))))"),"Touch")</f>
        <v>Touch</v>
      </c>
      <c r="AS158" s="27"/>
      <c r="AT158" s="12" t="str">
        <f>IFERROR(__xludf.DUMMYFUNCTION("IFERROR(TEXTJOIN("", "", TRUE, FILTER(Validations!$I$2:$I$100, ISNUMBER(SEARCH(Validations!$I$2:$I$100, AS158)))), """")"),"")</f>
        <v/>
      </c>
      <c r="AU158" s="16" t="str">
        <f t="array" ref="AU158">IFERROR(INDEX(Validations!$J$2:$J$100, MATCH(TRUE, ISNUMBER(SEARCH(Validations!$I$2:$I$100, AT158)), 0)), "")</f>
        <v/>
      </c>
      <c r="AV158" s="12" t="str">
        <f>IFERROR(__xludf.DUMMYFUNCTION("IFERROR(VALUE(REGEXEXTRACT(AS158, ""\d+"")), """")"),"")</f>
        <v/>
      </c>
      <c r="AW158" s="12" t="str">
        <f>IFERROR(__xludf.DUMMYFUNCTION("IFERROR(TEXTJOIN("", "", TRUE, FILTER(Validations!$Q$2:$Q$100, ISNUMBER(SEARCH(Validations!$Q$2:$Q$100, AS158)))), """")"),"")</f>
        <v/>
      </c>
      <c r="AX158" s="28" t="s">
        <v>106</v>
      </c>
      <c r="AY158" s="28" t="str">
        <f>IFERROR(__xludf.DUMMYFUNCTION("TEXTJOIN("", "", TRUE, FILTER(Validations!$Y$2:$Y$100, ISNUMBER(SEARCH(Validations!$X$2:$X$100, AX158))))"),"S")</f>
        <v>S</v>
      </c>
      <c r="AZ158" s="27"/>
      <c r="BA158" s="22"/>
      <c r="BB158" s="22"/>
      <c r="BC158" s="22"/>
      <c r="BD158" s="22"/>
      <c r="BE158" s="27"/>
      <c r="BF158" s="22"/>
      <c r="BG158" s="27"/>
      <c r="BH158" s="27"/>
      <c r="BI158" s="12" t="str">
        <f>IFERROR(__xludf.DUMMYFUNCTION("IFERROR(TEXTJOIN("", "", TRUE, FILTER(SRD!$A$2:$A$1000, EXACT(SRD!$A$2:$A$1000, J158))), """")"),"")</f>
        <v/>
      </c>
      <c r="BJ158" s="29"/>
      <c r="BK158" s="29"/>
    </row>
    <row r="159" ht="15.75" customHeight="1">
      <c r="A159" s="11" t="s">
        <v>786</v>
      </c>
      <c r="B159" s="12"/>
      <c r="C159" s="16"/>
      <c r="D159" s="16" t="s">
        <v>787</v>
      </c>
      <c r="E159" s="16"/>
      <c r="F159" s="32" t="s">
        <v>123</v>
      </c>
      <c r="G159" s="50" t="s">
        <v>672</v>
      </c>
      <c r="H159" s="31" t="s">
        <v>140</v>
      </c>
      <c r="I159" s="16" t="str">
        <f t="array" ref="I159">INDEX(Validations!$C$2:$C$100, MATCH(TRUE, ISNUMBER(SEARCH(Validations!$B$2:$B$100, H159)), 0))</f>
        <v>N</v>
      </c>
      <c r="J159" s="17" t="s">
        <v>788</v>
      </c>
      <c r="K159" s="18"/>
      <c r="L159" s="17"/>
      <c r="M159" s="17"/>
      <c r="N159" s="27"/>
      <c r="O159" s="17"/>
      <c r="P159" s="21"/>
      <c r="Q159" s="21"/>
      <c r="R159" s="22"/>
      <c r="S159" s="17" t="str">
        <f>IFERROR(__xludf.DUMMYFUNCTION("IFERROR(REGEXEXTRACT(J159, ""(\d{1,3}[dD]\d{1,3})""), """")"),"2d4")</f>
        <v>2d4</v>
      </c>
      <c r="T159" s="17" t="str">
        <f>IFERROR(__xludf.DUMMYFUNCTION("IF(COUNTIF(ARRAYFORMULA(LOWER(Validations!$O$2:$O$100)), LOWER(REGEXEXTRACT(J159, ""\d{1,3}[dD]\d{1,3}\s+(\w+)"")))&gt;0, REGEXEXTRACT(J159, ""\d{1,3}[dD]\d{1,3}\s+(\w+)""), """")"),"")</f>
        <v/>
      </c>
      <c r="U159" s="17" t="str">
        <f>IFERROR(__xludf.DUMMYFUNCTION("IF(COUNTIF(ARRAYFORMULA(LOWER(Validations!$P$2:$P$100)), LOWER(REGEXEXTRACT(J159, ""\d{1,3}[dD]\d{1,3}\s+(\w+)"")))&gt;0, REGEXEXTRACT(J159, ""\d{1,3}[dD]\d{1,3}\s+(\w+)""), """")"),"")</f>
        <v/>
      </c>
      <c r="V159" s="12" t="str">
        <f>IFERROR(__xludf.DUMMYFUNCTION("TEXTJOIN("", "", TRUE, FILTER(Validations!$L$2:$L$100, ISNUMBER(SEARCH(Validations!$L$2:$L$100, J159))))"),"")</f>
        <v/>
      </c>
      <c r="W159" s="12" t="str">
        <f>IFERROR(__xludf.DUMMYFUNCTION("IFERROR(TEXTJOIN("", "", TRUE, FILTER(Validations!$M$2:$M$100, ISNUMBER(SEARCH(Validations!$M$2:$M$100 &amp; "" saving throw"", J159)))), """")"),"")</f>
        <v/>
      </c>
      <c r="X159" s="12"/>
      <c r="Y159" s="12"/>
      <c r="Z159" s="12" t="str">
        <f>IFERROR(__xludf.DUMMYFUNCTION("IFERROR(TEXTJOIN("", "", TRUE, FILTER(Validations!$N$2:$N$100, ISNUMBER(SEARCH(Validations!$N$2:$N$100 &amp; "" check"", J159)))), """")"),"")</f>
        <v/>
      </c>
      <c r="AA159" s="12" t="str">
        <f>IFERROR(__xludf.DUMMYFUNCTION("IFERROR(TEXTJOIN("", "", TRUE, FILTER(Validations!$N$2:$N$100, ISNUMBER(SEARCH(Validations!$N$2:$N$100 &amp; "" check"", W159)))), """")"),"")</f>
        <v/>
      </c>
      <c r="AB159" s="23" t="str">
        <f>IFERROR(__xludf.DUMMYFUNCTION("IFERROR(CONCATENATE(IF(ISNUMBER(SEARCH(Validations!$M$2:$M$100 &amp; "" spell save"", J159)),""Spell Save"",""""), REGEXEXTRACT(J159, ""DC (\d+)"")), """")"),"")</f>
        <v/>
      </c>
      <c r="AC159" s="24" t="b">
        <v>0</v>
      </c>
      <c r="AD159" s="24" t="b">
        <v>0</v>
      </c>
      <c r="AE159" s="36" t="s">
        <v>69</v>
      </c>
      <c r="AF159" s="25">
        <f>IFERROR(__xludf.DUMMYFUNCTION("IFERROR(VALUE(REGEXEXTRACT(AE159, ""\d+"")), 1)"),1.0)</f>
        <v>1</v>
      </c>
      <c r="AG159" s="12" t="str">
        <f>IFERROR(__xludf.DUMMYFUNCTION("IF(
  ISNUMBER(SEARCH(""Bonus Action"", AE159)),
  ""Bonus Action"",
  IF(
    ISNUMBER(SEARCH(""Reaction"", AE159)),
    ""Reaction"",
    IF(
      ISNUMBER(SEARCH(""Action"", AE159)),
      ""Action"",
      TEXTJOIN("", "", TRUE, FILTER(Validations!$S"&amp;"$2:$S$100, ISNUMBER(SEARCH(Validations!$S$2:$S$100, AE159))))
    )
  )
)"),"Action")</f>
        <v>Action</v>
      </c>
      <c r="AH159" s="36"/>
      <c r="AI159" s="27" t="s">
        <v>789</v>
      </c>
      <c r="AJ159" s="26" t="str">
        <f>IFERROR(__xludf.DUMMYFUNCTION("TEXTJOIN("", "", TRUE, FILTER(Validations!$T$2:$T$100, ISNUMBER(SEARCH(Validations!$T$2:$T$100, AI159))))"),"Special")</f>
        <v>Special</v>
      </c>
      <c r="AK159" s="26" t="str">
        <f>IFERROR(__xludf.DUMMYFUNCTION("IFERROR(VALUE(REGEXEXTRACT(AI159, ""\d+"")), """")"),"")</f>
        <v/>
      </c>
      <c r="AL159" s="26" t="str">
        <f>IFERROR(__xludf.DUMMYFUNCTION("TEXTJOIN("", "", TRUE, FILTER(Validations!$U$2:$U$100, ISNUMBER(SEARCH(Validations!$U$2:$U$100, AI159))))"),"")</f>
        <v/>
      </c>
      <c r="AM159" s="24" t="b">
        <f t="shared" si="1"/>
        <v>0</v>
      </c>
      <c r="AN159" s="24" t="b">
        <v>0</v>
      </c>
      <c r="AO159" s="22" t="s">
        <v>71</v>
      </c>
      <c r="AP159" s="12" t="str">
        <f>IFERROR(__xludf.DUMMYFUNCTION("IF(TEXTJOIN("", "", TRUE, FILTER(Validations!$Q$2:$Q$100, ISNUMBER(SEARCH(Validations!$Q$2:$Q$100, AO159)))) = """", Validations!$Q$2, TEXTJOIN("", "", TRUE, FILTER(Validations!$Q$2:$Q$100, ISNUMBER(SEARCH(Validations!$Q$2:$Q$100, AO159)))))"),"Point")</f>
        <v>Point</v>
      </c>
      <c r="AQ159" s="12" t="str">
        <f>IFERROR(__xludf.DUMMYFUNCTION("IFERROR(VALUE(REGEXEXTRACT(AO159, ""\d+"")), """")"),"")</f>
        <v/>
      </c>
      <c r="AR159" s="12" t="str">
        <f>IFERROR(__xludf.DUMMYFUNCTION("TEXTJOIN("", "", TRUE, FILTER(Validations!$R$2:$R$100, ISNUMBER(SEARCH(Validations!$R$2:$R$100, AO159))))"),"Touch")</f>
        <v>Touch</v>
      </c>
      <c r="AS159" s="27"/>
      <c r="AT159" s="12" t="str">
        <f>IFERROR(__xludf.DUMMYFUNCTION("IFERROR(TEXTJOIN("", "", TRUE, FILTER(Validations!$I$2:$I$100, ISNUMBER(SEARCH(Validations!$I$2:$I$100, AS159)))), """")"),"")</f>
        <v/>
      </c>
      <c r="AU159" s="16" t="str">
        <f t="array" ref="AU159">IFERROR(INDEX(Validations!$J$2:$J$100, MATCH(TRUE, ISNUMBER(SEARCH(Validations!$I$2:$I$100, AT159)), 0)), "")</f>
        <v/>
      </c>
      <c r="AV159" s="12" t="str">
        <f>IFERROR(__xludf.DUMMYFUNCTION("IFERROR(VALUE(REGEXEXTRACT(AS159, ""\d+"")), """")"),"")</f>
        <v/>
      </c>
      <c r="AW159" s="12" t="str">
        <f>IFERROR(__xludf.DUMMYFUNCTION("IFERROR(TEXTJOIN("", "", TRUE, FILTER(Validations!$Q$2:$Q$100, ISNUMBER(SEARCH(Validations!$Q$2:$Q$100, AS159)))), """")"),"")</f>
        <v/>
      </c>
      <c r="AX159" s="28" t="s">
        <v>142</v>
      </c>
      <c r="AY159" s="28" t="str">
        <f>IFERROR(__xludf.DUMMYFUNCTION("TEXTJOIN("", "", TRUE, FILTER(Validations!$Y$2:$Y$100, ISNUMBER(SEARCH(Validations!$X$2:$X$100, AX159))))"),"V, S")</f>
        <v>V, S</v>
      </c>
      <c r="AZ159" s="27"/>
      <c r="BA159" s="22"/>
      <c r="BB159" s="22"/>
      <c r="BC159" s="22"/>
      <c r="BD159" s="22"/>
      <c r="BE159" s="27"/>
      <c r="BF159" s="22"/>
      <c r="BG159" s="27"/>
      <c r="BH159" s="27"/>
      <c r="BI159" s="12" t="str">
        <f>IFERROR(__xludf.DUMMYFUNCTION("IFERROR(TEXTJOIN("", "", TRUE, FILTER(SRD!$A$2:$A$1000, EXACT(SRD!$A$2:$A$1000, J159))), """")"),"")</f>
        <v/>
      </c>
      <c r="BJ159" s="29"/>
      <c r="BK159" s="29"/>
    </row>
    <row r="160" ht="15.75" customHeight="1">
      <c r="A160" s="11" t="s">
        <v>790</v>
      </c>
      <c r="B160" s="12"/>
      <c r="C160" s="16"/>
      <c r="D160" s="16" t="s">
        <v>345</v>
      </c>
      <c r="E160" s="16"/>
      <c r="F160" s="32" t="s">
        <v>90</v>
      </c>
      <c r="G160" s="50" t="s">
        <v>672</v>
      </c>
      <c r="H160" s="31" t="s">
        <v>183</v>
      </c>
      <c r="I160" s="16" t="str">
        <f t="array" ref="I160">INDEX(Validations!$C$2:$C$100, MATCH(TRUE, ISNUMBER(SEARCH(Validations!$B$2:$B$100, H160)), 0))</f>
        <v>E</v>
      </c>
      <c r="J160" s="17" t="s">
        <v>791</v>
      </c>
      <c r="K160" s="18"/>
      <c r="L160" s="17"/>
      <c r="M160" s="17"/>
      <c r="N160" s="27"/>
      <c r="O160" s="17"/>
      <c r="P160" s="21"/>
      <c r="Q160" s="21"/>
      <c r="R160" s="22"/>
      <c r="S160" s="17" t="str">
        <f>IFERROR(__xludf.DUMMYFUNCTION("IFERROR(REGEXEXTRACT(J160, ""(\d{1,3}[dD]\d{1,3})""), """")"),"")</f>
        <v/>
      </c>
      <c r="T160" s="17" t="str">
        <f>IFERROR(__xludf.DUMMYFUNCTION("IF(COUNTIF(ARRAYFORMULA(LOWER(Validations!$O$2:$O$100)), LOWER(REGEXEXTRACT(J160, ""\d{1,3}[dD]\d{1,3}\s+(\w+)"")))&gt;0, REGEXEXTRACT(J160, ""\d{1,3}[dD]\d{1,3}\s+(\w+)""), """")"),"")</f>
        <v/>
      </c>
      <c r="U160" s="17" t="str">
        <f>IFERROR(__xludf.DUMMYFUNCTION("IF(COUNTIF(ARRAYFORMULA(LOWER(Validations!$P$2:$P$100)), LOWER(REGEXEXTRACT(J160, ""\d{1,3}[dD]\d{1,3}\s+(\w+)"")))&gt;0, REGEXEXTRACT(J160, ""\d{1,3}[dD]\d{1,3}\s+(\w+)""), """")"),"")</f>
        <v/>
      </c>
      <c r="V160" s="12" t="str">
        <f>IFERROR(__xludf.DUMMYFUNCTION("TEXTJOIN("", "", TRUE, FILTER(Validations!$L$2:$L$100, ISNUMBER(SEARCH(Validations!$L$2:$L$100, J160))))"),"Exhaustion")</f>
        <v>Exhaustion</v>
      </c>
      <c r="W160" s="12" t="str">
        <f>IFERROR(__xludf.DUMMYFUNCTION("IFERROR(TEXTJOIN("", "", TRUE, FILTER(Validations!$M$2:$M$100, ISNUMBER(SEARCH(Validations!$M$2:$M$100 &amp; "" saving throw"", J160)))), """")"),"Constitution")</f>
        <v>Constitution</v>
      </c>
      <c r="X160" s="12"/>
      <c r="Y160" s="12"/>
      <c r="Z160" s="12" t="str">
        <f>IFERROR(__xludf.DUMMYFUNCTION("IFERROR(TEXTJOIN("", "", TRUE, FILTER(Validations!$N$2:$N$100, ISNUMBER(SEARCH(Validations!$N$2:$N$100 &amp; "" check"", J160)))), """")"),"")</f>
        <v/>
      </c>
      <c r="AA160" s="12" t="str">
        <f>IFERROR(__xludf.DUMMYFUNCTION("IFERROR(TEXTJOIN("", "", TRUE, FILTER(Validations!$N$2:$N$100, ISNUMBER(SEARCH(Validations!$N$2:$N$100 &amp; "" check"", W160)))), """")"),"")</f>
        <v/>
      </c>
      <c r="AB160" s="23" t="str">
        <f>IFERROR(__xludf.DUMMYFUNCTION("IFERROR(CONCATENATE(IF(ISNUMBER(SEARCH(Validations!$M$2:$M$100 &amp; "" spell save"", J160)),""Spell Save"",""""), REGEXEXTRACT(J160, ""DC (\d+)"")), """")"),"")</f>
        <v/>
      </c>
      <c r="AC160" s="24" t="b">
        <v>0</v>
      </c>
      <c r="AD160" s="24" t="b">
        <v>0</v>
      </c>
      <c r="AE160" s="36" t="s">
        <v>69</v>
      </c>
      <c r="AF160" s="25">
        <f>IFERROR(__xludf.DUMMYFUNCTION("IFERROR(VALUE(REGEXEXTRACT(AE160, ""\d+"")), 1)"),1.0)</f>
        <v>1</v>
      </c>
      <c r="AG160" s="12" t="str">
        <f>IFERROR(__xludf.DUMMYFUNCTION("IF(
  ISNUMBER(SEARCH(""Bonus Action"", AE160)),
  ""Bonus Action"",
  IF(
    ISNUMBER(SEARCH(""Reaction"", AE160)),
    ""Reaction"",
    IF(
      ISNUMBER(SEARCH(""Action"", AE160)),
      ""Action"",
      TEXTJOIN("", "", TRUE, FILTER(Validations!$S"&amp;"$2:$S$100, ISNUMBER(SEARCH(Validations!$S$2:$S$100, AE160))))
    )
  )
)"),"Action")</f>
        <v>Action</v>
      </c>
      <c r="AH160" s="36"/>
      <c r="AI160" s="27" t="s">
        <v>70</v>
      </c>
      <c r="AJ160" s="26" t="str">
        <f>IFERROR(__xludf.DUMMYFUNCTION("TEXTJOIN("", "", TRUE, FILTER(Validations!$T$2:$T$100, ISNUMBER(SEARCH(Validations!$T$2:$T$100, AI160))))"),"Instantaneous")</f>
        <v>Instantaneous</v>
      </c>
      <c r="AK160" s="26" t="str">
        <f>IFERROR(__xludf.DUMMYFUNCTION("IFERROR(VALUE(REGEXEXTRACT(AI160, ""\d+"")), """")"),"")</f>
        <v/>
      </c>
      <c r="AL160" s="26" t="str">
        <f>IFERROR(__xludf.DUMMYFUNCTION("TEXTJOIN("", "", TRUE, FILTER(Validations!$U$2:$U$100, ISNUMBER(SEARCH(Validations!$U$2:$U$100, AI160))))"),"")</f>
        <v/>
      </c>
      <c r="AM160" s="24" t="b">
        <f t="shared" si="1"/>
        <v>0</v>
      </c>
      <c r="AN160" s="24" t="b">
        <v>0</v>
      </c>
      <c r="AO160" s="22" t="s">
        <v>71</v>
      </c>
      <c r="AP160" s="12" t="str">
        <f>IFERROR(__xludf.DUMMYFUNCTION("IF(TEXTJOIN("", "", TRUE, FILTER(Validations!$Q$2:$Q$100, ISNUMBER(SEARCH(Validations!$Q$2:$Q$100, AO160)))) = """", Validations!$Q$2, TEXTJOIN("", "", TRUE, FILTER(Validations!$Q$2:$Q$100, ISNUMBER(SEARCH(Validations!$Q$2:$Q$100, AO160)))))"),"Point")</f>
        <v>Point</v>
      </c>
      <c r="AQ160" s="12" t="str">
        <f>IFERROR(__xludf.DUMMYFUNCTION("IFERROR(VALUE(REGEXEXTRACT(AO160, ""\d+"")), """")"),"")</f>
        <v/>
      </c>
      <c r="AR160" s="12" t="str">
        <f>IFERROR(__xludf.DUMMYFUNCTION("TEXTJOIN("", "", TRUE, FILTER(Validations!$R$2:$R$100, ISNUMBER(SEARCH(Validations!$R$2:$R$100, AO160))))"),"Touch")</f>
        <v>Touch</v>
      </c>
      <c r="AS160" s="27"/>
      <c r="AT160" s="12" t="str">
        <f>IFERROR(__xludf.DUMMYFUNCTION("IFERROR(TEXTJOIN("", "", TRUE, FILTER(Validations!$I$2:$I$100, ISNUMBER(SEARCH(Validations!$I$2:$I$100, AS160)))), """")"),"")</f>
        <v/>
      </c>
      <c r="AU160" s="16" t="str">
        <f t="array" ref="AU160">IFERROR(INDEX(Validations!$J$2:$J$100, MATCH(TRUE, ISNUMBER(SEARCH(Validations!$I$2:$I$100, AT160)), 0)), "")</f>
        <v/>
      </c>
      <c r="AV160" s="12" t="str">
        <f>IFERROR(__xludf.DUMMYFUNCTION("IFERROR(VALUE(REGEXEXTRACT(AS160, ""\d+"")), """")"),"")</f>
        <v/>
      </c>
      <c r="AW160" s="12" t="str">
        <f>IFERROR(__xludf.DUMMYFUNCTION("IFERROR(TEXTJOIN("", "", TRUE, FILTER(Validations!$Q$2:$Q$100, ISNUMBER(SEARCH(Validations!$Q$2:$Q$100, AS160)))), """")"),"")</f>
        <v/>
      </c>
      <c r="AX160" s="28" t="s">
        <v>106</v>
      </c>
      <c r="AY160" s="28" t="str">
        <f>IFERROR(__xludf.DUMMYFUNCTION("TEXTJOIN("", "", TRUE, FILTER(Validations!$Y$2:$Y$100, ISNUMBER(SEARCH(Validations!$X$2:$X$100, AX160))))"),"S")</f>
        <v>S</v>
      </c>
      <c r="AZ160" s="27"/>
      <c r="BA160" s="22"/>
      <c r="BB160" s="22"/>
      <c r="BC160" s="22"/>
      <c r="BD160" s="22"/>
      <c r="BE160" s="27"/>
      <c r="BF160" s="22"/>
      <c r="BG160" s="27"/>
      <c r="BH160" s="27"/>
      <c r="BI160" s="12" t="str">
        <f>IFERROR(__xludf.DUMMYFUNCTION("IFERROR(TEXTJOIN("", "", TRUE, FILTER(SRD!$A$2:$A$1000, EXACT(SRD!$A$2:$A$1000, J160))), """")"),"")</f>
        <v/>
      </c>
      <c r="BJ160" s="29"/>
      <c r="BK160" s="29"/>
    </row>
    <row r="161" ht="15.75" customHeight="1">
      <c r="A161" s="30" t="s">
        <v>792</v>
      </c>
      <c r="B161" s="22"/>
      <c r="C161" s="31"/>
      <c r="D161" s="31" t="s">
        <v>74</v>
      </c>
      <c r="E161" s="31"/>
      <c r="F161" s="32" t="s">
        <v>499</v>
      </c>
      <c r="G161" s="50" t="s">
        <v>672</v>
      </c>
      <c r="H161" s="16" t="s">
        <v>178</v>
      </c>
      <c r="I161" s="16" t="str">
        <f t="array" ref="I161">INDEX(Validations!$C$2:$C$100, MATCH(TRUE, ISNUMBER(SEARCH(Validations!$B$2:$B$100, H161)), 0))</f>
        <v>A</v>
      </c>
      <c r="J161" s="17" t="s">
        <v>793</v>
      </c>
      <c r="K161" s="18"/>
      <c r="L161" s="17"/>
      <c r="M161" s="17"/>
      <c r="N161" s="27"/>
      <c r="O161" s="17"/>
      <c r="P161" s="21"/>
      <c r="Q161" s="21"/>
      <c r="R161" s="22"/>
      <c r="S161" s="17" t="str">
        <f>IFERROR(__xludf.DUMMYFUNCTION("IFERROR(REGEXEXTRACT(J161, ""(\d{1,3}[dD]\d{1,3})""), """")"),"")</f>
        <v/>
      </c>
      <c r="T161" s="17" t="str">
        <f>IFERROR(__xludf.DUMMYFUNCTION("IF(COUNTIF(ARRAYFORMULA(LOWER(Validations!$O$2:$O$100)), LOWER(REGEXEXTRACT(J161, ""\d{1,3}[dD]\d{1,3}\s+(\w+)"")))&gt;0, REGEXEXTRACT(J161, ""\d{1,3}[dD]\d{1,3}\s+(\w+)""), """")"),"")</f>
        <v/>
      </c>
      <c r="U161" s="17" t="str">
        <f>IFERROR(__xludf.DUMMYFUNCTION("IF(COUNTIF(ARRAYFORMULA(LOWER(Validations!$P$2:$P$100)), LOWER(REGEXEXTRACT(J161, ""\d{1,3}[dD]\d{1,3}\s+(\w+)"")))&gt;0, REGEXEXTRACT(J161, ""\d{1,3}[dD]\d{1,3}\s+(\w+)""), """")"),"")</f>
        <v/>
      </c>
      <c r="V161" s="12" t="str">
        <f>IFERROR(__xludf.DUMMYFUNCTION("TEXTJOIN("", "", TRUE, FILTER(Validations!$L$2:$L$100, ISNUMBER(SEARCH(Validations!$L$2:$L$100, J161))))"),"")</f>
        <v/>
      </c>
      <c r="W161" s="12" t="str">
        <f>IFERROR(__xludf.DUMMYFUNCTION("IFERROR(TEXTJOIN("", "", TRUE, FILTER(Validations!$M$2:$M$100, ISNUMBER(SEARCH(Validations!$M$2:$M$100 &amp; "" saving throw"", J161)))), """")"),"")</f>
        <v/>
      </c>
      <c r="X161" s="12"/>
      <c r="Y161" s="12"/>
      <c r="Z161" s="12" t="str">
        <f>IFERROR(__xludf.DUMMYFUNCTION("IFERROR(TEXTJOIN("", "", TRUE, FILTER(Validations!$N$2:$N$100, ISNUMBER(SEARCH(Validations!$N$2:$N$100 &amp; "" check"", J161)))), """")"),"")</f>
        <v/>
      </c>
      <c r="AA161" s="12" t="str">
        <f>IFERROR(__xludf.DUMMYFUNCTION("IFERROR(TEXTJOIN("", "", TRUE, FILTER(Validations!$N$2:$N$100, ISNUMBER(SEARCH(Validations!$N$2:$N$100 &amp; "" check"", W161)))), """")"),"")</f>
        <v/>
      </c>
      <c r="AB161" s="23" t="str">
        <f>IFERROR(__xludf.DUMMYFUNCTION("IFERROR(CONCATENATE(IF(ISNUMBER(SEARCH(Validations!$M$2:$M$100 &amp; "" spell save"", J161)),""Spell Save"",""""), REGEXEXTRACT(J161, ""DC (\d+)"")), """")"),"")</f>
        <v/>
      </c>
      <c r="AC161" s="24" t="b">
        <v>0</v>
      </c>
      <c r="AD161" s="24" t="b">
        <v>0</v>
      </c>
      <c r="AE161" s="36" t="s">
        <v>69</v>
      </c>
      <c r="AF161" s="25">
        <f>IFERROR(__xludf.DUMMYFUNCTION("IFERROR(VALUE(REGEXEXTRACT(AE161, ""\d+"")), 1)"),1.0)</f>
        <v>1</v>
      </c>
      <c r="AG161" s="12" t="str">
        <f>IFERROR(__xludf.DUMMYFUNCTION("IF(
  ISNUMBER(SEARCH(""Bonus Action"", AE161)),
  ""Bonus Action"",
  IF(
    ISNUMBER(SEARCH(""Reaction"", AE161)),
    ""Reaction"",
    IF(
      ISNUMBER(SEARCH(""Action"", AE161)),
      ""Action"",
      TEXTJOIN("", "", TRUE, FILTER(Validations!$S"&amp;"$2:$S$100, ISNUMBER(SEARCH(Validations!$S$2:$S$100, AE161))))
    )
  )
)"),"Action")</f>
        <v>Action</v>
      </c>
      <c r="AH161" s="36"/>
      <c r="AI161" s="20" t="s">
        <v>92</v>
      </c>
      <c r="AJ161" s="26" t="str">
        <f>IFERROR(__xludf.DUMMYFUNCTION("TEXTJOIN("", "", TRUE, FILTER(Validations!$T$2:$T$100, ISNUMBER(SEARCH(Validations!$T$2:$T$100, AI161))))"),"")</f>
        <v/>
      </c>
      <c r="AK161" s="26">
        <f>IFERROR(__xludf.DUMMYFUNCTION("IFERROR(VALUE(REGEXEXTRACT(AI161, ""\d+"")), """")"),1.0)</f>
        <v>1</v>
      </c>
      <c r="AL161" s="26" t="str">
        <f>IFERROR(__xludf.DUMMYFUNCTION("TEXTJOIN("", "", TRUE, FILTER(Validations!$U$2:$U$100, ISNUMBER(SEARCH(Validations!$U$2:$U$100, AI161))))"),"Minutes")</f>
        <v>Minutes</v>
      </c>
      <c r="AM161" s="24" t="b">
        <f t="shared" si="1"/>
        <v>0</v>
      </c>
      <c r="AN161" s="24" t="b">
        <v>0</v>
      </c>
      <c r="AO161" s="22" t="s">
        <v>71</v>
      </c>
      <c r="AP161" s="12" t="str">
        <f>IFERROR(__xludf.DUMMYFUNCTION("IF(TEXTJOIN("", "", TRUE, FILTER(Validations!$Q$2:$Q$100, ISNUMBER(SEARCH(Validations!$Q$2:$Q$100, AO161)))) = """", Validations!$Q$2, TEXTJOIN("", "", TRUE, FILTER(Validations!$Q$2:$Q$100, ISNUMBER(SEARCH(Validations!$Q$2:$Q$100, AO161)))))"),"Point")</f>
        <v>Point</v>
      </c>
      <c r="AQ161" s="12" t="str">
        <f>IFERROR(__xludf.DUMMYFUNCTION("IFERROR(VALUE(REGEXEXTRACT(AO161, ""\d+"")), """")"),"")</f>
        <v/>
      </c>
      <c r="AR161" s="12" t="str">
        <f>IFERROR(__xludf.DUMMYFUNCTION("TEXTJOIN("", "", TRUE, FILTER(Validations!$R$2:$R$100, ISNUMBER(SEARCH(Validations!$R$2:$R$100, AO161))))"),"Touch")</f>
        <v>Touch</v>
      </c>
      <c r="AS161" s="27"/>
      <c r="AT161" s="12" t="str">
        <f>IFERROR(__xludf.DUMMYFUNCTION("IFERROR(TEXTJOIN("", "", TRUE, FILTER(Validations!$I$2:$I$100, ISNUMBER(SEARCH(Validations!$I$2:$I$100, AS161)))), """")"),"")</f>
        <v/>
      </c>
      <c r="AU161" s="16" t="str">
        <f t="array" ref="AU161">IFERROR(INDEX(Validations!$J$2:$J$100, MATCH(TRUE, ISNUMBER(SEARCH(Validations!$I$2:$I$100, AT161)), 0)), "")</f>
        <v/>
      </c>
      <c r="AV161" s="12" t="str">
        <f>IFERROR(__xludf.DUMMYFUNCTION("IFERROR(VALUE(REGEXEXTRACT(AS161, ""\d+"")), """")"),"")</f>
        <v/>
      </c>
      <c r="AW161" s="12" t="str">
        <f>IFERROR(__xludf.DUMMYFUNCTION("IFERROR(TEXTJOIN("", "", TRUE, FILTER(Validations!$Q$2:$Q$100, ISNUMBER(SEARCH(Validations!$Q$2:$Q$100, AS161)))), """")"),"")</f>
        <v/>
      </c>
      <c r="AX161" s="28" t="s">
        <v>152</v>
      </c>
      <c r="AY161" s="28" t="str">
        <f>IFERROR(__xludf.DUMMYFUNCTION("TEXTJOIN("", "", TRUE, FILTER(Validations!$Y$2:$Y$100, ISNUMBER(SEARCH(Validations!$X$2:$X$100, AX161))))"),"V, S, R")</f>
        <v>V, S, R</v>
      </c>
      <c r="AZ161" s="20" t="s">
        <v>794</v>
      </c>
      <c r="BA161" s="22"/>
      <c r="BB161" s="22"/>
      <c r="BC161" s="22"/>
      <c r="BD161" s="22"/>
      <c r="BE161" s="27"/>
      <c r="BF161" s="22"/>
      <c r="BG161" s="27"/>
      <c r="BH161" s="27"/>
      <c r="BI161" s="12" t="str">
        <f>IFERROR(__xludf.DUMMYFUNCTION("IFERROR(TEXTJOIN("", "", TRUE, FILTER(SRD!$A$2:$A$1000, EXACT(SRD!$A$2:$A$1000, J161))), """")"),"")</f>
        <v/>
      </c>
      <c r="BJ161" s="29"/>
      <c r="BK161" s="29"/>
    </row>
    <row r="162" ht="15.75" customHeight="1">
      <c r="A162" s="30" t="s">
        <v>795</v>
      </c>
      <c r="B162" s="22"/>
      <c r="C162" s="31"/>
      <c r="D162" s="31" t="s">
        <v>74</v>
      </c>
      <c r="E162" s="31"/>
      <c r="F162" s="32" t="s">
        <v>796</v>
      </c>
      <c r="G162" s="50" t="s">
        <v>672</v>
      </c>
      <c r="H162" s="31" t="s">
        <v>183</v>
      </c>
      <c r="I162" s="16" t="str">
        <f t="array" ref="I162">INDEX(Validations!$C$2:$C$100, MATCH(TRUE, ISNUMBER(SEARCH(Validations!$B$2:$B$100, H162)), 0))</f>
        <v>E</v>
      </c>
      <c r="J162" s="17" t="s">
        <v>797</v>
      </c>
      <c r="K162" s="18"/>
      <c r="L162" s="17"/>
      <c r="M162" s="17"/>
      <c r="N162" s="27"/>
      <c r="O162" s="17"/>
      <c r="P162" s="21"/>
      <c r="Q162" s="21"/>
      <c r="R162" s="36" t="s">
        <v>798</v>
      </c>
      <c r="S162" s="17" t="str">
        <f>IFERROR(__xludf.DUMMYFUNCTION("IFERROR(REGEXEXTRACT(J162, ""(\d{1,3}[dD]\d{1,3})""), """")"),"")</f>
        <v/>
      </c>
      <c r="T162" s="17" t="str">
        <f>IFERROR(__xludf.DUMMYFUNCTION("IF(COUNTIF(ARRAYFORMULA(LOWER(Validations!$O$2:$O$100)), LOWER(REGEXEXTRACT(J162, ""\d{1,3}[dD]\d{1,3}\s+(\w+)"")))&gt;0, REGEXEXTRACT(J162, ""\d{1,3}[dD]\d{1,3}\s+(\w+)""), """")"),"")</f>
        <v/>
      </c>
      <c r="U162" s="17" t="str">
        <f>IFERROR(__xludf.DUMMYFUNCTION("IF(COUNTIF(ARRAYFORMULA(LOWER(Validations!$P$2:$P$100)), LOWER(REGEXEXTRACT(J162, ""\d{1,3}[dD]\d{1,3}\s+(\w+)"")))&gt;0, REGEXEXTRACT(J162, ""\d{1,3}[dD]\d{1,3}\s+(\w+)""), """")"),"")</f>
        <v/>
      </c>
      <c r="V162" s="12" t="str">
        <f>IFERROR(__xludf.DUMMYFUNCTION("TEXTJOIN("", "", TRUE, FILTER(Validations!$L$2:$L$100, ISNUMBER(SEARCH(Validations!$L$2:$L$100, J162))))"),"")</f>
        <v/>
      </c>
      <c r="W162" s="12" t="str">
        <f>IFERROR(__xludf.DUMMYFUNCTION("IFERROR(TEXTJOIN("", "", TRUE, FILTER(Validations!$M$2:$M$100, ISNUMBER(SEARCH(Validations!$M$2:$M$100 &amp; "" saving throw"", J162)))), """")"),"Charisma")</f>
        <v>Charisma</v>
      </c>
      <c r="X162" s="12"/>
      <c r="Y162" s="12"/>
      <c r="Z162" s="12" t="str">
        <f>IFERROR(__xludf.DUMMYFUNCTION("IFERROR(TEXTJOIN("", "", TRUE, FILTER(Validations!$N$2:$N$100, ISNUMBER(SEARCH(Validations!$N$2:$N$100 &amp; "" check"", J162)))), """")"),"")</f>
        <v/>
      </c>
      <c r="AA162" s="12" t="str">
        <f>IFERROR(__xludf.DUMMYFUNCTION("IFERROR(TEXTJOIN("", "", TRUE, FILTER(Validations!$N$2:$N$100, ISNUMBER(SEARCH(Validations!$N$2:$N$100 &amp; "" check"", W162)))), """")"),"")</f>
        <v/>
      </c>
      <c r="AB162" s="23" t="str">
        <f>IFERROR(__xludf.DUMMYFUNCTION("IFERROR(CONCATENATE(IF(ISNUMBER(SEARCH(Validations!$M$2:$M$100 &amp; "" spell save"", J162)),""Spell Save"",""""), REGEXEXTRACT(J162, ""DC (\d+)"")), """")"),"")</f>
        <v/>
      </c>
      <c r="AC162" s="24" t="b">
        <v>0</v>
      </c>
      <c r="AD162" s="24" t="b">
        <v>0</v>
      </c>
      <c r="AE162" s="36" t="s">
        <v>69</v>
      </c>
      <c r="AF162" s="25">
        <f>IFERROR(__xludf.DUMMYFUNCTION("IFERROR(VALUE(REGEXEXTRACT(AE162, ""\d+"")), 1)"),1.0)</f>
        <v>1</v>
      </c>
      <c r="AG162" s="12" t="str">
        <f>IFERROR(__xludf.DUMMYFUNCTION("IF(
  ISNUMBER(SEARCH(""Bonus Action"", AE162)),
  ""Bonus Action"",
  IF(
    ISNUMBER(SEARCH(""Reaction"", AE162)),
    ""Reaction"",
    IF(
      ISNUMBER(SEARCH(""Action"", AE162)),
      ""Action"",
      TEXTJOIN("", "", TRUE, FILTER(Validations!$S"&amp;"$2:$S$100, ISNUMBER(SEARCH(Validations!$S$2:$S$100, AE162))))
    )
  )
)"),"Action")</f>
        <v>Action</v>
      </c>
      <c r="AH162" s="36"/>
      <c r="AI162" s="20" t="s">
        <v>134</v>
      </c>
      <c r="AJ162" s="26" t="str">
        <f>IFERROR(__xludf.DUMMYFUNCTION("TEXTJOIN("", "", TRUE, FILTER(Validations!$T$2:$T$100, ISNUMBER(SEARCH(Validations!$T$2:$T$100, AI162))))"),"")</f>
        <v/>
      </c>
      <c r="AK162" s="26">
        <f>IFERROR(__xludf.DUMMYFUNCTION("IFERROR(VALUE(REGEXEXTRACT(AI162, ""\d+"")), """")"),10.0)</f>
        <v>10</v>
      </c>
      <c r="AL162" s="26" t="str">
        <f>IFERROR(__xludf.DUMMYFUNCTION("TEXTJOIN("", "", TRUE, FILTER(Validations!$U$2:$U$100, ISNUMBER(SEARCH(Validations!$U$2:$U$100, AI162))))"),"Minutes")</f>
        <v>Minutes</v>
      </c>
      <c r="AM162" s="24" t="b">
        <f t="shared" si="1"/>
        <v>0</v>
      </c>
      <c r="AN162" s="24" t="b">
        <v>1</v>
      </c>
      <c r="AO162" s="22" t="s">
        <v>112</v>
      </c>
      <c r="AP162" s="12" t="str">
        <f>IFERROR(__xludf.DUMMYFUNCTION("IF(TEXTJOIN("", "", TRUE, FILTER(Validations!$Q$2:$Q$100, ISNUMBER(SEARCH(Validations!$Q$2:$Q$100, AO162)))) = """", Validations!$Q$2, TEXTJOIN("", "", TRUE, FILTER(Validations!$Q$2:$Q$100, ISNUMBER(SEARCH(Validations!$Q$2:$Q$100, AO162)))))"),"Point")</f>
        <v>Point</v>
      </c>
      <c r="AQ162" s="12">
        <f>IFERROR(__xludf.DUMMYFUNCTION("IFERROR(VALUE(REGEXEXTRACT(AO162, ""\d+"")), """")"),30.0)</f>
        <v>30</v>
      </c>
      <c r="AR162" s="12" t="str">
        <f>IFERROR(__xludf.DUMMYFUNCTION("TEXTJOIN("", "", TRUE, FILTER(Validations!$R$2:$R$100, ISNUMBER(SEARCH(Validations!$R$2:$R$100, AO162))))"),"Feet")</f>
        <v>Feet</v>
      </c>
      <c r="AS162" s="27"/>
      <c r="AT162" s="12" t="str">
        <f>IFERROR(__xludf.DUMMYFUNCTION("IFERROR(TEXTJOIN("", "", TRUE, FILTER(Validations!$I$2:$I$100, ISNUMBER(SEARCH(Validations!$I$2:$I$100, AS162)))), """")"),"")</f>
        <v/>
      </c>
      <c r="AU162" s="16" t="str">
        <f t="array" ref="AU162">IFERROR(INDEX(Validations!$J$2:$J$100, MATCH(TRUE, ISNUMBER(SEARCH(Validations!$I$2:$I$100, AT162)), 0)), "")</f>
        <v/>
      </c>
      <c r="AV162" s="12" t="str">
        <f>IFERROR(__xludf.DUMMYFUNCTION("IFERROR(VALUE(REGEXEXTRACT(AS162, ""\d+"")), """")"),"")</f>
        <v/>
      </c>
      <c r="AW162" s="12" t="str">
        <f>IFERROR(__xludf.DUMMYFUNCTION("IFERROR(TEXTJOIN("", "", TRUE, FILTER(Validations!$Q$2:$Q$100, ISNUMBER(SEARCH(Validations!$Q$2:$Q$100, AS162)))), """")"),"")</f>
        <v/>
      </c>
      <c r="AX162" s="28" t="s">
        <v>152</v>
      </c>
      <c r="AY162" s="28" t="str">
        <f>IFERROR(__xludf.DUMMYFUNCTION("TEXTJOIN("", "", TRUE, FILTER(Validations!$Y$2:$Y$100, ISNUMBER(SEARCH(Validations!$X$2:$X$100, AX162))))"),"V, S, R")</f>
        <v>V, S, R</v>
      </c>
      <c r="AZ162" s="20" t="s">
        <v>799</v>
      </c>
      <c r="BA162" s="22"/>
      <c r="BB162" s="22"/>
      <c r="BC162" s="22"/>
      <c r="BD162" s="22"/>
      <c r="BE162" s="27"/>
      <c r="BF162" s="22"/>
      <c r="BG162" s="27"/>
      <c r="BH162" s="27"/>
      <c r="BI162" s="12" t="str">
        <f>IFERROR(__xludf.DUMMYFUNCTION("IFERROR(TEXTJOIN("", "", TRUE, FILTER(SRD!$A$2:$A$1000, EXACT(SRD!$A$2:$A$1000, J162))), """")"),"")</f>
        <v/>
      </c>
      <c r="BJ162" s="29"/>
      <c r="BK162" s="29"/>
    </row>
    <row r="163" ht="15.75" customHeight="1">
      <c r="A163" s="30" t="s">
        <v>800</v>
      </c>
      <c r="B163" s="22"/>
      <c r="C163" s="16"/>
      <c r="D163" s="16" t="s">
        <v>302</v>
      </c>
      <c r="E163" s="16"/>
      <c r="F163" s="32" t="s">
        <v>769</v>
      </c>
      <c r="G163" s="50" t="s">
        <v>672</v>
      </c>
      <c r="H163" s="31" t="s">
        <v>103</v>
      </c>
      <c r="I163" s="16" t="str">
        <f t="array" ref="I163">INDEX(Validations!$C$2:$C$100, MATCH(TRUE, ISNUMBER(SEARCH(Validations!$B$2:$B$100, H163)), 0))</f>
        <v>C</v>
      </c>
      <c r="J163" s="17" t="s">
        <v>801</v>
      </c>
      <c r="K163" s="34"/>
      <c r="L163" s="17"/>
      <c r="M163" s="33"/>
      <c r="N163" s="27"/>
      <c r="O163" s="17"/>
      <c r="P163" s="21"/>
      <c r="Q163" s="21"/>
      <c r="R163" s="22"/>
      <c r="S163" s="17" t="str">
        <f>IFERROR(__xludf.DUMMYFUNCTION("IFERROR(REGEXEXTRACT(J163, ""(\d{1,3}[dD]\d{1,3})""), """")"),"1d8")</f>
        <v>1d8</v>
      </c>
      <c r="T163" s="17" t="str">
        <f>IFERROR(__xludf.DUMMYFUNCTION("IF(COUNTIF(ARRAYFORMULA(LOWER(Validations!$O$2:$O$100)), LOWER(REGEXEXTRACT(J163, ""\d{1,3}[dD]\d{1,3}\s+(\w+)"")))&gt;0, REGEXEXTRACT(J163, ""\d{1,3}[dD]\d{1,3}\s+(\w+)""), """")"),"")</f>
        <v/>
      </c>
      <c r="U163" s="17" t="str">
        <f>IFERROR(__xludf.DUMMYFUNCTION("IF(COUNTIF(ARRAYFORMULA(LOWER(Validations!$P$2:$P$100)), LOWER(REGEXEXTRACT(J163, ""\d{1,3}[dD]\d{1,3}\s+(\w+)"")))&gt;0, REGEXEXTRACT(J163, ""\d{1,3}[dD]\d{1,3}\s+(\w+)""), """")"),"")</f>
        <v/>
      </c>
      <c r="V163" s="12" t="str">
        <f>IFERROR(__xludf.DUMMYFUNCTION("TEXTJOIN("", "", TRUE, FILTER(Validations!$L$2:$L$100, ISNUMBER(SEARCH(Validations!$L$2:$L$100, J163))))"),"")</f>
        <v/>
      </c>
      <c r="W163" s="12" t="str">
        <f>IFERROR(__xludf.DUMMYFUNCTION("IFERROR(TEXTJOIN("", "", TRUE, FILTER(Validations!$M$2:$M$100, ISNUMBER(SEARCH(Validations!$M$2:$M$100 &amp; "" saving throw"", J163)))), """")"),"")</f>
        <v/>
      </c>
      <c r="X163" s="12"/>
      <c r="Y163" s="12"/>
      <c r="Z163" s="12" t="str">
        <f>IFERROR(__xludf.DUMMYFUNCTION("IFERROR(TEXTJOIN("", "", TRUE, FILTER(Validations!$N$2:$N$100, ISNUMBER(SEARCH(Validations!$N$2:$N$100 &amp; "" check"", J163)))), """")"),"")</f>
        <v/>
      </c>
      <c r="AA163" s="12" t="str">
        <f>IFERROR(__xludf.DUMMYFUNCTION("IFERROR(TEXTJOIN("", "", TRUE, FILTER(Validations!$N$2:$N$100, ISNUMBER(SEARCH(Validations!$N$2:$N$100 &amp; "" check"", W163)))), """")"),"")</f>
        <v/>
      </c>
      <c r="AB163" s="23" t="str">
        <f>IFERROR(__xludf.DUMMYFUNCTION("IFERROR(CONCATENATE(IF(ISNUMBER(SEARCH(Validations!$M$2:$M$100 &amp; "" spell save"", J163)),""Spell Save"",""""), REGEXEXTRACT(J163, ""DC (\d+)"")), """")"),"")</f>
        <v/>
      </c>
      <c r="AC163" s="24" t="b">
        <v>0</v>
      </c>
      <c r="AD163" s="24" t="b">
        <v>0</v>
      </c>
      <c r="AE163" s="36" t="s">
        <v>435</v>
      </c>
      <c r="AF163" s="25">
        <f>IFERROR(__xludf.DUMMYFUNCTION("IFERROR(VALUE(REGEXEXTRACT(AE163, ""\d+"")), 1)"),1.0)</f>
        <v>1</v>
      </c>
      <c r="AG163" s="12" t="str">
        <f>IFERROR(__xludf.DUMMYFUNCTION("IF(
  ISNUMBER(SEARCH(""Bonus Action"", AE163)),
  ""Bonus Action"",
  IF(
    ISNUMBER(SEARCH(""Reaction"", AE163)),
    ""Reaction"",
    IF(
      ISNUMBER(SEARCH(""Action"", AE163)),
      ""Action"",
      TEXTJOIN("", "", TRUE, FILTER(Validations!$S"&amp;"$2:$S$100, ISNUMBER(SEARCH(Validations!$S$2:$S$100, AE163))))
    )
  )
)"),"Bonus Action")</f>
        <v>Bonus Action</v>
      </c>
      <c r="AH163" s="22"/>
      <c r="AI163" s="20" t="s">
        <v>92</v>
      </c>
      <c r="AJ163" s="26" t="str">
        <f>IFERROR(__xludf.DUMMYFUNCTION("TEXTJOIN("", "", TRUE, FILTER(Validations!$T$2:$T$100, ISNUMBER(SEARCH(Validations!$T$2:$T$100, AI163))))"),"")</f>
        <v/>
      </c>
      <c r="AK163" s="26">
        <f>IFERROR(__xludf.DUMMYFUNCTION("IFERROR(VALUE(REGEXEXTRACT(AI163, ""\d+"")), """")"),1.0)</f>
        <v>1</v>
      </c>
      <c r="AL163" s="26" t="str">
        <f>IFERROR(__xludf.DUMMYFUNCTION("TEXTJOIN("", "", TRUE, FILTER(Validations!$U$2:$U$100, ISNUMBER(SEARCH(Validations!$U$2:$U$100, AI163))))"),"Minutes")</f>
        <v>Minutes</v>
      </c>
      <c r="AM163" s="24" t="b">
        <f t="shared" si="1"/>
        <v>0</v>
      </c>
      <c r="AN163" s="24" t="b">
        <v>1</v>
      </c>
      <c r="AO163" s="22" t="s">
        <v>440</v>
      </c>
      <c r="AP163" s="12" t="str">
        <f>IFERROR(__xludf.DUMMYFUNCTION("IF(TEXTJOIN("", "", TRUE, FILTER(Validations!$Q$2:$Q$100, ISNUMBER(SEARCH(Validations!$Q$2:$Q$100, AO163)))) = """", Validations!$Q$2, TEXTJOIN("", "", TRUE, FILTER(Validations!$Q$2:$Q$100, ISNUMBER(SEARCH(Validations!$Q$2:$Q$100, AO163)))))"),"Point")</f>
        <v>Point</v>
      </c>
      <c r="AQ163" s="12">
        <f>IFERROR(__xludf.DUMMYFUNCTION("IFERROR(VALUE(REGEXEXTRACT(AO163, ""\d+"")), """")"),60.0)</f>
        <v>60</v>
      </c>
      <c r="AR163" s="12" t="str">
        <f>IFERROR(__xludf.DUMMYFUNCTION("TEXTJOIN("", "", TRUE, FILTER(Validations!$R$2:$R$100, ISNUMBER(SEARCH(Validations!$R$2:$R$100, AO163))))"),"Feet")</f>
        <v>Feet</v>
      </c>
      <c r="AS163" s="27"/>
      <c r="AT163" s="12" t="str">
        <f>IFERROR(__xludf.DUMMYFUNCTION("IFERROR(TEXTJOIN("", "", TRUE, FILTER(Validations!$I$2:$I$100, ISNUMBER(SEARCH(Validations!$I$2:$I$100, AS163)))), """")"),"")</f>
        <v/>
      </c>
      <c r="AU163" s="16" t="str">
        <f t="array" ref="AU163">IFERROR(INDEX(Validations!$J$2:$J$100, MATCH(TRUE, ISNUMBER(SEARCH(Validations!$I$2:$I$100, AT163)), 0)), "")</f>
        <v/>
      </c>
      <c r="AV163" s="12" t="str">
        <f>IFERROR(__xludf.DUMMYFUNCTION("IFERROR(VALUE(REGEXEXTRACT(AS163, ""\d+"")), """")"),"")</f>
        <v/>
      </c>
      <c r="AW163" s="12" t="str">
        <f>IFERROR(__xludf.DUMMYFUNCTION("IFERROR(TEXTJOIN("", "", TRUE, FILTER(Validations!$Q$2:$Q$100, ISNUMBER(SEARCH(Validations!$Q$2:$Q$100, AS163)))), """")"),"")</f>
        <v/>
      </c>
      <c r="AX163" s="28" t="s">
        <v>72</v>
      </c>
      <c r="AY163" s="28" t="str">
        <f>IFERROR(__xludf.DUMMYFUNCTION("TEXTJOIN("", "", TRUE, FILTER(Validations!$Y$2:$Y$100, ISNUMBER(SEARCH(Validations!$X$2:$X$100, AX163))))"),"V, S")</f>
        <v>V, S</v>
      </c>
      <c r="AZ163" s="27"/>
      <c r="BA163" s="22"/>
      <c r="BB163" s="22"/>
      <c r="BC163" s="22"/>
      <c r="BD163" s="22"/>
      <c r="BE163" s="27"/>
      <c r="BF163" s="22"/>
      <c r="BG163" s="27"/>
      <c r="BH163" s="27"/>
      <c r="BI163" s="12" t="str">
        <f>IFERROR(__xludf.DUMMYFUNCTION("IFERROR(TEXTJOIN("", "", TRUE, FILTER(SRD!$A$2:$A$1000, EXACT(SRD!$A$2:$A$1000, J163))), """")"),"")</f>
        <v/>
      </c>
      <c r="BJ163" s="29"/>
      <c r="BK163" s="29"/>
    </row>
    <row r="164" ht="15.75" customHeight="1">
      <c r="A164" s="30" t="s">
        <v>802</v>
      </c>
      <c r="B164" s="22"/>
      <c r="C164" s="31"/>
      <c r="D164" s="31" t="s">
        <v>74</v>
      </c>
      <c r="E164" s="31"/>
      <c r="F164" s="32" t="s">
        <v>139</v>
      </c>
      <c r="G164" s="50" t="s">
        <v>672</v>
      </c>
      <c r="H164" s="31" t="s">
        <v>183</v>
      </c>
      <c r="I164" s="16" t="str">
        <f t="array" ref="I164">INDEX(Validations!$C$2:$C$100, MATCH(TRUE, ISNUMBER(SEARCH(Validations!$B$2:$B$100, H164)), 0))</f>
        <v>E</v>
      </c>
      <c r="J164" s="17" t="s">
        <v>803</v>
      </c>
      <c r="K164" s="18"/>
      <c r="L164" s="17"/>
      <c r="M164" s="17"/>
      <c r="N164" s="27"/>
      <c r="O164" s="17"/>
      <c r="P164" s="21"/>
      <c r="Q164" s="21"/>
      <c r="R164" s="22"/>
      <c r="S164" s="17" t="str">
        <f>IFERROR(__xludf.DUMMYFUNCTION("IFERROR(REGEXEXTRACT(J164, ""(\d{1,3}[dD]\d{1,3})""), """")"),"")</f>
        <v/>
      </c>
      <c r="T164" s="17" t="str">
        <f>IFERROR(__xludf.DUMMYFUNCTION("IF(COUNTIF(ARRAYFORMULA(LOWER(Validations!$O$2:$O$100)), LOWER(REGEXEXTRACT(J164, ""\d{1,3}[dD]\d{1,3}\s+(\w+)"")))&gt;0, REGEXEXTRACT(J164, ""\d{1,3}[dD]\d{1,3}\s+(\w+)""), """")"),"")</f>
        <v/>
      </c>
      <c r="U164" s="17" t="str">
        <f>IFERROR(__xludf.DUMMYFUNCTION("IF(COUNTIF(ARRAYFORMULA(LOWER(Validations!$P$2:$P$100)), LOWER(REGEXEXTRACT(J164, ""\d{1,3}[dD]\d{1,3}\s+(\w+)"")))&gt;0, REGEXEXTRACT(J164, ""\d{1,3}[dD]\d{1,3}\s+(\w+)""), """")"),"")</f>
        <v/>
      </c>
      <c r="V164" s="12" t="str">
        <f>IFERROR(__xludf.DUMMYFUNCTION("TEXTJOIN("", "", TRUE, FILTER(Validations!$L$2:$L$100, ISNUMBER(SEARCH(Validations!$L$2:$L$100, J164))))"),"")</f>
        <v/>
      </c>
      <c r="W164" s="12" t="str">
        <f>IFERROR(__xludf.DUMMYFUNCTION("IFERROR(TEXTJOIN("", "", TRUE, FILTER(Validations!$M$2:$M$100, ISNUMBER(SEARCH(Validations!$M$2:$M$100 &amp; "" saving throw"", J164)))), """")"),"Wisdom")</f>
        <v>Wisdom</v>
      </c>
      <c r="X164" s="12"/>
      <c r="Y164" s="12"/>
      <c r="Z164" s="12" t="str">
        <f>IFERROR(__xludf.DUMMYFUNCTION("IFERROR(TEXTJOIN("", "", TRUE, FILTER(Validations!$N$2:$N$100, ISNUMBER(SEARCH(Validations!$N$2:$N$100 &amp; "" check"", J164)))), """")"),"")</f>
        <v/>
      </c>
      <c r="AA164" s="12" t="str">
        <f>IFERROR(__xludf.DUMMYFUNCTION("IFERROR(TEXTJOIN("", "", TRUE, FILTER(Validations!$N$2:$N$100, ISNUMBER(SEARCH(Validations!$N$2:$N$100 &amp; "" check"", W164)))), """")"),"")</f>
        <v/>
      </c>
      <c r="AB164" s="23" t="str">
        <f>IFERROR(__xludf.DUMMYFUNCTION("IFERROR(CONCATENATE(IF(ISNUMBER(SEARCH(Validations!$M$2:$M$100 &amp; "" spell save"", J164)),""Spell Save"",""""), REGEXEXTRACT(J164, ""DC (\d+)"")), """")"),"")</f>
        <v/>
      </c>
      <c r="AC164" s="24" t="b">
        <v>0</v>
      </c>
      <c r="AD164" s="24" t="b">
        <v>0</v>
      </c>
      <c r="AE164" s="36" t="s">
        <v>69</v>
      </c>
      <c r="AF164" s="25">
        <f>IFERROR(__xludf.DUMMYFUNCTION("IFERROR(VALUE(REGEXEXTRACT(AE164, ""\d+"")), 1)"),1.0)</f>
        <v>1</v>
      </c>
      <c r="AG164" s="12" t="str">
        <f>IFERROR(__xludf.DUMMYFUNCTION("IF(
  ISNUMBER(SEARCH(""Bonus Action"", AE164)),
  ""Bonus Action"",
  IF(
    ISNUMBER(SEARCH(""Reaction"", AE164)),
    ""Reaction"",
    IF(
      ISNUMBER(SEARCH(""Action"", AE164)),
      ""Action"",
      TEXTJOIN("", "", TRUE, FILTER(Validations!$S"&amp;"$2:$S$100, ISNUMBER(SEARCH(Validations!$S$2:$S$100, AE164))))
    )
  )
)"),"Action")</f>
        <v>Action</v>
      </c>
      <c r="AH164" s="36"/>
      <c r="AI164" s="27" t="s">
        <v>70</v>
      </c>
      <c r="AJ164" s="26" t="str">
        <f>IFERROR(__xludf.DUMMYFUNCTION("TEXTJOIN("", "", TRUE, FILTER(Validations!$T$2:$T$100, ISNUMBER(SEARCH(Validations!$T$2:$T$100, AI164))))"),"Instantaneous")</f>
        <v>Instantaneous</v>
      </c>
      <c r="AK164" s="26" t="str">
        <f>IFERROR(__xludf.DUMMYFUNCTION("IFERROR(VALUE(REGEXEXTRACT(AI164, ""\d+"")), """")"),"")</f>
        <v/>
      </c>
      <c r="AL164" s="26" t="str">
        <f>IFERROR(__xludf.DUMMYFUNCTION("TEXTJOIN("", "", TRUE, FILTER(Validations!$U$2:$U$100, ISNUMBER(SEARCH(Validations!$U$2:$U$100, AI164))))"),"")</f>
        <v/>
      </c>
      <c r="AM164" s="24" t="b">
        <f t="shared" si="1"/>
        <v>0</v>
      </c>
      <c r="AN164" s="24" t="b">
        <v>0</v>
      </c>
      <c r="AO164" s="22" t="s">
        <v>112</v>
      </c>
      <c r="AP164" s="12" t="str">
        <f>IFERROR(__xludf.DUMMYFUNCTION("IF(TEXTJOIN("", "", TRUE, FILTER(Validations!$Q$2:$Q$100, ISNUMBER(SEARCH(Validations!$Q$2:$Q$100, AO164)))) = """", Validations!$Q$2, TEXTJOIN("", "", TRUE, FILTER(Validations!$Q$2:$Q$100, ISNUMBER(SEARCH(Validations!$Q$2:$Q$100, AO164)))))"),"Point")</f>
        <v>Point</v>
      </c>
      <c r="AQ164" s="12">
        <f>IFERROR(__xludf.DUMMYFUNCTION("IFERROR(VALUE(REGEXEXTRACT(AO164, ""\d+"")), """")"),30.0)</f>
        <v>30</v>
      </c>
      <c r="AR164" s="12" t="str">
        <f>IFERROR(__xludf.DUMMYFUNCTION("TEXTJOIN("", "", TRUE, FILTER(Validations!$R$2:$R$100, ISNUMBER(SEARCH(Validations!$R$2:$R$100, AO164))))"),"Feet")</f>
        <v>Feet</v>
      </c>
      <c r="AS164" s="27"/>
      <c r="AT164" s="12" t="str">
        <f>IFERROR(__xludf.DUMMYFUNCTION("IFERROR(TEXTJOIN("", "", TRUE, FILTER(Validations!$I$2:$I$100, ISNUMBER(SEARCH(Validations!$I$2:$I$100, AS164)))), """")"),"")</f>
        <v/>
      </c>
      <c r="AU164" s="16" t="str">
        <f t="array" ref="AU164">IFERROR(INDEX(Validations!$J$2:$J$100, MATCH(TRUE, ISNUMBER(SEARCH(Validations!$I$2:$I$100, AT164)), 0)), "")</f>
        <v/>
      </c>
      <c r="AV164" s="12" t="str">
        <f>IFERROR(__xludf.DUMMYFUNCTION("IFERROR(VALUE(REGEXEXTRACT(AS164, ""\d+"")), """")"),"")</f>
        <v/>
      </c>
      <c r="AW164" s="12" t="str">
        <f>IFERROR(__xludf.DUMMYFUNCTION("IFERROR(TEXTJOIN("", "", TRUE, FILTER(Validations!$Q$2:$Q$100, ISNUMBER(SEARCH(Validations!$Q$2:$Q$100, AS164)))), """")"),"")</f>
        <v/>
      </c>
      <c r="AX164" s="28" t="s">
        <v>142</v>
      </c>
      <c r="AY164" s="28" t="str">
        <f>IFERROR(__xludf.DUMMYFUNCTION("TEXTJOIN("", "", TRUE, FILTER(Validations!$Y$2:$Y$100, ISNUMBER(SEARCH(Validations!$X$2:$X$100, AX164))))"),"V, S")</f>
        <v>V, S</v>
      </c>
      <c r="AZ164" s="27"/>
      <c r="BA164" s="22"/>
      <c r="BB164" s="22"/>
      <c r="BC164" s="22"/>
      <c r="BD164" s="22"/>
      <c r="BE164" s="27"/>
      <c r="BF164" s="22"/>
      <c r="BG164" s="27"/>
      <c r="BH164" s="27"/>
      <c r="BI164" s="12" t="str">
        <f>IFERROR(__xludf.DUMMYFUNCTION("IFERROR(TEXTJOIN("", "", TRUE, FILTER(SRD!$A$2:$A$1000, EXACT(SRD!$A$2:$A$1000, J164))), """")"),"")</f>
        <v/>
      </c>
      <c r="BJ164" s="29"/>
      <c r="BK164" s="29"/>
    </row>
    <row r="165" ht="15.75" customHeight="1">
      <c r="A165" s="38" t="s">
        <v>804</v>
      </c>
      <c r="B165" s="12"/>
      <c r="C165" s="13"/>
      <c r="D165" s="13" t="s">
        <v>62</v>
      </c>
      <c r="E165" s="13"/>
      <c r="F165" s="14" t="s">
        <v>548</v>
      </c>
      <c r="G165" s="50" t="s">
        <v>672</v>
      </c>
      <c r="H165" s="31" t="s">
        <v>103</v>
      </c>
      <c r="I165" s="16" t="str">
        <f t="array" ref="I165">INDEX(Validations!$C$2:$C$100, MATCH(TRUE, ISNUMBER(SEARCH(Validations!$B$2:$B$100, H165)), 0))</f>
        <v>C</v>
      </c>
      <c r="J165" s="17" t="s">
        <v>805</v>
      </c>
      <c r="K165" s="18"/>
      <c r="L165" s="17"/>
      <c r="M165" s="37"/>
      <c r="N165" s="20" t="s">
        <v>806</v>
      </c>
      <c r="O165" s="17" t="s">
        <v>807</v>
      </c>
      <c r="P165" s="21"/>
      <c r="Q165" s="21"/>
      <c r="R165" s="22"/>
      <c r="S165" s="17" t="str">
        <f>IFERROR(__xludf.DUMMYFUNCTION("IFERROR(REGEXEXTRACT(J165, ""(\d{1,3}[dD]\d{1,3})""), """")"),"")</f>
        <v/>
      </c>
      <c r="T165" s="17" t="str">
        <f>IFERROR(__xludf.DUMMYFUNCTION("IF(COUNTIF(ARRAYFORMULA(LOWER(Validations!$O$2:$O$100)), LOWER(REGEXEXTRACT(J165, ""\d{1,3}[dD]\d{1,3}\s+(\w+)"")))&gt;0, REGEXEXTRACT(J165, ""\d{1,3}[dD]\d{1,3}\s+(\w+)""), """")"),"")</f>
        <v/>
      </c>
      <c r="U165" s="17" t="str">
        <f>IFERROR(__xludf.DUMMYFUNCTION("IF(COUNTIF(ARRAYFORMULA(LOWER(Validations!$P$2:$P$100)), LOWER(REGEXEXTRACT(J165, ""\d{1,3}[dD]\d{1,3}\s+(\w+)"")))&gt;0, REGEXEXTRACT(J165, ""\d{1,3}[dD]\d{1,3}\s+(\w+)""), """")"),"")</f>
        <v/>
      </c>
      <c r="V165" s="12" t="str">
        <f>IFERROR(__xludf.DUMMYFUNCTION("TEXTJOIN("", "", TRUE, FILTER(Validations!$L$2:$L$100, ISNUMBER(SEARCH(Validations!$L$2:$L$100, J165))))"),"Exhaustion")</f>
        <v>Exhaustion</v>
      </c>
      <c r="W165" s="12" t="str">
        <f>IFERROR(__xludf.DUMMYFUNCTION("IFERROR(TEXTJOIN("", "", TRUE, FILTER(Validations!$M$2:$M$100, ISNUMBER(SEARCH(Validations!$M$2:$M$100 &amp; "" saving throw"", J165)))), """")"),"Charisma")</f>
        <v>Charisma</v>
      </c>
      <c r="X165" s="12"/>
      <c r="Y165" s="12"/>
      <c r="Z165" s="12" t="str">
        <f>IFERROR(__xludf.DUMMYFUNCTION("IFERROR(TEXTJOIN("", "", TRUE, FILTER(Validations!$N$2:$N$100, ISNUMBER(SEARCH(Validations!$N$2:$N$100 &amp; "" check"", J165)))), """")"),"")</f>
        <v/>
      </c>
      <c r="AA165" s="12" t="str">
        <f>IFERROR(__xludf.DUMMYFUNCTION("IFERROR(TEXTJOIN("", "", TRUE, FILTER(Validations!$N$2:$N$100, ISNUMBER(SEARCH(Validations!$N$2:$N$100 &amp; "" check"", W165)))), """")"),"")</f>
        <v/>
      </c>
      <c r="AB165" s="23" t="str">
        <f>IFERROR(__xludf.DUMMYFUNCTION("IFERROR(CONCATENATE(IF(ISNUMBER(SEARCH(Validations!$M$2:$M$100 &amp; "" spell save"", J165)),""Spell Save"",""""), REGEXEXTRACT(J165, ""DC (\d+)"")), """")"),"")</f>
        <v/>
      </c>
      <c r="AC165" s="42" t="b">
        <v>1</v>
      </c>
      <c r="AD165" s="42" t="b">
        <v>0</v>
      </c>
      <c r="AE165" s="12" t="s">
        <v>69</v>
      </c>
      <c r="AF165" s="25">
        <f>IFERROR(__xludf.DUMMYFUNCTION("IFERROR(VALUE(REGEXEXTRACT(AE165, ""\d+"")), 1)"),1.0)</f>
        <v>1</v>
      </c>
      <c r="AG165" s="12" t="str">
        <f>IFERROR(__xludf.DUMMYFUNCTION("IF(
  ISNUMBER(SEARCH(""Bonus Action"", AE165)),
  ""Bonus Action"",
  IF(
    ISNUMBER(SEARCH(""Reaction"", AE165)),
    ""Reaction"",
    IF(
      ISNUMBER(SEARCH(""Action"", AE165)),
      ""Action"",
      TEXTJOIN("", "", TRUE, FILTER(Validations!$S"&amp;"$2:$S$100, ISNUMBER(SEARCH(Validations!$S$2:$S$100, AE165))))
    )
  )
)"),"Action")</f>
        <v>Action</v>
      </c>
      <c r="AH165" s="12"/>
      <c r="AI165" s="26" t="s">
        <v>70</v>
      </c>
      <c r="AJ165" s="26" t="str">
        <f>IFERROR(__xludf.DUMMYFUNCTION("TEXTJOIN("", "", TRUE, FILTER(Validations!$T$2:$T$100, ISNUMBER(SEARCH(Validations!$T$2:$T$100, AI165))))"),"Instantaneous")</f>
        <v>Instantaneous</v>
      </c>
      <c r="AK165" s="26" t="str">
        <f>IFERROR(__xludf.DUMMYFUNCTION("IFERROR(VALUE(REGEXEXTRACT(AI165, ""\d+"")), """")"),"")</f>
        <v/>
      </c>
      <c r="AL165" s="26" t="str">
        <f>IFERROR(__xludf.DUMMYFUNCTION("TEXTJOIN("", "", TRUE, FILTER(Validations!$U$2:$U$100, ISNUMBER(SEARCH(Validations!$U$2:$U$100, AI165))))"),"")</f>
        <v/>
      </c>
      <c r="AM165" s="24" t="b">
        <f t="shared" si="1"/>
        <v>0</v>
      </c>
      <c r="AN165" s="24" t="b">
        <v>0</v>
      </c>
      <c r="AO165" s="12" t="s">
        <v>78</v>
      </c>
      <c r="AP165" s="12" t="str">
        <f>IFERROR(__xludf.DUMMYFUNCTION("IF(TEXTJOIN("", "", TRUE, FILTER(Validations!$Q$2:$Q$100, ISNUMBER(SEARCH(Validations!$Q$2:$Q$100, AO165)))) = """", Validations!$Q$2, TEXTJOIN("", "", TRUE, FILTER(Validations!$Q$2:$Q$100, ISNUMBER(SEARCH(Validations!$Q$2:$Q$100, AO165)))))"),"Point")</f>
        <v>Point</v>
      </c>
      <c r="AQ165" s="12" t="str">
        <f>IFERROR(__xludf.DUMMYFUNCTION("IFERROR(VALUE(REGEXEXTRACT(AO165, ""\d+"")), """")"),"")</f>
        <v/>
      </c>
      <c r="AR165" s="12" t="str">
        <f>IFERROR(__xludf.DUMMYFUNCTION("TEXTJOIN("", "", TRUE, FILTER(Validations!$R$2:$R$100, ISNUMBER(SEARCH(Validations!$R$2:$R$100, AO165))))"),"Self")</f>
        <v>Self</v>
      </c>
      <c r="AS165" s="27"/>
      <c r="AT165" s="12" t="str">
        <f>IFERROR(__xludf.DUMMYFUNCTION("IFERROR(TEXTJOIN("", "", TRUE, FILTER(Validations!$I$2:$I$100, ISNUMBER(SEARCH(Validations!$I$2:$I$100, AS165)))), """")"),"")</f>
        <v/>
      </c>
      <c r="AU165" s="16" t="str">
        <f t="array" ref="AU165">IFERROR(INDEX(Validations!$J$2:$J$100, MATCH(TRUE, ISNUMBER(SEARCH(Validations!$I$2:$I$100, AT165)), 0)), "")</f>
        <v/>
      </c>
      <c r="AV165" s="12" t="str">
        <f>IFERROR(__xludf.DUMMYFUNCTION("IFERROR(VALUE(REGEXEXTRACT(AS165, ""\d+"")), """")"),"")</f>
        <v/>
      </c>
      <c r="AW165" s="12" t="str">
        <f>IFERROR(__xludf.DUMMYFUNCTION("IFERROR(TEXTJOIN("", "", TRUE, FILTER(Validations!$Q$2:$Q$100, ISNUMBER(SEARCH(Validations!$Q$2:$Q$100, AS165)))), """")"),"")</f>
        <v/>
      </c>
      <c r="AX165" s="28" t="s">
        <v>808</v>
      </c>
      <c r="AY165" s="28" t="str">
        <f>IFERROR(__xludf.DUMMYFUNCTION("TEXTJOIN("", "", TRUE, FILTER(Validations!$Y$2:$Y$100, ISNUMBER(SEARCH(Validations!$X$2:$X$100, AX165))))"),"R")</f>
        <v>R</v>
      </c>
      <c r="AZ165" s="20" t="s">
        <v>809</v>
      </c>
      <c r="BA165" s="12"/>
      <c r="BB165" s="22"/>
      <c r="BC165" s="22"/>
      <c r="BD165" s="22"/>
      <c r="BE165" s="27"/>
      <c r="BF165" s="22"/>
      <c r="BG165" s="27"/>
      <c r="BH165" s="27"/>
      <c r="BI165" s="12" t="str">
        <f>IFERROR(__xludf.DUMMYFUNCTION("IFERROR(TEXTJOIN("", "", TRUE, FILTER(SRD!$A$2:$A$1000, EXACT(SRD!$A$2:$A$1000, J165))), """")"),"")</f>
        <v/>
      </c>
      <c r="BJ165" s="29"/>
      <c r="BK165" s="29"/>
    </row>
    <row r="166" ht="15.75" customHeight="1">
      <c r="A166" s="30" t="s">
        <v>810</v>
      </c>
      <c r="B166" s="22"/>
      <c r="C166" s="31"/>
      <c r="D166" s="31" t="s">
        <v>74</v>
      </c>
      <c r="E166" s="31"/>
      <c r="F166" s="32" t="s">
        <v>102</v>
      </c>
      <c r="G166" s="50" t="s">
        <v>672</v>
      </c>
      <c r="H166" s="31" t="s">
        <v>140</v>
      </c>
      <c r="I166" s="16" t="str">
        <f t="array" ref="I166">INDEX(Validations!$C$2:$C$100, MATCH(TRUE, ISNUMBER(SEARCH(Validations!$B$2:$B$100, H166)), 0))</f>
        <v>N</v>
      </c>
      <c r="J166" s="17" t="s">
        <v>811</v>
      </c>
      <c r="K166" s="18"/>
      <c r="L166" s="17"/>
      <c r="M166" s="17"/>
      <c r="N166" s="27"/>
      <c r="O166" s="17"/>
      <c r="P166" s="21"/>
      <c r="Q166" s="21"/>
      <c r="R166" s="22"/>
      <c r="S166" s="17" t="str">
        <f>IFERROR(__xludf.DUMMYFUNCTION("IFERROR(REGEXEXTRACT(J166, ""(\d{1,3}[dD]\d{1,3})""), """")"),"")</f>
        <v/>
      </c>
      <c r="T166" s="17" t="str">
        <f>IFERROR(__xludf.DUMMYFUNCTION("IF(COUNTIF(ARRAYFORMULA(LOWER(Validations!$O$2:$O$100)), LOWER(REGEXEXTRACT(J166, ""\d{1,3}[dD]\d{1,3}\s+(\w+)"")))&gt;0, REGEXEXTRACT(J166, ""\d{1,3}[dD]\d{1,3}\s+(\w+)""), """")"),"")</f>
        <v/>
      </c>
      <c r="U166" s="17" t="str">
        <f>IFERROR(__xludf.DUMMYFUNCTION("IF(COUNTIF(ARRAYFORMULA(LOWER(Validations!$P$2:$P$100)), LOWER(REGEXEXTRACT(J166, ""\d{1,3}[dD]\d{1,3}\s+(\w+)"")))&gt;0, REGEXEXTRACT(J166, ""\d{1,3}[dD]\d{1,3}\s+(\w+)""), """")"),"")</f>
        <v/>
      </c>
      <c r="V166" s="12" t="str">
        <f>IFERROR(__xludf.DUMMYFUNCTION("TEXTJOIN("", "", TRUE, FILTER(Validations!$L$2:$L$100, ISNUMBER(SEARCH(Validations!$L$2:$L$100, J166))))"),"")</f>
        <v/>
      </c>
      <c r="W166" s="12" t="str">
        <f>IFERROR(__xludf.DUMMYFUNCTION("IFERROR(TEXTJOIN("", "", TRUE, FILTER(Validations!$M$2:$M$100, ISNUMBER(SEARCH(Validations!$M$2:$M$100 &amp; "" saving throw"", J166)))), """")"),"")</f>
        <v/>
      </c>
      <c r="X166" s="12"/>
      <c r="Y166" s="12"/>
      <c r="Z166" s="12" t="str">
        <f>IFERROR(__xludf.DUMMYFUNCTION("IFERROR(TEXTJOIN("", "", TRUE, FILTER(Validations!$N$2:$N$100, ISNUMBER(SEARCH(Validations!$N$2:$N$100 &amp; "" check"", J166)))), """")"),"")</f>
        <v/>
      </c>
      <c r="AA166" s="12" t="str">
        <f>IFERROR(__xludf.DUMMYFUNCTION("IFERROR(TEXTJOIN("", "", TRUE, FILTER(Validations!$N$2:$N$100, ISNUMBER(SEARCH(Validations!$N$2:$N$100 &amp; "" check"", W166)))), """")"),"")</f>
        <v/>
      </c>
      <c r="AB166" s="23" t="str">
        <f>IFERROR(__xludf.DUMMYFUNCTION("IFERROR(CONCATENATE(IF(ISNUMBER(SEARCH(Validations!$M$2:$M$100 &amp; "" spell save"", J166)),""Spell Save"",""""), REGEXEXTRACT(J166, ""DC (\d+)"")), """")"),"")</f>
        <v/>
      </c>
      <c r="AC166" s="24" t="b">
        <v>0</v>
      </c>
      <c r="AD166" s="24" t="b">
        <v>0</v>
      </c>
      <c r="AE166" s="36" t="s">
        <v>69</v>
      </c>
      <c r="AF166" s="25">
        <f>IFERROR(__xludf.DUMMYFUNCTION("IFERROR(VALUE(REGEXEXTRACT(AE166, ""\d+"")), 1)"),1.0)</f>
        <v>1</v>
      </c>
      <c r="AG166" s="12" t="str">
        <f>IFERROR(__xludf.DUMMYFUNCTION("IF(
  ISNUMBER(SEARCH(""Bonus Action"", AE166)),
  ""Bonus Action"",
  IF(
    ISNUMBER(SEARCH(""Reaction"", AE166)),
    ""Reaction"",
    IF(
      ISNUMBER(SEARCH(""Action"", AE166)),
      ""Action"",
      TEXTJOIN("", "", TRUE, FILTER(Validations!$S"&amp;"$2:$S$100, ISNUMBER(SEARCH(Validations!$S$2:$S$100, AE166))))
    )
  )
)"),"Action")</f>
        <v>Action</v>
      </c>
      <c r="AH166" s="36"/>
      <c r="AI166" s="20" t="s">
        <v>296</v>
      </c>
      <c r="AJ166" s="26" t="str">
        <f>IFERROR(__xludf.DUMMYFUNCTION("TEXTJOIN("", "", TRUE, FILTER(Validations!$T$2:$T$100, ISNUMBER(SEARCH(Validations!$T$2:$T$100, AI166))))"),"")</f>
        <v/>
      </c>
      <c r="AK166" s="26">
        <f>IFERROR(__xludf.DUMMYFUNCTION("IFERROR(VALUE(REGEXEXTRACT(AI166, ""\d+"")), """")"),1.0)</f>
        <v>1</v>
      </c>
      <c r="AL166" s="26" t="str">
        <f>IFERROR(__xludf.DUMMYFUNCTION("TEXTJOIN("", "", TRUE, FILTER(Validations!$U$2:$U$100, ISNUMBER(SEARCH(Validations!$U$2:$U$100, AI166))))"),"Hours")</f>
        <v>Hours</v>
      </c>
      <c r="AM166" s="24" t="b">
        <f t="shared" si="1"/>
        <v>0</v>
      </c>
      <c r="AN166" s="24" t="b">
        <v>0</v>
      </c>
      <c r="AO166" s="22" t="s">
        <v>71</v>
      </c>
      <c r="AP166" s="12" t="str">
        <f>IFERROR(__xludf.DUMMYFUNCTION("IF(TEXTJOIN("", "", TRUE, FILTER(Validations!$Q$2:$Q$100, ISNUMBER(SEARCH(Validations!$Q$2:$Q$100, AO166)))) = """", Validations!$Q$2, TEXTJOIN("", "", TRUE, FILTER(Validations!$Q$2:$Q$100, ISNUMBER(SEARCH(Validations!$Q$2:$Q$100, AO166)))))"),"Point")</f>
        <v>Point</v>
      </c>
      <c r="AQ166" s="12" t="str">
        <f>IFERROR(__xludf.DUMMYFUNCTION("IFERROR(VALUE(REGEXEXTRACT(AO166, ""\d+"")), """")"),"")</f>
        <v/>
      </c>
      <c r="AR166" s="12" t="str">
        <f>IFERROR(__xludf.DUMMYFUNCTION("TEXTJOIN("", "", TRUE, FILTER(Validations!$R$2:$R$100, ISNUMBER(SEARCH(Validations!$R$2:$R$100, AO166))))"),"Touch")</f>
        <v>Touch</v>
      </c>
      <c r="AS166" s="27"/>
      <c r="AT166" s="12" t="str">
        <f>IFERROR(__xludf.DUMMYFUNCTION("IFERROR(TEXTJOIN("", "", TRUE, FILTER(Validations!$I$2:$I$100, ISNUMBER(SEARCH(Validations!$I$2:$I$100, AS166)))), """")"),"")</f>
        <v/>
      </c>
      <c r="AU166" s="16" t="str">
        <f t="array" ref="AU166">IFERROR(INDEX(Validations!$J$2:$J$100, MATCH(TRUE, ISNUMBER(SEARCH(Validations!$I$2:$I$100, AT166)), 0)), "")</f>
        <v/>
      </c>
      <c r="AV166" s="12" t="str">
        <f>IFERROR(__xludf.DUMMYFUNCTION("IFERROR(VALUE(REGEXEXTRACT(AS166, ""\d+"")), """")"),"")</f>
        <v/>
      </c>
      <c r="AW166" s="12" t="str">
        <f>IFERROR(__xludf.DUMMYFUNCTION("IFERROR(TEXTJOIN("", "", TRUE, FILTER(Validations!$Q$2:$Q$100, ISNUMBER(SEARCH(Validations!$Q$2:$Q$100, AS166)))), """")"),"")</f>
        <v/>
      </c>
      <c r="AX166" s="28" t="s">
        <v>152</v>
      </c>
      <c r="AY166" s="28" t="str">
        <f>IFERROR(__xludf.DUMMYFUNCTION("TEXTJOIN("", "", TRUE, FILTER(Validations!$Y$2:$Y$100, ISNUMBER(SEARCH(Validations!$X$2:$X$100, AX166))))"),"V, S, R")</f>
        <v>V, S, R</v>
      </c>
      <c r="AZ166" s="20" t="s">
        <v>812</v>
      </c>
      <c r="BA166" s="22"/>
      <c r="BB166" s="22"/>
      <c r="BC166" s="22"/>
      <c r="BD166" s="22"/>
      <c r="BE166" s="27"/>
      <c r="BF166" s="22"/>
      <c r="BG166" s="27"/>
      <c r="BH166" s="27"/>
      <c r="BI166" s="12" t="str">
        <f>IFERROR(__xludf.DUMMYFUNCTION("IFERROR(TEXTJOIN("", "", TRUE, FILTER(SRD!$A$2:$A$1000, EXACT(SRD!$A$2:$A$1000, J166))), """")"),"")</f>
        <v/>
      </c>
      <c r="BJ166" s="29"/>
      <c r="BK166" s="29"/>
    </row>
    <row r="167" ht="15.75" customHeight="1">
      <c r="A167" s="30" t="s">
        <v>813</v>
      </c>
      <c r="B167" s="22"/>
      <c r="C167" s="16"/>
      <c r="D167" s="16" t="s">
        <v>814</v>
      </c>
      <c r="E167" s="16"/>
      <c r="F167" s="32" t="s">
        <v>471</v>
      </c>
      <c r="G167" s="50" t="s">
        <v>672</v>
      </c>
      <c r="H167" s="16" t="s">
        <v>144</v>
      </c>
      <c r="I167" s="16" t="str">
        <f t="array" ref="I167">INDEX(Validations!$C$2:$C$100, MATCH(TRUE, ISNUMBER(SEARCH(Validations!$B$2:$B$100, H167)), 0))</f>
        <v>D</v>
      </c>
      <c r="J167" s="17" t="s">
        <v>815</v>
      </c>
      <c r="K167" s="18"/>
      <c r="L167" s="17"/>
      <c r="M167" s="17"/>
      <c r="N167" s="20" t="s">
        <v>816</v>
      </c>
      <c r="O167" s="17"/>
      <c r="P167" s="21"/>
      <c r="Q167" s="21"/>
      <c r="R167" s="22"/>
      <c r="S167" s="17" t="str">
        <f>IFERROR(__xludf.DUMMYFUNCTION("IFERROR(REGEXEXTRACT(J167, ""(\d{1,3}[dD]\d{1,3})""), """")"),"")</f>
        <v/>
      </c>
      <c r="T167" s="17" t="str">
        <f>IFERROR(__xludf.DUMMYFUNCTION("IF(COUNTIF(ARRAYFORMULA(LOWER(Validations!$O$2:$O$100)), LOWER(REGEXEXTRACT(J167, ""\d{1,3}[dD]\d{1,3}\s+(\w+)"")))&gt;0, REGEXEXTRACT(J167, ""\d{1,3}[dD]\d{1,3}\s+(\w+)""), """")"),"")</f>
        <v/>
      </c>
      <c r="U167" s="17" t="str">
        <f>IFERROR(__xludf.DUMMYFUNCTION("IF(COUNTIF(ARRAYFORMULA(LOWER(Validations!$P$2:$P$100)), LOWER(REGEXEXTRACT(J167, ""\d{1,3}[dD]\d{1,3}\s+(\w+)"")))&gt;0, REGEXEXTRACT(J167, ""\d{1,3}[dD]\d{1,3}\s+(\w+)""), """")"),"")</f>
        <v/>
      </c>
      <c r="V167" s="12" t="str">
        <f>IFERROR(__xludf.DUMMYFUNCTION("TEXTJOIN("", "", TRUE, FILTER(Validations!$L$2:$L$100, ISNUMBER(SEARCH(Validations!$L$2:$L$100, J167))))"),"Charmed")</f>
        <v>Charmed</v>
      </c>
      <c r="W167" s="12" t="str">
        <f>IFERROR(__xludf.DUMMYFUNCTION("IFERROR(TEXTJOIN("", "", TRUE, FILTER(Validations!$M$2:$M$100, ISNUMBER(SEARCH(Validations!$M$2:$M$100 &amp; "" saving throw"", J167)))), """")"),"")</f>
        <v/>
      </c>
      <c r="X167" s="12"/>
      <c r="Y167" s="12"/>
      <c r="Z167" s="12" t="str">
        <f>IFERROR(__xludf.DUMMYFUNCTION("IFERROR(TEXTJOIN("", "", TRUE, FILTER(Validations!$N$2:$N$100, ISNUMBER(SEARCH(Validations!$N$2:$N$100 &amp; "" check"", J167)))), """")"),"")</f>
        <v/>
      </c>
      <c r="AA167" s="12" t="str">
        <f>IFERROR(__xludf.DUMMYFUNCTION("IFERROR(TEXTJOIN("", "", TRUE, FILTER(Validations!$N$2:$N$100, ISNUMBER(SEARCH(Validations!$N$2:$N$100 &amp; "" check"", W167)))), """")"),"")</f>
        <v/>
      </c>
      <c r="AB167" s="23" t="str">
        <f>IFERROR(__xludf.DUMMYFUNCTION("IFERROR(CONCATENATE(IF(ISNUMBER(SEARCH(Validations!$M$2:$M$100 &amp; "" spell save"", J167)),""Spell Save"",""""), REGEXEXTRACT(J167, ""DC (\d+)"")), """")"),"")</f>
        <v/>
      </c>
      <c r="AC167" s="24" t="b">
        <v>0</v>
      </c>
      <c r="AD167" s="24" t="b">
        <v>0</v>
      </c>
      <c r="AE167" s="36" t="s">
        <v>69</v>
      </c>
      <c r="AF167" s="25">
        <f>IFERROR(__xludf.DUMMYFUNCTION("IFERROR(VALUE(REGEXEXTRACT(AE167, ""\d+"")), 1)"),1.0)</f>
        <v>1</v>
      </c>
      <c r="AG167" s="12" t="str">
        <f>IFERROR(__xludf.DUMMYFUNCTION("IF(
  ISNUMBER(SEARCH(""Bonus Action"", AE167)),
  ""Bonus Action"",
  IF(
    ISNUMBER(SEARCH(""Reaction"", AE167)),
    ""Reaction"",
    IF(
      ISNUMBER(SEARCH(""Action"", AE167)),
      ""Action"",
      TEXTJOIN("", "", TRUE, FILTER(Validations!$S"&amp;"$2:$S$100, ISNUMBER(SEARCH(Validations!$S$2:$S$100, AE167))))
    )
  )
)"),"Action")</f>
        <v>Action</v>
      </c>
      <c r="AH167" s="36"/>
      <c r="AI167" s="27" t="s">
        <v>817</v>
      </c>
      <c r="AJ167" s="26" t="str">
        <f>IFERROR(__xludf.DUMMYFUNCTION("TEXTJOIN("", "", TRUE, FILTER(Validations!$T$2:$T$100, ISNUMBER(SEARCH(Validations!$T$2:$T$100, AI167))))"),"")</f>
        <v/>
      </c>
      <c r="AK167" s="26">
        <f>IFERROR(__xludf.DUMMYFUNCTION("IFERROR(VALUE(REGEXEXTRACT(AI167, ""\d+"")), """")"),1.0)</f>
        <v>1</v>
      </c>
      <c r="AL167" s="26" t="str">
        <f>IFERROR(__xludf.DUMMYFUNCTION("TEXTJOIN("", "", TRUE, FILTER(Validations!$U$2:$U$100, ISNUMBER(SEARCH(Validations!$U$2:$U$100, AI167))))"),"")</f>
        <v/>
      </c>
      <c r="AM167" s="24" t="b">
        <f t="shared" si="1"/>
        <v>0</v>
      </c>
      <c r="AN167" s="24" t="b">
        <v>0</v>
      </c>
      <c r="AO167" s="22" t="s">
        <v>105</v>
      </c>
      <c r="AP167" s="12" t="str">
        <f>IFERROR(__xludf.DUMMYFUNCTION("IF(TEXTJOIN("", "", TRUE, FILTER(Validations!$Q$2:$Q$100, ISNUMBER(SEARCH(Validations!$Q$2:$Q$100, AO167)))) = """", Validations!$Q$2, TEXTJOIN("", "", TRUE, FILTER(Validations!$Q$2:$Q$100, ISNUMBER(SEARCH(Validations!$Q$2:$Q$100, AO167)))))"),"Point")</f>
        <v>Point</v>
      </c>
      <c r="AQ167" s="12">
        <f>IFERROR(__xludf.DUMMYFUNCTION("IFERROR(VALUE(REGEXEXTRACT(AO167, ""\d+"")), """")"),10.0)</f>
        <v>10</v>
      </c>
      <c r="AR167" s="12" t="str">
        <f>IFERROR(__xludf.DUMMYFUNCTION("TEXTJOIN("", "", TRUE, FILTER(Validations!$R$2:$R$100, ISNUMBER(SEARCH(Validations!$R$2:$R$100, AO167))))"),"Feet")</f>
        <v>Feet</v>
      </c>
      <c r="AS167" s="27"/>
      <c r="AT167" s="12" t="str">
        <f>IFERROR(__xludf.DUMMYFUNCTION("IFERROR(TEXTJOIN("", "", TRUE, FILTER(Validations!$I$2:$I$100, ISNUMBER(SEARCH(Validations!$I$2:$I$100, AS167)))), """")"),"")</f>
        <v/>
      </c>
      <c r="AU167" s="16" t="str">
        <f t="array" ref="AU167">IFERROR(INDEX(Validations!$J$2:$J$100, MATCH(TRUE, ISNUMBER(SEARCH(Validations!$I$2:$I$100, AT167)), 0)), "")</f>
        <v/>
      </c>
      <c r="AV167" s="12" t="str">
        <f>IFERROR(__xludf.DUMMYFUNCTION("IFERROR(VALUE(REGEXEXTRACT(AS167, ""\d+"")), """")"),"")</f>
        <v/>
      </c>
      <c r="AW167" s="12" t="str">
        <f>IFERROR(__xludf.DUMMYFUNCTION("IFERROR(TEXTJOIN("", "", TRUE, FILTER(Validations!$Q$2:$Q$100, ISNUMBER(SEARCH(Validations!$Q$2:$Q$100, AS167)))), """")"),"")</f>
        <v/>
      </c>
      <c r="AX167" s="28" t="s">
        <v>152</v>
      </c>
      <c r="AY167" s="28" t="str">
        <f>IFERROR(__xludf.DUMMYFUNCTION("TEXTJOIN("", "", TRUE, FILTER(Validations!$Y$2:$Y$100, ISNUMBER(SEARCH(Validations!$X$2:$X$100, AX167))))"),"V, S, R")</f>
        <v>V, S, R</v>
      </c>
      <c r="AZ167" s="20" t="s">
        <v>818</v>
      </c>
      <c r="BA167" s="22"/>
      <c r="BB167" s="22"/>
      <c r="BC167" s="22"/>
      <c r="BD167" s="22"/>
      <c r="BE167" s="27"/>
      <c r="BF167" s="22"/>
      <c r="BG167" s="27"/>
      <c r="BH167" s="27"/>
      <c r="BI167" s="12" t="str">
        <f>IFERROR(__xludf.DUMMYFUNCTION("IFERROR(TEXTJOIN("", "", TRUE, FILTER(SRD!$A$2:$A$1000, EXACT(SRD!$A$2:$A$1000, J167))), """")"),"")</f>
        <v/>
      </c>
      <c r="BJ167" s="29"/>
      <c r="BK167" s="29"/>
    </row>
    <row r="168" ht="15.75" customHeight="1">
      <c r="A168" s="11" t="s">
        <v>819</v>
      </c>
      <c r="B168" s="12"/>
      <c r="C168" s="13"/>
      <c r="D168" s="13" t="s">
        <v>62</v>
      </c>
      <c r="E168" s="13"/>
      <c r="F168" s="14" t="s">
        <v>566</v>
      </c>
      <c r="G168" s="50" t="s">
        <v>672</v>
      </c>
      <c r="H168" s="31" t="s">
        <v>85</v>
      </c>
      <c r="I168" s="16" t="str">
        <f t="array" ref="I168">INDEX(Validations!$C$2:$C$100, MATCH(TRUE, ISNUMBER(SEARCH(Validations!$B$2:$B$100, H168)), 0))</f>
        <v>T</v>
      </c>
      <c r="J168" s="17" t="s">
        <v>820</v>
      </c>
      <c r="K168" s="18"/>
      <c r="L168" s="17"/>
      <c r="M168" s="37" t="s">
        <v>821</v>
      </c>
      <c r="N168" s="27"/>
      <c r="O168" s="17" t="s">
        <v>822</v>
      </c>
      <c r="P168" s="21"/>
      <c r="Q168" s="21"/>
      <c r="R168" s="22"/>
      <c r="S168" s="17" t="str">
        <f>IFERROR(__xludf.DUMMYFUNCTION("IFERROR(REGEXEXTRACT(J168, ""(\d{1,3}[dD]\d{1,3})""), """")"),"1d6")</f>
        <v>1d6</v>
      </c>
      <c r="T168" s="17" t="str">
        <f>IFERROR(__xludf.DUMMYFUNCTION("IF(COUNTIF(ARRAYFORMULA(LOWER(Validations!$O$2:$O$100)), LOWER(REGEXEXTRACT(J168, ""\d{1,3}[dD]\d{1,3}\s+(\w+)"")))&gt;0, REGEXEXTRACT(J168, ""\d{1,3}[dD]\d{1,3}\s+(\w+)""), """")"),"")</f>
        <v/>
      </c>
      <c r="U168" s="17" t="str">
        <f>IFERROR(__xludf.DUMMYFUNCTION("IF(COUNTIF(ARRAYFORMULA(LOWER(Validations!$P$2:$P$100)), LOWER(REGEXEXTRACT(J168, ""\d{1,3}[dD]\d{1,3}\s+(\w+)"")))&gt;0, REGEXEXTRACT(J168, ""\d{1,3}[dD]\d{1,3}\s+(\w+)""), """")"),"")</f>
        <v/>
      </c>
      <c r="V168" s="12" t="str">
        <f>IFERROR(__xludf.DUMMYFUNCTION("TEXTJOIN("", "", TRUE, FILTER(Validations!$L$2:$L$100, ISNUMBER(SEARCH(Validations!$L$2:$L$100, J168))))"),"")</f>
        <v/>
      </c>
      <c r="W168" s="12" t="str">
        <f>IFERROR(__xludf.DUMMYFUNCTION("IFERROR(TEXTJOIN("", "", TRUE, FILTER(Validations!$M$2:$M$100, ISNUMBER(SEARCH(Validations!$M$2:$M$100 &amp; "" saving throw"", J168)))), """")"),"Constitution")</f>
        <v>Constitution</v>
      </c>
      <c r="X168" s="12"/>
      <c r="Y168" s="12"/>
      <c r="Z168" s="12" t="str">
        <f>IFERROR(__xludf.DUMMYFUNCTION("IFERROR(TEXTJOIN("", "", TRUE, FILTER(Validations!$N$2:$N$100, ISNUMBER(SEARCH(Validations!$N$2:$N$100 &amp; "" check"", J168)))), """")"),"Perception")</f>
        <v>Perception</v>
      </c>
      <c r="AA168" s="12" t="str">
        <f>IFERROR(__xludf.DUMMYFUNCTION("IFERROR(TEXTJOIN("", "", TRUE, FILTER(Validations!$N$2:$N$100, ISNUMBER(SEARCH(Validations!$N$2:$N$100 &amp; "" check"", W168)))), """")"),"")</f>
        <v/>
      </c>
      <c r="AB168" s="23" t="str">
        <f>IFERROR(__xludf.DUMMYFUNCTION("IFERROR(CONCATENATE(IF(ISNUMBER(SEARCH(Validations!$M$2:$M$100 &amp; "" spell save"", J168)),""Spell Save"",""""), REGEXEXTRACT(J168, ""DC (\d+)"")), """")"),"")</f>
        <v/>
      </c>
      <c r="AC168" s="24" t="b">
        <v>0</v>
      </c>
      <c r="AD168" s="24" t="b">
        <v>0</v>
      </c>
      <c r="AE168" s="12" t="s">
        <v>69</v>
      </c>
      <c r="AF168" s="25">
        <f>IFERROR(__xludf.DUMMYFUNCTION("IFERROR(VALUE(REGEXEXTRACT(AE168, ""\d+"")), 1)"),1.0)</f>
        <v>1</v>
      </c>
      <c r="AG168" s="12" t="str">
        <f>IFERROR(__xludf.DUMMYFUNCTION("IF(
  ISNUMBER(SEARCH(""Bonus Action"", AE168)),
  ""Bonus Action"",
  IF(
    ISNUMBER(SEARCH(""Reaction"", AE168)),
    ""Reaction"",
    IF(
      ISNUMBER(SEARCH(""Action"", AE168)),
      ""Action"",
      TEXTJOIN("", "", TRUE, FILTER(Validations!$S"&amp;"$2:$S$100, ISNUMBER(SEARCH(Validations!$S$2:$S$100, AE168))))
    )
  )
)"),"Action")</f>
        <v>Action</v>
      </c>
      <c r="AH168" s="12"/>
      <c r="AI168" s="26" t="s">
        <v>70</v>
      </c>
      <c r="AJ168" s="26" t="str">
        <f>IFERROR(__xludf.DUMMYFUNCTION("TEXTJOIN("", "", TRUE, FILTER(Validations!$T$2:$T$100, ISNUMBER(SEARCH(Validations!$T$2:$T$100, AI168))))"),"Instantaneous")</f>
        <v>Instantaneous</v>
      </c>
      <c r="AK168" s="26" t="str">
        <f>IFERROR(__xludf.DUMMYFUNCTION("IFERROR(VALUE(REGEXEXTRACT(AI168, ""\d+"")), """")"),"")</f>
        <v/>
      </c>
      <c r="AL168" s="26" t="str">
        <f>IFERROR(__xludf.DUMMYFUNCTION("TEXTJOIN("", "", TRUE, FILTER(Validations!$U$2:$U$100, ISNUMBER(SEARCH(Validations!$U$2:$U$100, AI168))))"),"")</f>
        <v/>
      </c>
      <c r="AM168" s="24" t="b">
        <f t="shared" si="1"/>
        <v>0</v>
      </c>
      <c r="AN168" s="24" t="b">
        <v>0</v>
      </c>
      <c r="AO168" s="36" t="s">
        <v>440</v>
      </c>
      <c r="AP168" s="12" t="str">
        <f>IFERROR(__xludf.DUMMYFUNCTION("IF(TEXTJOIN("", "", TRUE, FILTER(Validations!$Q$2:$Q$100, ISNUMBER(SEARCH(Validations!$Q$2:$Q$100, AO168)))) = """", Validations!$Q$2, TEXTJOIN("", "", TRUE, FILTER(Validations!$Q$2:$Q$100, ISNUMBER(SEARCH(Validations!$Q$2:$Q$100, AO168)))))"),"Point")</f>
        <v>Point</v>
      </c>
      <c r="AQ168" s="12">
        <f>IFERROR(__xludf.DUMMYFUNCTION("IFERROR(VALUE(REGEXEXTRACT(AO168, ""\d+"")), """")"),60.0)</f>
        <v>60</v>
      </c>
      <c r="AR168" s="12" t="str">
        <f>IFERROR(__xludf.DUMMYFUNCTION("TEXTJOIN("", "", TRUE, FILTER(Validations!$R$2:$R$100, ISNUMBER(SEARCH(Validations!$R$2:$R$100, AO168))))"),"Feet")</f>
        <v>Feet</v>
      </c>
      <c r="AS168" s="27"/>
      <c r="AT168" s="12" t="str">
        <f>IFERROR(__xludf.DUMMYFUNCTION("IFERROR(TEXTJOIN("", "", TRUE, FILTER(Validations!$I$2:$I$100, ISNUMBER(SEARCH(Validations!$I$2:$I$100, AS168)))), """")"),"")</f>
        <v/>
      </c>
      <c r="AU168" s="16" t="str">
        <f t="array" ref="AU168">IFERROR(INDEX(Validations!$J$2:$J$100, MATCH(TRUE, ISNUMBER(SEARCH(Validations!$I$2:$I$100, AT168)), 0)), "")</f>
        <v/>
      </c>
      <c r="AV168" s="12" t="str">
        <f>IFERROR(__xludf.DUMMYFUNCTION("IFERROR(VALUE(REGEXEXTRACT(AS168, ""\d+"")), """")"),"")</f>
        <v/>
      </c>
      <c r="AW168" s="12" t="str">
        <f>IFERROR(__xludf.DUMMYFUNCTION("IFERROR(TEXTJOIN("", "", TRUE, FILTER(Validations!$Q$2:$Q$100, ISNUMBER(SEARCH(Validations!$Q$2:$Q$100, AS168)))), """")"),"")</f>
        <v/>
      </c>
      <c r="AX168" s="28" t="s">
        <v>72</v>
      </c>
      <c r="AY168" s="28" t="str">
        <f>IFERROR(__xludf.DUMMYFUNCTION("TEXTJOIN("", "", TRUE, FILTER(Validations!$Y$2:$Y$100, ISNUMBER(SEARCH(Validations!$X$2:$X$100, AX168))))"),"V, S")</f>
        <v>V, S</v>
      </c>
      <c r="AZ168" s="26"/>
      <c r="BA168" s="12"/>
      <c r="BB168" s="22"/>
      <c r="BC168" s="22"/>
      <c r="BD168" s="22"/>
      <c r="BE168" s="27"/>
      <c r="BF168" s="22"/>
      <c r="BG168" s="27"/>
      <c r="BH168" s="27"/>
      <c r="BI168" s="12" t="str">
        <f>IFERROR(__xludf.DUMMYFUNCTION("IFERROR(TEXTJOIN("", "", TRUE, FILTER(SRD!$A$2:$A$1000, EXACT(SRD!$A$2:$A$1000, J168))), """")"),"")</f>
        <v/>
      </c>
      <c r="BJ168" s="29"/>
      <c r="BK168" s="29"/>
    </row>
    <row r="169" ht="15.75" customHeight="1">
      <c r="A169" s="55" t="s">
        <v>823</v>
      </c>
      <c r="B169" s="12"/>
      <c r="C169" s="61"/>
      <c r="D169" s="61" t="s">
        <v>824</v>
      </c>
      <c r="E169" s="61"/>
      <c r="F169" s="32" t="s">
        <v>443</v>
      </c>
      <c r="G169" s="57" t="s">
        <v>672</v>
      </c>
      <c r="H169" s="58" t="s">
        <v>144</v>
      </c>
      <c r="I169" s="16" t="str">
        <f t="array" ref="I169">INDEX(Validations!$C$2:$C$100, MATCH(TRUE, ISNUMBER(SEARCH(Validations!$B$2:$B$100, H169)), 0))</f>
        <v>D</v>
      </c>
      <c r="J169" s="36" t="s">
        <v>825</v>
      </c>
      <c r="K169" s="34"/>
      <c r="L169" s="36"/>
      <c r="M169" s="59"/>
      <c r="N169" s="20" t="s">
        <v>826</v>
      </c>
      <c r="O169" s="59"/>
      <c r="P169" s="60"/>
      <c r="Q169" s="60"/>
      <c r="R169" s="22"/>
      <c r="S169" s="17" t="str">
        <f>IFERROR(__xludf.DUMMYFUNCTION("IFERROR(REGEXEXTRACT(J169, ""(\d{1,3}[dD]\d{1,3})""), """")"),"1d6")</f>
        <v>1d6</v>
      </c>
      <c r="T169" s="17" t="str">
        <f>IFERROR(__xludf.DUMMYFUNCTION("IF(COUNTIF(ARRAYFORMULA(LOWER(Validations!$O$2:$O$100)), LOWER(REGEXEXTRACT(J169, ""\d{1,3}[dD]\d{1,3}\s+(\w+)"")))&gt;0, REGEXEXTRACT(J169, ""\d{1,3}[dD]\d{1,3}\s+(\w+)""), """")"),"")</f>
        <v/>
      </c>
      <c r="U169" s="17" t="str">
        <f>IFERROR(__xludf.DUMMYFUNCTION("IF(COUNTIF(ARRAYFORMULA(LOWER(Validations!$P$2:$P$100)), LOWER(REGEXEXTRACT(J169, ""\d{1,3}[dD]\d{1,3}\s+(\w+)"")))&gt;0, REGEXEXTRACT(J169, ""\d{1,3}[dD]\d{1,3}\s+(\w+)""), """")"),"")</f>
        <v/>
      </c>
      <c r="V169" s="12"/>
      <c r="W169" s="12" t="str">
        <f>IFERROR(__xludf.DUMMYFUNCTION("IFERROR(TEXTJOIN("", "", TRUE, FILTER(Validations!$M$2:$M$100, ISNUMBER(SEARCH(Validations!$M$2:$M$100 &amp; "" saving throw"", J169)))), """")"),"")</f>
        <v/>
      </c>
      <c r="X169" s="12"/>
      <c r="Y169" s="12"/>
      <c r="Z169" s="12" t="str">
        <f>IFERROR(__xludf.DUMMYFUNCTION("IFERROR(TEXTJOIN("", "", TRUE, FILTER(Validations!$N$2:$N$100, ISNUMBER(SEARCH(Validations!$N$2:$N$100 &amp; "" check"", J169)))), """")"),"")</f>
        <v/>
      </c>
      <c r="AA169" s="12" t="str">
        <f>IFERROR(__xludf.DUMMYFUNCTION("IFERROR(TEXTJOIN("", "", TRUE, FILTER(Validations!$N$2:$N$100, ISNUMBER(SEARCH(Validations!$N$2:$N$100 &amp; "" check"", W169)))), """")"),"")</f>
        <v/>
      </c>
      <c r="AB169" s="23" t="str">
        <f>IFERROR(__xludf.DUMMYFUNCTION("IFERROR(CONCATENATE(IF(ISNUMBER(SEARCH(Validations!$M$2:$M$100 &amp; "" spell save"", J169)),""Spell Save"",""""), REGEXEXTRACT(J169, ""DC (\d+)"")), """")"),"")</f>
        <v/>
      </c>
      <c r="AC169" s="24" t="b">
        <v>0</v>
      </c>
      <c r="AD169" s="24" t="b">
        <v>0</v>
      </c>
      <c r="AE169" s="36" t="s">
        <v>69</v>
      </c>
      <c r="AF169" s="25">
        <f>IFERROR(__xludf.DUMMYFUNCTION("IFERROR(VALUE(REGEXEXTRACT(AE169, ""\d+"")), 1)"),1.0)</f>
        <v>1</v>
      </c>
      <c r="AG169" s="12" t="str">
        <f>IFERROR(__xludf.DUMMYFUNCTION("IF(
  ISNUMBER(SEARCH(""Bonus Action"", AE169)),
  ""Bonus Action"",
  IF(
    ISNUMBER(SEARCH(""Reaction"", AE169)),
    ""Reaction"",
    IF(
      ISNUMBER(SEARCH(""Action"", AE169)),
      ""Action"",
      TEXTJOIN("", "", TRUE, FILTER(Validations!$S"&amp;"$2:$S$100, ISNUMBER(SEARCH(Validations!$S$2:$S$100, AE169))))
    )
  )
)"),"Action")</f>
        <v>Action</v>
      </c>
      <c r="AH169" s="36"/>
      <c r="AI169" s="20" t="s">
        <v>70</v>
      </c>
      <c r="AJ169" s="26" t="str">
        <f>IFERROR(__xludf.DUMMYFUNCTION("TEXTJOIN("", "", TRUE, FILTER(Validations!$T$2:$T$100, ISNUMBER(SEARCH(Validations!$T$2:$T$100, AI169))))"),"Instantaneous")</f>
        <v>Instantaneous</v>
      </c>
      <c r="AK169" s="26" t="str">
        <f>IFERROR(__xludf.DUMMYFUNCTION("IFERROR(VALUE(REGEXEXTRACT(AI169, ""\d+"")), """")"),"")</f>
        <v/>
      </c>
      <c r="AL169" s="26" t="str">
        <f>IFERROR(__xludf.DUMMYFUNCTION("TEXTJOIN("", "", TRUE, FILTER(Validations!$U$2:$U$100, ISNUMBER(SEARCH(Validations!$U$2:$U$100, AI169))))"),"")</f>
        <v/>
      </c>
      <c r="AM169" s="24" t="b">
        <f t="shared" si="1"/>
        <v>0</v>
      </c>
      <c r="AN169" s="41" t="b">
        <v>0</v>
      </c>
      <c r="AO169" s="36" t="s">
        <v>78</v>
      </c>
      <c r="AP169" s="12" t="str">
        <f>IFERROR(__xludf.DUMMYFUNCTION("IF(TEXTJOIN("", "", TRUE, FILTER(Validations!$Q$2:$Q$100, ISNUMBER(SEARCH(Validations!$Q$2:$Q$100, AO169)))) = """", Validations!$Q$2, TEXTJOIN("", "", TRUE, FILTER(Validations!$Q$2:$Q$100, ISNUMBER(SEARCH(Validations!$Q$2:$Q$100, AO169)))))"),"Point")</f>
        <v>Point</v>
      </c>
      <c r="AQ169" s="12" t="str">
        <f>IFERROR(__xludf.DUMMYFUNCTION("IFERROR(VALUE(REGEXEXTRACT(AO169, ""\d+"")), """")"),"")</f>
        <v/>
      </c>
      <c r="AR169" s="12" t="str">
        <f>IFERROR(__xludf.DUMMYFUNCTION("TEXTJOIN("", "", TRUE, FILTER(Validations!$R$2:$R$100, ISNUMBER(SEARCH(Validations!$R$2:$R$100, AO169))))"),"Self")</f>
        <v>Self</v>
      </c>
      <c r="AS169" s="27"/>
      <c r="AT169" s="12" t="str">
        <f>IFERROR(__xludf.DUMMYFUNCTION("IFERROR(TEXTJOIN("", "", TRUE, FILTER(Validations!$I$2:$I$100, ISNUMBER(SEARCH(Validations!$I$2:$I$100, AS169)))), """")"),"")</f>
        <v/>
      </c>
      <c r="AU169" s="16" t="str">
        <f t="array" ref="AU169">IFERROR(INDEX(Validations!$J$2:$J$100, MATCH(TRUE, ISNUMBER(SEARCH(Validations!$I$2:$I$100, AT169)), 0)), "")</f>
        <v/>
      </c>
      <c r="AV169" s="12" t="str">
        <f>IFERROR(__xludf.DUMMYFUNCTION("IFERROR(VALUE(REGEXEXTRACT(AS169, ""\d+"")), """")"),"")</f>
        <v/>
      </c>
      <c r="AW169" s="12" t="str">
        <f>IFERROR(__xludf.DUMMYFUNCTION("IFERROR(TEXTJOIN("", "", TRUE, FILTER(Validations!$Q$2:$Q$100, ISNUMBER(SEARCH(Validations!$Q$2:$Q$100, AS169)))), """")"),"")</f>
        <v/>
      </c>
      <c r="AX169" s="28" t="s">
        <v>142</v>
      </c>
      <c r="AY169" s="28" t="str">
        <f>IFERROR(__xludf.DUMMYFUNCTION("TEXTJOIN("", "", TRUE, FILTER(Validations!$Y$2:$Y$100, ISNUMBER(SEARCH(Validations!$X$2:$X$100, AX169))))"),"V, S")</f>
        <v>V, S</v>
      </c>
      <c r="AZ169" s="26"/>
      <c r="BA169" s="59"/>
      <c r="BB169" s="22"/>
      <c r="BC169" s="22"/>
      <c r="BD169" s="22"/>
      <c r="BE169" s="27"/>
      <c r="BF169" s="22"/>
      <c r="BG169" s="27"/>
      <c r="BH169" s="27"/>
      <c r="BI169" s="12" t="str">
        <f>IFERROR(__xludf.DUMMYFUNCTION("IFERROR(TEXTJOIN("", "", TRUE, FILTER(SRD!$A$2:$A$1000, EXACT(SRD!$A$2:$A$1000, J169))), """")"),"")</f>
        <v/>
      </c>
      <c r="BJ169" s="29"/>
      <c r="BK169" s="29"/>
    </row>
    <row r="170" ht="15.75" customHeight="1">
      <c r="A170" s="11" t="s">
        <v>827</v>
      </c>
      <c r="B170" s="12"/>
      <c r="C170" s="16"/>
      <c r="D170" s="16" t="s">
        <v>345</v>
      </c>
      <c r="E170" s="16"/>
      <c r="F170" s="32" t="s">
        <v>828</v>
      </c>
      <c r="G170" s="50" t="s">
        <v>672</v>
      </c>
      <c r="H170" s="16" t="s">
        <v>76</v>
      </c>
      <c r="I170" s="16" t="str">
        <f t="array" ref="I170">INDEX(Validations!$C$2:$C$100, MATCH(TRUE, ISNUMBER(SEARCH(Validations!$B$2:$B$100, H170)), 0))</f>
        <v>V</v>
      </c>
      <c r="J170" s="17" t="s">
        <v>829</v>
      </c>
      <c r="K170" s="18"/>
      <c r="L170" s="17"/>
      <c r="M170" s="17"/>
      <c r="N170" s="27"/>
      <c r="O170" s="17" t="s">
        <v>830</v>
      </c>
      <c r="P170" s="21"/>
      <c r="Q170" s="21"/>
      <c r="R170" s="22"/>
      <c r="S170" s="17" t="str">
        <f>IFERROR(__xludf.DUMMYFUNCTION("IFERROR(REGEXEXTRACT(J170, ""(\d{1,3}[dD]\d{1,3})""), """")"),"")</f>
        <v/>
      </c>
      <c r="T170" s="17" t="str">
        <f>IFERROR(__xludf.DUMMYFUNCTION("IF(COUNTIF(ARRAYFORMULA(LOWER(Validations!$O$2:$O$100)), LOWER(REGEXEXTRACT(J170, ""\d{1,3}[dD]\d{1,3}\s+(\w+)"")))&gt;0, REGEXEXTRACT(J170, ""\d{1,3}[dD]\d{1,3}\s+(\w+)""), """")"),"")</f>
        <v/>
      </c>
      <c r="U170" s="17" t="str">
        <f>IFERROR(__xludf.DUMMYFUNCTION("IF(COUNTIF(ARRAYFORMULA(LOWER(Validations!$P$2:$P$100)), LOWER(REGEXEXTRACT(J170, ""\d{1,3}[dD]\d{1,3}\s+(\w+)"")))&gt;0, REGEXEXTRACT(J170, ""\d{1,3}[dD]\d{1,3}\s+(\w+)""), """")"),"")</f>
        <v/>
      </c>
      <c r="V170" s="12" t="str">
        <f>IFERROR(__xludf.DUMMYFUNCTION("TEXTJOIN("", "", TRUE, FILTER(Validations!$L$2:$L$100, ISNUMBER(SEARCH(Validations!$L$2:$L$100, J170))))"),"Exhaustion")</f>
        <v>Exhaustion</v>
      </c>
      <c r="W170" s="12" t="str">
        <f>IFERROR(__xludf.DUMMYFUNCTION("IFERROR(TEXTJOIN("", "", TRUE, FILTER(Validations!$M$2:$M$100, ISNUMBER(SEARCH(Validations!$M$2:$M$100 &amp; "" saving throw"", J170)))), """")"),"Constitution")</f>
        <v>Constitution</v>
      </c>
      <c r="X170" s="12"/>
      <c r="Y170" s="12"/>
      <c r="Z170" s="12" t="str">
        <f>IFERROR(__xludf.DUMMYFUNCTION("IFERROR(TEXTJOIN("", "", TRUE, FILTER(Validations!$N$2:$N$100, ISNUMBER(SEARCH(Validations!$N$2:$N$100 &amp; "" check"", J170)))), """")"),"")</f>
        <v/>
      </c>
      <c r="AA170" s="12" t="str">
        <f>IFERROR(__xludf.DUMMYFUNCTION("IFERROR(TEXTJOIN("", "", TRUE, FILTER(Validations!$N$2:$N$100, ISNUMBER(SEARCH(Validations!$N$2:$N$100 &amp; "" check"", W170)))), """")"),"")</f>
        <v/>
      </c>
      <c r="AB170" s="23" t="str">
        <f>IFERROR(__xludf.DUMMYFUNCTION("IFERROR(CONCATENATE(IF(ISNUMBER(SEARCH(Validations!$M$2:$M$100 &amp; "" spell save"", J170)),""Spell Save"",""""), REGEXEXTRACT(J170, ""DC (\d+)"")), """")"),"12")</f>
        <v>12</v>
      </c>
      <c r="AC170" s="24" t="b">
        <v>0</v>
      </c>
      <c r="AD170" s="24" t="b">
        <v>0</v>
      </c>
      <c r="AE170" s="36" t="s">
        <v>69</v>
      </c>
      <c r="AF170" s="25">
        <f>IFERROR(__xludf.DUMMYFUNCTION("IFERROR(VALUE(REGEXEXTRACT(AE170, ""\d+"")), 1)"),1.0)</f>
        <v>1</v>
      </c>
      <c r="AG170" s="12" t="str">
        <f>IFERROR(__xludf.DUMMYFUNCTION("IF(
  ISNUMBER(SEARCH(""Bonus Action"", AE170)),
  ""Bonus Action"",
  IF(
    ISNUMBER(SEARCH(""Reaction"", AE170)),
    ""Reaction"",
    IF(
      ISNUMBER(SEARCH(""Action"", AE170)),
      ""Action"",
      TEXTJOIN("", "", TRUE, FILTER(Validations!$S"&amp;"$2:$S$100, ISNUMBER(SEARCH(Validations!$S$2:$S$100, AE170))))
    )
  )
)"),"Action")</f>
        <v>Action</v>
      </c>
      <c r="AH170" s="36"/>
      <c r="AI170" s="27" t="s">
        <v>817</v>
      </c>
      <c r="AJ170" s="26" t="str">
        <f>IFERROR(__xludf.DUMMYFUNCTION("TEXTJOIN("", "", TRUE, FILTER(Validations!$T$2:$T$100, ISNUMBER(SEARCH(Validations!$T$2:$T$100, AI170))))"),"")</f>
        <v/>
      </c>
      <c r="AK170" s="26">
        <f>IFERROR(__xludf.DUMMYFUNCTION("IFERROR(VALUE(REGEXEXTRACT(AI170, ""\d+"")), """")"),1.0)</f>
        <v>1</v>
      </c>
      <c r="AL170" s="26" t="str">
        <f>IFERROR(__xludf.DUMMYFUNCTION("TEXTJOIN("", "", TRUE, FILTER(Validations!$U$2:$U$100, ISNUMBER(SEARCH(Validations!$U$2:$U$100, AI170))))"),"")</f>
        <v/>
      </c>
      <c r="AM170" s="24" t="b">
        <f t="shared" si="1"/>
        <v>0</v>
      </c>
      <c r="AN170" s="24" t="b">
        <v>0</v>
      </c>
      <c r="AO170" s="22" t="s">
        <v>71</v>
      </c>
      <c r="AP170" s="12" t="str">
        <f>IFERROR(__xludf.DUMMYFUNCTION("IF(TEXTJOIN("", "", TRUE, FILTER(Validations!$Q$2:$Q$100, ISNUMBER(SEARCH(Validations!$Q$2:$Q$100, AO170)))) = """", Validations!$Q$2, TEXTJOIN("", "", TRUE, FILTER(Validations!$Q$2:$Q$100, ISNUMBER(SEARCH(Validations!$Q$2:$Q$100, AO170)))))"),"Point")</f>
        <v>Point</v>
      </c>
      <c r="AQ170" s="12" t="str">
        <f>IFERROR(__xludf.DUMMYFUNCTION("IFERROR(VALUE(REGEXEXTRACT(AO170, ""\d+"")), """")"),"")</f>
        <v/>
      </c>
      <c r="AR170" s="12" t="str">
        <f>IFERROR(__xludf.DUMMYFUNCTION("TEXTJOIN("", "", TRUE, FILTER(Validations!$R$2:$R$100, ISNUMBER(SEARCH(Validations!$R$2:$R$100, AO170))))"),"Touch")</f>
        <v>Touch</v>
      </c>
      <c r="AS170" s="27"/>
      <c r="AT170" s="12" t="str">
        <f>IFERROR(__xludf.DUMMYFUNCTION("IFERROR(TEXTJOIN("", "", TRUE, FILTER(Validations!$I$2:$I$100, ISNUMBER(SEARCH(Validations!$I$2:$I$100, AS170)))), """")"),"")</f>
        <v/>
      </c>
      <c r="AU170" s="16" t="str">
        <f t="array" ref="AU170">IFERROR(INDEX(Validations!$J$2:$J$100, MATCH(TRUE, ISNUMBER(SEARCH(Validations!$I$2:$I$100, AT170)), 0)), "")</f>
        <v/>
      </c>
      <c r="AV170" s="12" t="str">
        <f>IFERROR(__xludf.DUMMYFUNCTION("IFERROR(VALUE(REGEXEXTRACT(AS170, ""\d+"")), """")"),"")</f>
        <v/>
      </c>
      <c r="AW170" s="12" t="str">
        <f>IFERROR(__xludf.DUMMYFUNCTION("IFERROR(TEXTJOIN("", "", TRUE, FILTER(Validations!$Q$2:$Q$100, ISNUMBER(SEARCH(Validations!$Q$2:$Q$100, AS170)))), """")"),"")</f>
        <v/>
      </c>
      <c r="AX170" s="28" t="s">
        <v>152</v>
      </c>
      <c r="AY170" s="28" t="str">
        <f>IFERROR(__xludf.DUMMYFUNCTION("TEXTJOIN("", "", TRUE, FILTER(Validations!$Y$2:$Y$100, ISNUMBER(SEARCH(Validations!$X$2:$X$100, AX170))))"),"V, S, R")</f>
        <v>V, S, R</v>
      </c>
      <c r="AZ170" s="20" t="s">
        <v>831</v>
      </c>
      <c r="BA170" s="22"/>
      <c r="BB170" s="22"/>
      <c r="BC170" s="22"/>
      <c r="BD170" s="22"/>
      <c r="BE170" s="27"/>
      <c r="BF170" s="22"/>
      <c r="BG170" s="27"/>
      <c r="BH170" s="27"/>
      <c r="BI170" s="12" t="str">
        <f>IFERROR(__xludf.DUMMYFUNCTION("IFERROR(TEXTJOIN("", "", TRUE, FILTER(SRD!$A$2:$A$1000, EXACT(SRD!$A$2:$A$1000, J170))), """")"),"")</f>
        <v/>
      </c>
      <c r="BJ170" s="29"/>
      <c r="BK170" s="29"/>
    </row>
    <row r="171" ht="15.75" customHeight="1">
      <c r="A171" s="30" t="s">
        <v>832</v>
      </c>
      <c r="B171" s="22"/>
      <c r="C171" s="31"/>
      <c r="D171" s="31" t="s">
        <v>74</v>
      </c>
      <c r="E171" s="31"/>
      <c r="F171" s="32" t="s">
        <v>570</v>
      </c>
      <c r="G171" s="50" t="s">
        <v>672</v>
      </c>
      <c r="H171" s="31" t="s">
        <v>178</v>
      </c>
      <c r="I171" s="16" t="str">
        <f t="array" ref="I171">INDEX(Validations!$C$2:$C$100, MATCH(TRUE, ISNUMBER(SEARCH(Validations!$B$2:$B$100, H171)), 0))</f>
        <v>A</v>
      </c>
      <c r="J171" s="17" t="s">
        <v>833</v>
      </c>
      <c r="K171" s="18"/>
      <c r="L171" s="17"/>
      <c r="M171" s="17"/>
      <c r="N171" s="27"/>
      <c r="O171" s="17"/>
      <c r="P171" s="21"/>
      <c r="Q171" s="21"/>
      <c r="R171" s="22"/>
      <c r="S171" s="17" t="str">
        <f>IFERROR(__xludf.DUMMYFUNCTION("IFERROR(REGEXEXTRACT(J171, ""(\d{1,3}[dD]\d{1,3})""), """")"),"")</f>
        <v/>
      </c>
      <c r="T171" s="17" t="str">
        <f>IFERROR(__xludf.DUMMYFUNCTION("IF(COUNTIF(ARRAYFORMULA(LOWER(Validations!$O$2:$O$100)), LOWER(REGEXEXTRACT(J171, ""\d{1,3}[dD]\d{1,3}\s+(\w+)"")))&gt;0, REGEXEXTRACT(J171, ""\d{1,3}[dD]\d{1,3}\s+(\w+)""), """")"),"")</f>
        <v/>
      </c>
      <c r="U171" s="17" t="str">
        <f>IFERROR(__xludf.DUMMYFUNCTION("IF(COUNTIF(ARRAYFORMULA(LOWER(Validations!$P$2:$P$100)), LOWER(REGEXEXTRACT(J171, ""\d{1,3}[dD]\d{1,3}\s+(\w+)"")))&gt;0, REGEXEXTRACT(J171, ""\d{1,3}[dD]\d{1,3}\s+(\w+)""), """")"),"")</f>
        <v/>
      </c>
      <c r="V171" s="12" t="str">
        <f>IFERROR(__xludf.DUMMYFUNCTION("TEXTJOIN("", "", TRUE, FILTER(Validations!$L$2:$L$100, ISNUMBER(SEARCH(Validations!$L$2:$L$100, J171))))"),"Charmed")</f>
        <v>Charmed</v>
      </c>
      <c r="W171" s="12" t="str">
        <f>IFERROR(__xludf.DUMMYFUNCTION("IFERROR(TEXTJOIN("", "", TRUE, FILTER(Validations!$M$2:$M$100, ISNUMBER(SEARCH(Validations!$M$2:$M$100 &amp; "" saving throw"", J171)))), """")"),"Wisdom")</f>
        <v>Wisdom</v>
      </c>
      <c r="X171" s="12"/>
      <c r="Y171" s="12"/>
      <c r="Z171" s="12" t="str">
        <f>IFERROR(__xludf.DUMMYFUNCTION("IFERROR(TEXTJOIN("", "", TRUE, FILTER(Validations!$N$2:$N$100, ISNUMBER(SEARCH(Validations!$N$2:$N$100 &amp; "" check"", J171)))), """")"),"")</f>
        <v/>
      </c>
      <c r="AA171" s="12" t="str">
        <f>IFERROR(__xludf.DUMMYFUNCTION("IFERROR(TEXTJOIN("", "", TRUE, FILTER(Validations!$N$2:$N$100, ISNUMBER(SEARCH(Validations!$N$2:$N$100 &amp; "" check"", W171)))), """")"),"")</f>
        <v/>
      </c>
      <c r="AB171" s="23" t="str">
        <f>IFERROR(__xludf.DUMMYFUNCTION("IFERROR(CONCATENATE(IF(ISNUMBER(SEARCH(Validations!$M$2:$M$100 &amp; "" spell save"", J171)),""Spell Save"",""""), REGEXEXTRACT(J171, ""DC (\d+)"")), """")"),"")</f>
        <v/>
      </c>
      <c r="AC171" s="24" t="b">
        <v>0</v>
      </c>
      <c r="AD171" s="24" t="b">
        <v>0</v>
      </c>
      <c r="AE171" s="36" t="s">
        <v>69</v>
      </c>
      <c r="AF171" s="25">
        <f>IFERROR(__xludf.DUMMYFUNCTION("IFERROR(VALUE(REGEXEXTRACT(AE171, ""\d+"")), 1)"),1.0)</f>
        <v>1</v>
      </c>
      <c r="AG171" s="12" t="str">
        <f>IFERROR(__xludf.DUMMYFUNCTION("IF(
  ISNUMBER(SEARCH(""Bonus Action"", AE171)),
  ""Bonus Action"",
  IF(
    ISNUMBER(SEARCH(""Reaction"", AE171)),
    ""Reaction"",
    IF(
      ISNUMBER(SEARCH(""Action"", AE171)),
      ""Action"",
      TEXTJOIN("", "", TRUE, FILTER(Validations!$S"&amp;"$2:$S$100, ISNUMBER(SEARCH(Validations!$S$2:$S$100, AE171))))
    )
  )
)"),"Action")</f>
        <v>Action</v>
      </c>
      <c r="AH171" s="36"/>
      <c r="AI171" s="20" t="s">
        <v>134</v>
      </c>
      <c r="AJ171" s="26" t="str">
        <f>IFERROR(__xludf.DUMMYFUNCTION("TEXTJOIN("", "", TRUE, FILTER(Validations!$T$2:$T$100, ISNUMBER(SEARCH(Validations!$T$2:$T$100, AI171))))"),"")</f>
        <v/>
      </c>
      <c r="AK171" s="26">
        <f>IFERROR(__xludf.DUMMYFUNCTION("IFERROR(VALUE(REGEXEXTRACT(AI171, ""\d+"")), """")"),10.0)</f>
        <v>10</v>
      </c>
      <c r="AL171" s="26" t="str">
        <f>IFERROR(__xludf.DUMMYFUNCTION("TEXTJOIN("", "", TRUE, FILTER(Validations!$U$2:$U$100, ISNUMBER(SEARCH(Validations!$U$2:$U$100, AI171))))"),"Minutes")</f>
        <v>Minutes</v>
      </c>
      <c r="AM171" s="24" t="b">
        <f t="shared" si="1"/>
        <v>0</v>
      </c>
      <c r="AN171" s="24" t="b">
        <v>1</v>
      </c>
      <c r="AO171" s="22" t="s">
        <v>71</v>
      </c>
      <c r="AP171" s="12" t="str">
        <f>IFERROR(__xludf.DUMMYFUNCTION("IF(TEXTJOIN("", "", TRUE, FILTER(Validations!$Q$2:$Q$100, ISNUMBER(SEARCH(Validations!$Q$2:$Q$100, AO171)))) = """", Validations!$Q$2, TEXTJOIN("", "", TRUE, FILTER(Validations!$Q$2:$Q$100, ISNUMBER(SEARCH(Validations!$Q$2:$Q$100, AO171)))))"),"Point")</f>
        <v>Point</v>
      </c>
      <c r="AQ171" s="12" t="str">
        <f>IFERROR(__xludf.DUMMYFUNCTION("IFERROR(VALUE(REGEXEXTRACT(AO171, ""\d+"")), """")"),"")</f>
        <v/>
      </c>
      <c r="AR171" s="12" t="str">
        <f>IFERROR(__xludf.DUMMYFUNCTION("TEXTJOIN("", "", TRUE, FILTER(Validations!$R$2:$R$100, ISNUMBER(SEARCH(Validations!$R$2:$R$100, AO171))))"),"Touch")</f>
        <v>Touch</v>
      </c>
      <c r="AS171" s="27"/>
      <c r="AT171" s="12" t="str">
        <f>IFERROR(__xludf.DUMMYFUNCTION("IFERROR(TEXTJOIN("", "", TRUE, FILTER(Validations!$I$2:$I$100, ISNUMBER(SEARCH(Validations!$I$2:$I$100, AS171)))), """")"),"")</f>
        <v/>
      </c>
      <c r="AU171" s="16" t="str">
        <f t="array" ref="AU171">IFERROR(INDEX(Validations!$J$2:$J$100, MATCH(TRUE, ISNUMBER(SEARCH(Validations!$I$2:$I$100, AT171)), 0)), "")</f>
        <v/>
      </c>
      <c r="AV171" s="12" t="str">
        <f>IFERROR(__xludf.DUMMYFUNCTION("IFERROR(VALUE(REGEXEXTRACT(AS171, ""\d+"")), """")"),"")</f>
        <v/>
      </c>
      <c r="AW171" s="12" t="str">
        <f>IFERROR(__xludf.DUMMYFUNCTION("IFERROR(TEXTJOIN("", "", TRUE, FILTER(Validations!$Q$2:$Q$100, ISNUMBER(SEARCH(Validations!$Q$2:$Q$100, AS171)))), """")"),"")</f>
        <v/>
      </c>
      <c r="AX171" s="28" t="s">
        <v>142</v>
      </c>
      <c r="AY171" s="28" t="str">
        <f>IFERROR(__xludf.DUMMYFUNCTION("TEXTJOIN("", "", TRUE, FILTER(Validations!$Y$2:$Y$100, ISNUMBER(SEARCH(Validations!$X$2:$X$100, AX171))))"),"V, S")</f>
        <v>V, S</v>
      </c>
      <c r="AZ171" s="27"/>
      <c r="BA171" s="22"/>
      <c r="BB171" s="22"/>
      <c r="BC171" s="22"/>
      <c r="BD171" s="22"/>
      <c r="BE171" s="27"/>
      <c r="BF171" s="22"/>
      <c r="BG171" s="27"/>
      <c r="BH171" s="27"/>
      <c r="BI171" s="12" t="str">
        <f>IFERROR(__xludf.DUMMYFUNCTION("IFERROR(TEXTJOIN("", "", TRUE, FILTER(SRD!$A$2:$A$1000, EXACT(SRD!$A$2:$A$1000, J171))), """")"),"")</f>
        <v/>
      </c>
      <c r="BJ171" s="29"/>
      <c r="BK171" s="29"/>
    </row>
    <row r="172" ht="15.75" customHeight="1">
      <c r="A172" s="38" t="s">
        <v>834</v>
      </c>
      <c r="B172" s="12"/>
      <c r="C172" s="31"/>
      <c r="D172" s="31" t="s">
        <v>835</v>
      </c>
      <c r="E172" s="31"/>
      <c r="F172" s="14" t="s">
        <v>836</v>
      </c>
      <c r="G172" s="50" t="s">
        <v>672</v>
      </c>
      <c r="H172" s="31" t="s">
        <v>178</v>
      </c>
      <c r="I172" s="16" t="str">
        <f t="array" ref="I172">INDEX(Validations!$C$2:$C$100, MATCH(TRUE, ISNUMBER(SEARCH(Validations!$B$2:$B$100, H172)), 0))</f>
        <v>A</v>
      </c>
      <c r="J172" s="17" t="s">
        <v>837</v>
      </c>
      <c r="K172" s="51"/>
      <c r="L172" s="17"/>
      <c r="M172" s="52"/>
      <c r="N172" s="20" t="s">
        <v>838</v>
      </c>
      <c r="O172" s="17" t="s">
        <v>839</v>
      </c>
      <c r="P172" s="21"/>
      <c r="Q172" s="21"/>
      <c r="R172" s="36" t="s">
        <v>840</v>
      </c>
      <c r="S172" s="17" t="str">
        <f>IFERROR(__xludf.DUMMYFUNCTION("IFERROR(REGEXEXTRACT(J172, ""(\d{1,3}[dD]\d{1,3})""), """")"),"2d6")</f>
        <v>2d6</v>
      </c>
      <c r="T172" s="17" t="str">
        <f>IFERROR(__xludf.DUMMYFUNCTION("IF(COUNTIF(ARRAYFORMULA(LOWER(Validations!$O$2:$O$100)), LOWER(REGEXEXTRACT(J172, ""\d{1,3}[dD]\d{1,3}\s+(\w+)"")))&gt;0, REGEXEXTRACT(J172, ""\d{1,3}[dD]\d{1,3}\s+(\w+)""), """")"),"pyric")</f>
        <v>pyric</v>
      </c>
      <c r="U172" s="17" t="str">
        <f>IFERROR(__xludf.DUMMYFUNCTION("IF(COUNTIF(ARRAYFORMULA(LOWER(Validations!$P$2:$P$100)), LOWER(REGEXEXTRACT(J172, ""\d{1,3}[dD]\d{1,3}\s+(\w+)"")))&gt;0, REGEXEXTRACT(J172, ""\d{1,3}[dD]\d{1,3}\s+(\w+)""), """")"),"")</f>
        <v/>
      </c>
      <c r="V172" s="12" t="str">
        <f>IFERROR(__xludf.DUMMYFUNCTION("TEXTJOIN("", "", TRUE, FILTER(Validations!$L$2:$L$100, ISNUMBER(SEARCH(Validations!$L$2:$L$100, J172))))"),"")</f>
        <v/>
      </c>
      <c r="W172" s="12" t="str">
        <f>IFERROR(__xludf.DUMMYFUNCTION("IFERROR(TEXTJOIN("", "", TRUE, FILTER(Validations!$M$2:$M$100, ISNUMBER(SEARCH(Validations!$M$2:$M$100 &amp; "" saving throw"", J172)))), """")"),"")</f>
        <v/>
      </c>
      <c r="X172" s="12"/>
      <c r="Y172" s="12"/>
      <c r="Z172" s="12" t="str">
        <f>IFERROR(__xludf.DUMMYFUNCTION("IFERROR(TEXTJOIN("", "", TRUE, FILTER(Validations!$N$2:$N$100, ISNUMBER(SEARCH(Validations!$N$2:$N$100 &amp; "" check"", J172)))), """")"),"")</f>
        <v/>
      </c>
      <c r="AA172" s="12" t="str">
        <f>IFERROR(__xludf.DUMMYFUNCTION("IFERROR(TEXTJOIN("", "", TRUE, FILTER(Validations!$N$2:$N$100, ISNUMBER(SEARCH(Validations!$N$2:$N$100 &amp; "" check"", W172)))), """")"),"")</f>
        <v/>
      </c>
      <c r="AB172" s="23" t="str">
        <f>IFERROR(__xludf.DUMMYFUNCTION("IFERROR(CONCATENATE(IF(ISNUMBER(SEARCH(Validations!$M$2:$M$100 &amp; "" spell save"", J172)),""Spell Save"",""""), REGEXEXTRACT(J172, ""DC (\d+)"")), """")"),"")</f>
        <v/>
      </c>
      <c r="AC172" s="24" t="b">
        <v>0</v>
      </c>
      <c r="AD172" s="24" t="b">
        <v>0</v>
      </c>
      <c r="AE172" s="12" t="s">
        <v>69</v>
      </c>
      <c r="AF172" s="25">
        <f>IFERROR(__xludf.DUMMYFUNCTION("IFERROR(VALUE(REGEXEXTRACT(AE172, ""\d+"")), 1)"),1.0)</f>
        <v>1</v>
      </c>
      <c r="AG172" s="12" t="str">
        <f>IFERROR(__xludf.DUMMYFUNCTION("IF(
  ISNUMBER(SEARCH(""Bonus Action"", AE172)),
  ""Bonus Action"",
  IF(
    ISNUMBER(SEARCH(""Reaction"", AE172)),
    ""Reaction"",
    IF(
      ISNUMBER(SEARCH(""Action"", AE172)),
      ""Action"",
      TEXTJOIN("", "", TRUE, FILTER(Validations!$S"&amp;"$2:$S$100, ISNUMBER(SEARCH(Validations!$S$2:$S$100, AE172))))
    )
  )
)"),"Action")</f>
        <v>Action</v>
      </c>
      <c r="AH172" s="12"/>
      <c r="AI172" s="20" t="s">
        <v>134</v>
      </c>
      <c r="AJ172" s="26" t="str">
        <f>IFERROR(__xludf.DUMMYFUNCTION("TEXTJOIN("", "", TRUE, FILTER(Validations!$T$2:$T$100, ISNUMBER(SEARCH(Validations!$T$2:$T$100, AI172))))"),"")</f>
        <v/>
      </c>
      <c r="AK172" s="26">
        <f>IFERROR(__xludf.DUMMYFUNCTION("IFERROR(VALUE(REGEXEXTRACT(AI172, ""\d+"")), """")"),10.0)</f>
        <v>10</v>
      </c>
      <c r="AL172" s="26" t="str">
        <f>IFERROR(__xludf.DUMMYFUNCTION("TEXTJOIN("", "", TRUE, FILTER(Validations!$U$2:$U$100, ISNUMBER(SEARCH(Validations!$U$2:$U$100, AI172))))"),"Minutes")</f>
        <v>Minutes</v>
      </c>
      <c r="AM172" s="24" t="b">
        <f t="shared" si="1"/>
        <v>0</v>
      </c>
      <c r="AN172" s="24" t="b">
        <v>0</v>
      </c>
      <c r="AO172" s="12" t="s">
        <v>71</v>
      </c>
      <c r="AP172" s="12" t="str">
        <f>IFERROR(__xludf.DUMMYFUNCTION("IF(TEXTJOIN("", "", TRUE, FILTER(Validations!$Q$2:$Q$100, ISNUMBER(SEARCH(Validations!$Q$2:$Q$100, AO172)))) = """", Validations!$Q$2, TEXTJOIN("", "", TRUE, FILTER(Validations!$Q$2:$Q$100, ISNUMBER(SEARCH(Validations!$Q$2:$Q$100, AO172)))))"),"Point")</f>
        <v>Point</v>
      </c>
      <c r="AQ172" s="12" t="str">
        <f>IFERROR(__xludf.DUMMYFUNCTION("IFERROR(VALUE(REGEXEXTRACT(AO172, ""\d+"")), """")"),"")</f>
        <v/>
      </c>
      <c r="AR172" s="12" t="str">
        <f>IFERROR(__xludf.DUMMYFUNCTION("TEXTJOIN("", "", TRUE, FILTER(Validations!$R$2:$R$100, ISNUMBER(SEARCH(Validations!$R$2:$R$100, AO172))))"),"Touch")</f>
        <v>Touch</v>
      </c>
      <c r="AS172" s="27"/>
      <c r="AT172" s="12" t="str">
        <f>IFERROR(__xludf.DUMMYFUNCTION("IFERROR(TEXTJOIN("", "", TRUE, FILTER(Validations!$I$2:$I$100, ISNUMBER(SEARCH(Validations!$I$2:$I$100, AS172)))), """")"),"")</f>
        <v/>
      </c>
      <c r="AU172" s="16" t="str">
        <f t="array" ref="AU172">IFERROR(INDEX(Validations!$J$2:$J$100, MATCH(TRUE, ISNUMBER(SEARCH(Validations!$I$2:$I$100, AT172)), 0)), "")</f>
        <v/>
      </c>
      <c r="AV172" s="12" t="str">
        <f>IFERROR(__xludf.DUMMYFUNCTION("IFERROR(VALUE(REGEXEXTRACT(AS172, ""\d+"")), """")"),"")</f>
        <v/>
      </c>
      <c r="AW172" s="12" t="str">
        <f>IFERROR(__xludf.DUMMYFUNCTION("IFERROR(TEXTJOIN("", "", TRUE, FILTER(Validations!$Q$2:$Q$100, ISNUMBER(SEARCH(Validations!$Q$2:$Q$100, AS172)))), """")"),"")</f>
        <v/>
      </c>
      <c r="AX172" s="36" t="s">
        <v>152</v>
      </c>
      <c r="AY172" s="28" t="str">
        <f>IFERROR(__xludf.DUMMYFUNCTION("TEXTJOIN("", "", TRUE, FILTER(Validations!$Y$2:$Y$100, ISNUMBER(SEARCH(Validations!$X$2:$X$100, AX172))))"),"V, S, R")</f>
        <v>V, S, R</v>
      </c>
      <c r="AZ172" s="26" t="s">
        <v>841</v>
      </c>
      <c r="BA172" s="12"/>
      <c r="BB172" s="22"/>
      <c r="BC172" s="22"/>
      <c r="BD172" s="22"/>
      <c r="BE172" s="27"/>
      <c r="BF172" s="22"/>
      <c r="BG172" s="27"/>
      <c r="BH172" s="27"/>
      <c r="BI172" s="12" t="str">
        <f>IFERROR(__xludf.DUMMYFUNCTION("IFERROR(TEXTJOIN("", "", TRUE, FILTER(SRD!$A$2:$A$1000, EXACT(SRD!$A$2:$A$1000, J172))), """")"),"")</f>
        <v/>
      </c>
      <c r="BJ172" s="29"/>
      <c r="BK172" s="29"/>
    </row>
    <row r="173" ht="15.75" customHeight="1">
      <c r="A173" s="11" t="s">
        <v>842</v>
      </c>
      <c r="B173" s="12"/>
      <c r="C173" s="16"/>
      <c r="D173" s="16" t="s">
        <v>843</v>
      </c>
      <c r="E173" s="16"/>
      <c r="F173" s="32" t="s">
        <v>844</v>
      </c>
      <c r="G173" s="50" t="s">
        <v>672</v>
      </c>
      <c r="H173" s="16" t="s">
        <v>103</v>
      </c>
      <c r="I173" s="16" t="str">
        <f t="array" ref="I173">INDEX(Validations!$C$2:$C$100, MATCH(TRUE, ISNUMBER(SEARCH(Validations!$B$2:$B$100, H173)), 0))</f>
        <v>C</v>
      </c>
      <c r="J173" s="17" t="s">
        <v>845</v>
      </c>
      <c r="K173" s="18"/>
      <c r="L173" s="17"/>
      <c r="M173" s="17"/>
      <c r="N173" s="20" t="s">
        <v>846</v>
      </c>
      <c r="O173" s="17" t="s">
        <v>847</v>
      </c>
      <c r="P173" s="21"/>
      <c r="Q173" s="21"/>
      <c r="R173" s="22"/>
      <c r="S173" s="17" t="str">
        <f>IFERROR(__xludf.DUMMYFUNCTION("IFERROR(REGEXEXTRACT(J173, ""(\d{1,3}[dD]\d{1,3})""), """")"),"3d6")</f>
        <v>3d6</v>
      </c>
      <c r="T173" s="17" t="str">
        <f>IFERROR(__xludf.DUMMYFUNCTION("IF(COUNTIF(ARRAYFORMULA(LOWER(Validations!$O$2:$O$100)), LOWER(REGEXEXTRACT(J173, ""\d{1,3}[dD]\d{1,3}\s+(\w+)"")))&gt;0, REGEXEXTRACT(J173, ""\d{1,3}[dD]\d{1,3}\s+(\w+)""), """")"),"impact")</f>
        <v>impact</v>
      </c>
      <c r="U173" s="17" t="str">
        <f>IFERROR(__xludf.DUMMYFUNCTION("IF(COUNTIF(ARRAYFORMULA(LOWER(Validations!$P$2:$P$100)), LOWER(REGEXEXTRACT(J173, ""\d{1,3}[dD]\d{1,3}\s+(\w+)"")))&gt;0, REGEXEXTRACT(J173, ""\d{1,3}[dD]\d{1,3}\s+(\w+)""), """")"),"")</f>
        <v/>
      </c>
      <c r="V173" s="12" t="str">
        <f>IFERROR(__xludf.DUMMYFUNCTION("TEXTJOIN("", "", TRUE, FILTER(Validations!$L$2:$L$100, ISNUMBER(SEARCH(Validations!$L$2:$L$100, J173))))"),"Restrained")</f>
        <v>Restrained</v>
      </c>
      <c r="W173" s="12" t="str">
        <f>IFERROR(__xludf.DUMMYFUNCTION("IFERROR(TEXTJOIN("", "", TRUE, FILTER(Validations!$M$2:$M$100, ISNUMBER(SEARCH(Validations!$M$2:$M$100 &amp; "" saving throw"", J173)))), """")"),"Dexterity")</f>
        <v>Dexterity</v>
      </c>
      <c r="X173" s="12"/>
      <c r="Y173" s="12"/>
      <c r="Z173" s="12" t="str">
        <f>IFERROR(__xludf.DUMMYFUNCTION("IFERROR(TEXTJOIN("", "", TRUE, FILTER(Validations!$N$2:$N$100, ISNUMBER(SEARCH(Validations!$N$2:$N$100 &amp; "" check"", J173)))), """")"),"")</f>
        <v/>
      </c>
      <c r="AA173" s="12" t="str">
        <f>IFERROR(__xludf.DUMMYFUNCTION("IFERROR(TEXTJOIN("", "", TRUE, FILTER(Validations!$N$2:$N$100, ISNUMBER(SEARCH(Validations!$N$2:$N$100 &amp; "" check"", W173)))), """")"),"")</f>
        <v/>
      </c>
      <c r="AB173" s="23" t="str">
        <f>IFERROR(__xludf.DUMMYFUNCTION("IFERROR(CONCATENATE(IF(ISNUMBER(SEARCH(Validations!$M$2:$M$100 &amp; "" spell save"", J173)),""Spell Save"",""""), REGEXEXTRACT(J173, ""DC (\d+)"")), """")"),"")</f>
        <v/>
      </c>
      <c r="AC173" s="24" t="b">
        <v>0</v>
      </c>
      <c r="AD173" s="24" t="b">
        <v>0</v>
      </c>
      <c r="AE173" s="36" t="s">
        <v>69</v>
      </c>
      <c r="AF173" s="25">
        <f>IFERROR(__xludf.DUMMYFUNCTION("IFERROR(VALUE(REGEXEXTRACT(AE173, ""\d+"")), 1)"),1.0)</f>
        <v>1</v>
      </c>
      <c r="AG173" s="12" t="str">
        <f>IFERROR(__xludf.DUMMYFUNCTION("IF(
  ISNUMBER(SEARCH(""Bonus Action"", AE173)),
  ""Bonus Action"",
  IF(
    ISNUMBER(SEARCH(""Reaction"", AE173)),
    ""Reaction"",
    IF(
      ISNUMBER(SEARCH(""Action"", AE173)),
      ""Action"",
      TEXTJOIN("", "", TRUE, FILTER(Validations!$S"&amp;"$2:$S$100, ISNUMBER(SEARCH(Validations!$S$2:$S$100, AE173))))
    )
  )
)"),"Action")</f>
        <v>Action</v>
      </c>
      <c r="AH173" s="36"/>
      <c r="AI173" s="20" t="s">
        <v>92</v>
      </c>
      <c r="AJ173" s="26" t="str">
        <f>IFERROR(__xludf.DUMMYFUNCTION("TEXTJOIN("", "", TRUE, FILTER(Validations!$T$2:$T$100, ISNUMBER(SEARCH(Validations!$T$2:$T$100, AI173))))"),"")</f>
        <v/>
      </c>
      <c r="AK173" s="26">
        <f>IFERROR(__xludf.DUMMYFUNCTION("IFERROR(VALUE(REGEXEXTRACT(AI173, ""\d+"")), """")"),1.0)</f>
        <v>1</v>
      </c>
      <c r="AL173" s="26" t="str">
        <f>IFERROR(__xludf.DUMMYFUNCTION("TEXTJOIN("", "", TRUE, FILTER(Validations!$U$2:$U$100, ISNUMBER(SEARCH(Validations!$U$2:$U$100, AI173))))"),"Minutes")</f>
        <v>Minutes</v>
      </c>
      <c r="AM173" s="24" t="b">
        <f t="shared" si="1"/>
        <v>0</v>
      </c>
      <c r="AN173" s="24" t="b">
        <v>1</v>
      </c>
      <c r="AO173" s="22" t="s">
        <v>164</v>
      </c>
      <c r="AP173" s="12" t="str">
        <f>IFERROR(__xludf.DUMMYFUNCTION("IF(TEXTJOIN("", "", TRUE, FILTER(Validations!$Q$2:$Q$100, ISNUMBER(SEARCH(Validations!$Q$2:$Q$100, AO173)))) = """", Validations!$Q$2, TEXTJOIN("", "", TRUE, FILTER(Validations!$Q$2:$Q$100, ISNUMBER(SEARCH(Validations!$Q$2:$Q$100, AO173)))))"),"Point")</f>
        <v>Point</v>
      </c>
      <c r="AQ173" s="12">
        <f>IFERROR(__xludf.DUMMYFUNCTION("IFERROR(VALUE(REGEXEXTRACT(AO173, ""\d+"")), """")"),15.0)</f>
        <v>15</v>
      </c>
      <c r="AR173" s="12" t="str">
        <f>IFERROR(__xludf.DUMMYFUNCTION("TEXTJOIN("", "", TRUE, FILTER(Validations!$R$2:$R$100, ISNUMBER(SEARCH(Validations!$R$2:$R$100, AO173))))"),"Feet")</f>
        <v>Feet</v>
      </c>
      <c r="AS173" s="27"/>
      <c r="AT173" s="12" t="str">
        <f>IFERROR(__xludf.DUMMYFUNCTION("IFERROR(TEXTJOIN("", "", TRUE, FILTER(Validations!$I$2:$I$100, ISNUMBER(SEARCH(Validations!$I$2:$I$100, AS173)))), """")"),"")</f>
        <v/>
      </c>
      <c r="AU173" s="16" t="str">
        <f t="array" ref="AU173">IFERROR(INDEX(Validations!$J$2:$J$100, MATCH(TRUE, ISNUMBER(SEARCH(Validations!$I$2:$I$100, AT173)), 0)), "")</f>
        <v/>
      </c>
      <c r="AV173" s="12" t="str">
        <f>IFERROR(__xludf.DUMMYFUNCTION("IFERROR(VALUE(REGEXEXTRACT(AS173, ""\d+"")), """")"),"")</f>
        <v/>
      </c>
      <c r="AW173" s="12" t="str">
        <f>IFERROR(__xludf.DUMMYFUNCTION("IFERROR(TEXTJOIN("", "", TRUE, FILTER(Validations!$Q$2:$Q$100, ISNUMBER(SEARCH(Validations!$Q$2:$Q$100, AS173)))), """")"),"")</f>
        <v/>
      </c>
      <c r="AX173" s="28" t="s">
        <v>152</v>
      </c>
      <c r="AY173" s="28" t="str">
        <f>IFERROR(__xludf.DUMMYFUNCTION("TEXTJOIN("", "", TRUE, FILTER(Validations!$Y$2:$Y$100, ISNUMBER(SEARCH(Validations!$X$2:$X$100, AX173))))"),"V, S, R")</f>
        <v>V, S, R</v>
      </c>
      <c r="AZ173" s="20" t="s">
        <v>848</v>
      </c>
      <c r="BA173" s="22"/>
      <c r="BB173" s="22"/>
      <c r="BC173" s="22"/>
      <c r="BD173" s="22"/>
      <c r="BE173" s="27"/>
      <c r="BF173" s="22"/>
      <c r="BG173" s="27"/>
      <c r="BH173" s="27"/>
      <c r="BI173" s="12" t="str">
        <f>IFERROR(__xludf.DUMMYFUNCTION("IFERROR(TEXTJOIN("", "", TRUE, FILTER(SRD!$A$2:$A$1000, EXACT(SRD!$A$2:$A$1000, J173))), """")"),"")</f>
        <v/>
      </c>
      <c r="BJ173" s="29"/>
      <c r="BK173" s="29"/>
    </row>
    <row r="174" ht="15.75" customHeight="1">
      <c r="A174" s="30" t="s">
        <v>849</v>
      </c>
      <c r="B174" s="22"/>
      <c r="C174" s="16"/>
      <c r="D174" s="16" t="s">
        <v>345</v>
      </c>
      <c r="E174" s="16"/>
      <c r="F174" s="32" t="s">
        <v>506</v>
      </c>
      <c r="G174" s="50" t="s">
        <v>672</v>
      </c>
      <c r="H174" s="16" t="s">
        <v>85</v>
      </c>
      <c r="I174" s="16" t="str">
        <f t="array" ref="I174">INDEX(Validations!$C$2:$C$100, MATCH(TRUE, ISNUMBER(SEARCH(Validations!$B$2:$B$100, H174)), 0))</f>
        <v>T</v>
      </c>
      <c r="J174" s="17" t="s">
        <v>850</v>
      </c>
      <c r="K174" s="18"/>
      <c r="L174" s="17"/>
      <c r="M174" s="17"/>
      <c r="N174" s="27"/>
      <c r="O174" s="17"/>
      <c r="P174" s="21"/>
      <c r="Q174" s="21"/>
      <c r="R174" s="36" t="s">
        <v>851</v>
      </c>
      <c r="S174" s="17" t="str">
        <f>IFERROR(__xludf.DUMMYFUNCTION("IFERROR(REGEXEXTRACT(J174, ""(\d{1,3}[dD]\d{1,3})""), """")"),"")</f>
        <v/>
      </c>
      <c r="T174" s="17" t="str">
        <f>IFERROR(__xludf.DUMMYFUNCTION("IF(COUNTIF(ARRAYFORMULA(LOWER(Validations!$O$2:$O$100)), LOWER(REGEXEXTRACT(J174, ""\d{1,3}[dD]\d{1,3}\s+(\w+)"")))&gt;0, REGEXEXTRACT(J174, ""\d{1,3}[dD]\d{1,3}\s+(\w+)""), """")"),"")</f>
        <v/>
      </c>
      <c r="U174" s="17" t="str">
        <f>IFERROR(__xludf.DUMMYFUNCTION("IF(COUNTIF(ARRAYFORMULA(LOWER(Validations!$P$2:$P$100)), LOWER(REGEXEXTRACT(J174, ""\d{1,3}[dD]\d{1,3}\s+(\w+)"")))&gt;0, REGEXEXTRACT(J174, ""\d{1,3}[dD]\d{1,3}\s+(\w+)""), """")"),"")</f>
        <v/>
      </c>
      <c r="V174" s="12" t="str">
        <f>IFERROR(__xludf.DUMMYFUNCTION("TEXTJOIN("", "", TRUE, FILTER(Validations!$L$2:$L$100, ISNUMBER(SEARCH(Validations!$L$2:$L$100, J174))))"),"Altered")</f>
        <v>Altered</v>
      </c>
      <c r="W174" s="12" t="str">
        <f>IFERROR(__xludf.DUMMYFUNCTION("IFERROR(TEXTJOIN("", "", TRUE, FILTER(Validations!$M$2:$M$100, ISNUMBER(SEARCH(Validations!$M$2:$M$100 &amp; "" saving throw"", J174)))), """")"),"")</f>
        <v/>
      </c>
      <c r="X174" s="12"/>
      <c r="Y174" s="12"/>
      <c r="Z174" s="12" t="str">
        <f>IFERROR(__xludf.DUMMYFUNCTION("IFERROR(TEXTJOIN("", "", TRUE, FILTER(Validations!$N$2:$N$100, ISNUMBER(SEARCH(Validations!$N$2:$N$100 &amp; "" check"", J174)))), """")"),"")</f>
        <v/>
      </c>
      <c r="AA174" s="12" t="str">
        <f>IFERROR(__xludf.DUMMYFUNCTION("IFERROR(TEXTJOIN("", "", TRUE, FILTER(Validations!$N$2:$N$100, ISNUMBER(SEARCH(Validations!$N$2:$N$100 &amp; "" check"", W174)))), """")"),"")</f>
        <v/>
      </c>
      <c r="AB174" s="23" t="str">
        <f>IFERROR(__xludf.DUMMYFUNCTION("IFERROR(CONCATENATE(IF(ISNUMBER(SEARCH(Validations!$M$2:$M$100 &amp; "" spell save"", J174)),""Spell Save"",""""), REGEXEXTRACT(J174, ""DC (\d+)"")), """")"),"")</f>
        <v/>
      </c>
      <c r="AC174" s="24" t="b">
        <v>0</v>
      </c>
      <c r="AD174" s="24" t="b">
        <v>0</v>
      </c>
      <c r="AE174" s="36" t="s">
        <v>134</v>
      </c>
      <c r="AF174" s="25">
        <f>IFERROR(__xludf.DUMMYFUNCTION("IFERROR(VALUE(REGEXEXTRACT(AE174, ""\d+"")), 1)"),10.0)</f>
        <v>10</v>
      </c>
      <c r="AG174" s="12" t="str">
        <f>IFERROR(__xludf.DUMMYFUNCTION("IF(
  ISNUMBER(SEARCH(""Bonus Action"", AE174)),
  ""Bonus Action"",
  IF(
    ISNUMBER(SEARCH(""Reaction"", AE174)),
    ""Reaction"",
    IF(
      ISNUMBER(SEARCH(""Action"", AE174)),
      ""Action"",
      TEXTJOIN("", "", TRUE, FILTER(Validations!$S"&amp;"$2:$S$100, ISNUMBER(SEARCH(Validations!$S$2:$S$100, AE174))))
    )
  )
)"),"Minutes")</f>
        <v>Minutes</v>
      </c>
      <c r="AH174" s="22"/>
      <c r="AI174" s="27" t="s">
        <v>852</v>
      </c>
      <c r="AJ174" s="26" t="str">
        <f>IFERROR(__xludf.DUMMYFUNCTION("TEXTJOIN("", "", TRUE, FILTER(Validations!$T$2:$T$100, ISNUMBER(SEARCH(Validations!$T$2:$T$100, AI174))))"),"Permanent")</f>
        <v>Permanent</v>
      </c>
      <c r="AK174" s="26" t="str">
        <f>IFERROR(__xludf.DUMMYFUNCTION("IFERROR(VALUE(REGEXEXTRACT(AI174, ""\d+"")), """")"),"")</f>
        <v/>
      </c>
      <c r="AL174" s="26" t="str">
        <f>IFERROR(__xludf.DUMMYFUNCTION("TEXTJOIN("", "", TRUE, FILTER(Validations!$U$2:$U$100, ISNUMBER(SEARCH(Validations!$U$2:$U$100, AI174))))"),"")</f>
        <v/>
      </c>
      <c r="AM174" s="24" t="b">
        <f t="shared" si="1"/>
        <v>0</v>
      </c>
      <c r="AN174" s="24" t="b">
        <v>0</v>
      </c>
      <c r="AO174" s="22" t="s">
        <v>71</v>
      </c>
      <c r="AP174" s="12" t="str">
        <f>IFERROR(__xludf.DUMMYFUNCTION("IF(TEXTJOIN("", "", TRUE, FILTER(Validations!$Q$2:$Q$100, ISNUMBER(SEARCH(Validations!$Q$2:$Q$100, AO174)))) = """", Validations!$Q$2, TEXTJOIN("", "", TRUE, FILTER(Validations!$Q$2:$Q$100, ISNUMBER(SEARCH(Validations!$Q$2:$Q$100, AO174)))))"),"Point")</f>
        <v>Point</v>
      </c>
      <c r="AQ174" s="12" t="str">
        <f>IFERROR(__xludf.DUMMYFUNCTION("IFERROR(VALUE(REGEXEXTRACT(AO174, ""\d+"")), """")"),"")</f>
        <v/>
      </c>
      <c r="AR174" s="12" t="str">
        <f>IFERROR(__xludf.DUMMYFUNCTION("TEXTJOIN("", "", TRUE, FILTER(Validations!$R$2:$R$100, ISNUMBER(SEARCH(Validations!$R$2:$R$100, AO174))))"),"Touch")</f>
        <v>Touch</v>
      </c>
      <c r="AS174" s="27"/>
      <c r="AT174" s="12" t="str">
        <f>IFERROR(__xludf.DUMMYFUNCTION("IFERROR(TEXTJOIN("", "", TRUE, FILTER(Validations!$I$2:$I$100, ISNUMBER(SEARCH(Validations!$I$2:$I$100, AS174)))), """")"),"")</f>
        <v/>
      </c>
      <c r="AU174" s="16" t="str">
        <f t="array" ref="AU174">IFERROR(INDEX(Validations!$J$2:$J$100, MATCH(TRUE, ISNUMBER(SEARCH(Validations!$I$2:$I$100, AT174)), 0)), "")</f>
        <v/>
      </c>
      <c r="AV174" s="12" t="str">
        <f>IFERROR(__xludf.DUMMYFUNCTION("IFERROR(VALUE(REGEXEXTRACT(AS174, ""\d+"")), """")"),"")</f>
        <v/>
      </c>
      <c r="AW174" s="12" t="str">
        <f>IFERROR(__xludf.DUMMYFUNCTION("IFERROR(TEXTJOIN("", "", TRUE, FILTER(Validations!$Q$2:$Q$100, ISNUMBER(SEARCH(Validations!$Q$2:$Q$100, AS174)))), """")"),"")</f>
        <v/>
      </c>
      <c r="AX174" s="28" t="s">
        <v>152</v>
      </c>
      <c r="AY174" s="28" t="str">
        <f>IFERROR(__xludf.DUMMYFUNCTION("TEXTJOIN("", "", TRUE, FILTER(Validations!$Y$2:$Y$100, ISNUMBER(SEARCH(Validations!$X$2:$X$100, AX174))))"),"V, S, R")</f>
        <v>V, S, R</v>
      </c>
      <c r="AZ174" s="20" t="s">
        <v>853</v>
      </c>
      <c r="BA174" s="22"/>
      <c r="BB174" s="22"/>
      <c r="BC174" s="22"/>
      <c r="BD174" s="22"/>
      <c r="BE174" s="27"/>
      <c r="BF174" s="28" t="s">
        <v>854</v>
      </c>
      <c r="BG174" s="27"/>
      <c r="BH174" s="27"/>
      <c r="BI174" s="12" t="str">
        <f>IFERROR(__xludf.DUMMYFUNCTION("IFERROR(TEXTJOIN("", "", TRUE, FILTER(SRD!$A$2:$A$1000, EXACT(SRD!$A$2:$A$1000, J174))), """")"),"")</f>
        <v/>
      </c>
      <c r="BJ174" s="29"/>
      <c r="BK174" s="29"/>
    </row>
    <row r="175" ht="15.75" customHeight="1">
      <c r="A175" s="11" t="s">
        <v>855</v>
      </c>
      <c r="B175" s="12"/>
      <c r="C175" s="13"/>
      <c r="D175" s="13" t="s">
        <v>62</v>
      </c>
      <c r="E175" s="13"/>
      <c r="F175" s="14" t="s">
        <v>856</v>
      </c>
      <c r="G175" s="50" t="s">
        <v>672</v>
      </c>
      <c r="H175" s="31" t="s">
        <v>85</v>
      </c>
      <c r="I175" s="16" t="str">
        <f t="array" ref="I175">INDEX(Validations!$C$2:$C$100, MATCH(TRUE, ISNUMBER(SEARCH(Validations!$B$2:$B$100, H175)), 0))</f>
        <v>T</v>
      </c>
      <c r="J175" s="17" t="s">
        <v>857</v>
      </c>
      <c r="K175" s="18"/>
      <c r="L175" s="17"/>
      <c r="M175" s="37"/>
      <c r="N175" s="27"/>
      <c r="O175" s="17" t="s">
        <v>858</v>
      </c>
      <c r="P175" s="21"/>
      <c r="Q175" s="21"/>
      <c r="R175" s="22"/>
      <c r="S175" s="17" t="str">
        <f>IFERROR(__xludf.DUMMYFUNCTION("IFERROR(REGEXEXTRACT(J175, ""(\d{1,3}[dD]\d{1,3})""), """")"),"")</f>
        <v/>
      </c>
      <c r="T175" s="17" t="str">
        <f>IFERROR(__xludf.DUMMYFUNCTION("IF(COUNTIF(ARRAYFORMULA(LOWER(Validations!$O$2:$O$100)), LOWER(REGEXEXTRACT(J175, ""\d{1,3}[dD]\d{1,3}\s+(\w+)"")))&gt;0, REGEXEXTRACT(J175, ""\d{1,3}[dD]\d{1,3}\s+(\w+)""), """")"),"")</f>
        <v/>
      </c>
      <c r="U175" s="17" t="str">
        <f>IFERROR(__xludf.DUMMYFUNCTION("IF(COUNTIF(ARRAYFORMULA(LOWER(Validations!$P$2:$P$100)), LOWER(REGEXEXTRACT(J175, ""\d{1,3}[dD]\d{1,3}\s+(\w+)"")))&gt;0, REGEXEXTRACT(J175, ""\d{1,3}[dD]\d{1,3}\s+(\w+)""), """")"),"")</f>
        <v/>
      </c>
      <c r="V175" s="12" t="str">
        <f>IFERROR(__xludf.DUMMYFUNCTION("TEXTJOIN("", "", TRUE, FILTER(Validations!$L$2:$L$100, ISNUMBER(SEARCH(Validations!$L$2:$L$100, J175))))"),"")</f>
        <v/>
      </c>
      <c r="W175" s="12" t="str">
        <f>IFERROR(__xludf.DUMMYFUNCTION("IFERROR(TEXTJOIN("", "", TRUE, FILTER(Validations!$M$2:$M$100, ISNUMBER(SEARCH(Validations!$M$2:$M$100 &amp; "" saving throw"", J175)))), """")"),"")</f>
        <v/>
      </c>
      <c r="X175" s="12"/>
      <c r="Y175" s="12"/>
      <c r="Z175" s="12" t="str">
        <f>IFERROR(__xludf.DUMMYFUNCTION("IFERROR(TEXTJOIN("", "", TRUE, FILTER(Validations!$N$2:$N$100, ISNUMBER(SEARCH(Validations!$N$2:$N$100 &amp; "" check"", J175)))), """")"),"")</f>
        <v/>
      </c>
      <c r="AA175" s="12" t="str">
        <f>IFERROR(__xludf.DUMMYFUNCTION("IFERROR(TEXTJOIN("", "", TRUE, FILTER(Validations!$N$2:$N$100, ISNUMBER(SEARCH(Validations!$N$2:$N$100 &amp; "" check"", W175)))), """")"),"")</f>
        <v/>
      </c>
      <c r="AB175" s="23" t="str">
        <f>IFERROR(__xludf.DUMMYFUNCTION("IFERROR(CONCATENATE(IF(ISNUMBER(SEARCH(Validations!$M$2:$M$100 &amp; "" spell save"", J175)),""Spell Save"",""""), REGEXEXTRACT(J175, ""DC (\d+)"")), """")"),"")</f>
        <v/>
      </c>
      <c r="AC175" s="24" t="b">
        <v>0</v>
      </c>
      <c r="AD175" s="24" t="b">
        <v>0</v>
      </c>
      <c r="AE175" s="36" t="s">
        <v>208</v>
      </c>
      <c r="AF175" s="25">
        <f>IFERROR(__xludf.DUMMYFUNCTION("IFERROR(VALUE(REGEXEXTRACT(AE175, ""\d+"")), 1)"),1.0)</f>
        <v>1</v>
      </c>
      <c r="AG175" s="12" t="str">
        <f>IFERROR(__xludf.DUMMYFUNCTION("IF(
  ISNUMBER(SEARCH(""Bonus Action"", AE175)),
  ""Bonus Action"",
  IF(
    ISNUMBER(SEARCH(""Reaction"", AE175)),
    ""Reaction"",
    IF(
      ISNUMBER(SEARCH(""Action"", AE175)),
      ""Action"",
      TEXTJOIN("", "", TRUE, FILTER(Validations!$S"&amp;"$2:$S$100, ISNUMBER(SEARCH(Validations!$S$2:$S$100, AE175))))
    )
  )
)"),"Reaction")</f>
        <v>Reaction</v>
      </c>
      <c r="AH175" s="36" t="s">
        <v>461</v>
      </c>
      <c r="AI175" s="26" t="s">
        <v>70</v>
      </c>
      <c r="AJ175" s="26" t="str">
        <f>IFERROR(__xludf.DUMMYFUNCTION("TEXTJOIN("", "", TRUE, FILTER(Validations!$T$2:$T$100, ISNUMBER(SEARCH(Validations!$T$2:$T$100, AI175))))"),"Instantaneous")</f>
        <v>Instantaneous</v>
      </c>
      <c r="AK175" s="26" t="str">
        <f>IFERROR(__xludf.DUMMYFUNCTION("IFERROR(VALUE(REGEXEXTRACT(AI175, ""\d+"")), """")"),"")</f>
        <v/>
      </c>
      <c r="AL175" s="26" t="str">
        <f>IFERROR(__xludf.DUMMYFUNCTION("TEXTJOIN("", "", TRUE, FILTER(Validations!$U$2:$U$100, ISNUMBER(SEARCH(Validations!$U$2:$U$100, AI175))))"),"")</f>
        <v/>
      </c>
      <c r="AM175" s="24" t="b">
        <f t="shared" si="1"/>
        <v>0</v>
      </c>
      <c r="AN175" s="24" t="b">
        <v>0</v>
      </c>
      <c r="AO175" s="36" t="s">
        <v>725</v>
      </c>
      <c r="AP175" s="12" t="str">
        <f>IFERROR(__xludf.DUMMYFUNCTION("IF(TEXTJOIN("", "", TRUE, FILTER(Validations!$Q$2:$Q$100, ISNUMBER(SEARCH(Validations!$Q$2:$Q$100, AO175)))) = """", Validations!$Q$2, TEXTJOIN("", "", TRUE, FILTER(Validations!$Q$2:$Q$100, ISNUMBER(SEARCH(Validations!$Q$2:$Q$100, AO175)))))"),"Point")</f>
        <v>Point</v>
      </c>
      <c r="AQ175" s="12">
        <f>IFERROR(__xludf.DUMMYFUNCTION("IFERROR(VALUE(REGEXEXTRACT(AO175, ""\d+"")), """")"),500.0)</f>
        <v>500</v>
      </c>
      <c r="AR175" s="12" t="str">
        <f>IFERROR(__xludf.DUMMYFUNCTION("TEXTJOIN("", "", TRUE, FILTER(Validations!$R$2:$R$100, ISNUMBER(SEARCH(Validations!$R$2:$R$100, AO175))))"),"Feet")</f>
        <v>Feet</v>
      </c>
      <c r="AS175" s="26" t="s">
        <v>859</v>
      </c>
      <c r="AT175" s="12" t="str">
        <f>IFERROR(__xludf.DUMMYFUNCTION("IFERROR(TEXTJOIN("", "", TRUE, FILTER(Validations!$I$2:$I$100, ISNUMBER(SEARCH(Validations!$I$2:$I$100, AS175)))), """")"),"")</f>
        <v/>
      </c>
      <c r="AU175" s="16" t="str">
        <f t="array" ref="AU175">IFERROR(INDEX(Validations!$J$2:$J$100, MATCH(TRUE, ISNUMBER(SEARCH(Validations!$I$2:$I$100, AT175)), 0)), "")</f>
        <v/>
      </c>
      <c r="AV175" s="12">
        <f>IFERROR(__xludf.DUMMYFUNCTION("IFERROR(VALUE(REGEXEXTRACT(AS175, ""\d+"")), """")"),50.0)</f>
        <v>50</v>
      </c>
      <c r="AW175" s="12" t="str">
        <f>IFERROR(__xludf.DUMMYFUNCTION("IFERROR(TEXTJOIN("", "", TRUE, FILTER(Validations!$Q$2:$Q$100, ISNUMBER(SEARCH(Validations!$Q$2:$Q$100, AS175)))), """")"),"Radius")</f>
        <v>Radius</v>
      </c>
      <c r="AX175" s="28" t="s">
        <v>72</v>
      </c>
      <c r="AY175" s="28" t="str">
        <f>IFERROR(__xludf.DUMMYFUNCTION("TEXTJOIN("", "", TRUE, FILTER(Validations!$Y$2:$Y$100, ISNUMBER(SEARCH(Validations!$X$2:$X$100, AX175))))"),"V, S")</f>
        <v>V, S</v>
      </c>
      <c r="AZ175" s="26"/>
      <c r="BA175" s="12"/>
      <c r="BB175" s="22"/>
      <c r="BC175" s="22"/>
      <c r="BD175" s="22"/>
      <c r="BE175" s="27"/>
      <c r="BF175" s="22"/>
      <c r="BG175" s="27"/>
      <c r="BH175" s="27"/>
      <c r="BI175" s="12" t="str">
        <f>IFERROR(__xludf.DUMMYFUNCTION("IFERROR(TEXTJOIN("", "", TRUE, FILTER(SRD!$A$2:$A$1000, EXACT(SRD!$A$2:$A$1000, J175))), """")"),"")</f>
        <v/>
      </c>
      <c r="BJ175" s="29"/>
      <c r="BK175" s="29"/>
    </row>
    <row r="176" ht="15.75" customHeight="1">
      <c r="A176" s="30" t="s">
        <v>860</v>
      </c>
      <c r="B176" s="22"/>
      <c r="C176" s="31"/>
      <c r="D176" s="31" t="s">
        <v>74</v>
      </c>
      <c r="E176" s="31"/>
      <c r="F176" s="32" t="s">
        <v>466</v>
      </c>
      <c r="G176" s="50" t="s">
        <v>672</v>
      </c>
      <c r="H176" s="16" t="s">
        <v>85</v>
      </c>
      <c r="I176" s="16" t="str">
        <f t="array" ref="I176">INDEX(Validations!$C$2:$C$100, MATCH(TRUE, ISNUMBER(SEARCH(Validations!$B$2:$B$100, H176)), 0))</f>
        <v>T</v>
      </c>
      <c r="J176" s="17" t="s">
        <v>861</v>
      </c>
      <c r="K176" s="18" t="s">
        <v>862</v>
      </c>
      <c r="L176" s="17"/>
      <c r="M176" s="17"/>
      <c r="N176" s="27"/>
      <c r="O176" s="17"/>
      <c r="P176" s="21"/>
      <c r="Q176" s="21"/>
      <c r="R176" s="22"/>
      <c r="S176" s="17" t="str">
        <f>IFERROR(__xludf.DUMMYFUNCTION("IFERROR(REGEXEXTRACT(J176, ""(\d{1,3}[dD]\d{1,3})""), """")"),"")</f>
        <v/>
      </c>
      <c r="T176" s="17" t="str">
        <f>IFERROR(__xludf.DUMMYFUNCTION("IF(COUNTIF(ARRAYFORMULA(LOWER(Validations!$O$2:$O$100)), LOWER(REGEXEXTRACT(J176, ""\d{1,3}[dD]\d{1,3}\s+(\w+)"")))&gt;0, REGEXEXTRACT(J176, ""\d{1,3}[dD]\d{1,3}\s+(\w+)""), """")"),"")</f>
        <v/>
      </c>
      <c r="U176" s="17" t="str">
        <f>IFERROR(__xludf.DUMMYFUNCTION("IF(COUNTIF(ARRAYFORMULA(LOWER(Validations!$P$2:$P$100)), LOWER(REGEXEXTRACT(J176, ""\d{1,3}[dD]\d{1,3}\s+(\w+)"")))&gt;0, REGEXEXTRACT(J176, ""\d{1,3}[dD]\d{1,3}\s+(\w+)""), """")"),"")</f>
        <v/>
      </c>
      <c r="V176" s="12" t="str">
        <f>IFERROR(__xludf.DUMMYFUNCTION("TEXTJOIN("", "", TRUE, FILTER(Validations!$L$2:$L$100, ISNUMBER(SEARCH(Validations!$L$2:$L$100, J176))))"),"Unstable")</f>
        <v>Unstable</v>
      </c>
      <c r="W176" s="12" t="str">
        <f>IFERROR(__xludf.DUMMYFUNCTION("IFERROR(TEXTJOIN("", "", TRUE, FILTER(Validations!$M$2:$M$100, ISNUMBER(SEARCH(Validations!$M$2:$M$100 &amp; "" saving throw"", J176)))), """")"),"Dexterity")</f>
        <v>Dexterity</v>
      </c>
      <c r="X176" s="12"/>
      <c r="Y176" s="12"/>
      <c r="Z176" s="12" t="str">
        <f>IFERROR(__xludf.DUMMYFUNCTION("IFERROR(TEXTJOIN("", "", TRUE, FILTER(Validations!$N$2:$N$100, ISNUMBER(SEARCH(Validations!$N$2:$N$100 &amp; "" check"", J176)))), """")"),"")</f>
        <v/>
      </c>
      <c r="AA176" s="12" t="str">
        <f>IFERROR(__xludf.DUMMYFUNCTION("IFERROR(TEXTJOIN("", "", TRUE, FILTER(Validations!$N$2:$N$100, ISNUMBER(SEARCH(Validations!$N$2:$N$100 &amp; "" check"", W176)))), """")"),"")</f>
        <v/>
      </c>
      <c r="AB176" s="23" t="str">
        <f>IFERROR(__xludf.DUMMYFUNCTION("IFERROR(CONCATENATE(IF(ISNUMBER(SEARCH(Validations!$M$2:$M$100 &amp; "" spell save"", J176)),""Spell Save"",""""), REGEXEXTRACT(J176, ""DC (\d+)"")), """")"),"")</f>
        <v/>
      </c>
      <c r="AC176" s="24" t="b">
        <v>0</v>
      </c>
      <c r="AD176" s="24" t="b">
        <v>0</v>
      </c>
      <c r="AE176" s="36" t="s">
        <v>69</v>
      </c>
      <c r="AF176" s="25">
        <f>IFERROR(__xludf.DUMMYFUNCTION("IFERROR(VALUE(REGEXEXTRACT(AE176, ""\d+"")), 1)"),1.0)</f>
        <v>1</v>
      </c>
      <c r="AG176" s="12" t="str">
        <f>IFERROR(__xludf.DUMMYFUNCTION("IF(
  ISNUMBER(SEARCH(""Bonus Action"", AE176)),
  ""Bonus Action"",
  IF(
    ISNUMBER(SEARCH(""Reaction"", AE176)),
    ""Reaction"",
    IF(
      ISNUMBER(SEARCH(""Action"", AE176)),
      ""Action"",
      TEXTJOIN("", "", TRUE, FILTER(Validations!$S"&amp;"$2:$S$100, ISNUMBER(SEARCH(Validations!$S$2:$S$100, AE176))))
    )
  )
)"),"Action")</f>
        <v>Action</v>
      </c>
      <c r="AH176" s="36"/>
      <c r="AI176" s="20" t="s">
        <v>92</v>
      </c>
      <c r="AJ176" s="26" t="str">
        <f>IFERROR(__xludf.DUMMYFUNCTION("TEXTJOIN("", "", TRUE, FILTER(Validations!$T$2:$T$100, ISNUMBER(SEARCH(Validations!$T$2:$T$100, AI176))))"),"")</f>
        <v/>
      </c>
      <c r="AK176" s="26">
        <f>IFERROR(__xludf.DUMMYFUNCTION("IFERROR(VALUE(REGEXEXTRACT(AI176, ""\d+"")), """")"),1.0)</f>
        <v>1</v>
      </c>
      <c r="AL176" s="26" t="str">
        <f>IFERROR(__xludf.DUMMYFUNCTION("TEXTJOIN("", "", TRUE, FILTER(Validations!$U$2:$U$100, ISNUMBER(SEARCH(Validations!$U$2:$U$100, AI176))))"),"Minutes")</f>
        <v>Minutes</v>
      </c>
      <c r="AM176" s="24" t="b">
        <f t="shared" si="1"/>
        <v>0</v>
      </c>
      <c r="AN176" s="24" t="b">
        <v>0</v>
      </c>
      <c r="AO176" s="22" t="s">
        <v>78</v>
      </c>
      <c r="AP176" s="12" t="str">
        <f>IFERROR(__xludf.DUMMYFUNCTION("IF(TEXTJOIN("", "", TRUE, FILTER(Validations!$Q$2:$Q$100, ISNUMBER(SEARCH(Validations!$Q$2:$Q$100, AO176)))) = """", Validations!$Q$2, TEXTJOIN("", "", TRUE, FILTER(Validations!$Q$2:$Q$100, ISNUMBER(SEARCH(Validations!$Q$2:$Q$100, AO176)))))"),"Point")</f>
        <v>Point</v>
      </c>
      <c r="AQ176" s="12" t="str">
        <f>IFERROR(__xludf.DUMMYFUNCTION("IFERROR(VALUE(REGEXEXTRACT(AO176, ""\d+"")), """")"),"")</f>
        <v/>
      </c>
      <c r="AR176" s="12" t="str">
        <f>IFERROR(__xludf.DUMMYFUNCTION("TEXTJOIN("", "", TRUE, FILTER(Validations!$R$2:$R$100, ISNUMBER(SEARCH(Validations!$R$2:$R$100, AO176))))"),"Self")</f>
        <v>Self</v>
      </c>
      <c r="AS176" s="27"/>
      <c r="AT176" s="12" t="str">
        <f>IFERROR(__xludf.DUMMYFUNCTION("IFERROR(TEXTJOIN("", "", TRUE, FILTER(Validations!$I$2:$I$100, ISNUMBER(SEARCH(Validations!$I$2:$I$100, AS176)))), """")"),"")</f>
        <v/>
      </c>
      <c r="AU176" s="16" t="str">
        <f t="array" ref="AU176">IFERROR(INDEX(Validations!$J$2:$J$100, MATCH(TRUE, ISNUMBER(SEARCH(Validations!$I$2:$I$100, AT176)), 0)), "")</f>
        <v/>
      </c>
      <c r="AV176" s="12" t="str">
        <f>IFERROR(__xludf.DUMMYFUNCTION("IFERROR(VALUE(REGEXEXTRACT(AS176, ""\d+"")), """")"),"")</f>
        <v/>
      </c>
      <c r="AW176" s="12" t="str">
        <f>IFERROR(__xludf.DUMMYFUNCTION("IFERROR(TEXTJOIN("", "", TRUE, FILTER(Validations!$Q$2:$Q$100, ISNUMBER(SEARCH(Validations!$Q$2:$Q$100, AS176)))), """")"),"")</f>
        <v/>
      </c>
      <c r="AX176" s="28" t="s">
        <v>142</v>
      </c>
      <c r="AY176" s="28" t="str">
        <f>IFERROR(__xludf.DUMMYFUNCTION("TEXTJOIN("", "", TRUE, FILTER(Validations!$Y$2:$Y$100, ISNUMBER(SEARCH(Validations!$X$2:$X$100, AX176))))"),"V, S")</f>
        <v>V, S</v>
      </c>
      <c r="AZ176" s="27"/>
      <c r="BA176" s="22"/>
      <c r="BB176" s="22"/>
      <c r="BC176" s="22"/>
      <c r="BD176" s="22"/>
      <c r="BE176" s="27"/>
      <c r="BF176" s="22"/>
      <c r="BG176" s="27"/>
      <c r="BH176" s="27"/>
      <c r="BI176" s="12" t="str">
        <f>IFERROR(__xludf.DUMMYFUNCTION("IFERROR(TEXTJOIN("", "", TRUE, FILTER(SRD!$A$2:$A$1000, EXACT(SRD!$A$2:$A$1000, J176))), """")"),"")</f>
        <v/>
      </c>
      <c r="BJ176" s="29"/>
      <c r="BK176" s="29"/>
    </row>
    <row r="177" ht="15.75" customHeight="1">
      <c r="A177" s="30" t="s">
        <v>863</v>
      </c>
      <c r="B177" s="22"/>
      <c r="C177" s="16"/>
      <c r="D177" s="16" t="s">
        <v>302</v>
      </c>
      <c r="E177" s="16"/>
      <c r="F177" s="32" t="s">
        <v>90</v>
      </c>
      <c r="G177" s="50" t="s">
        <v>672</v>
      </c>
      <c r="H177" s="16" t="s">
        <v>144</v>
      </c>
      <c r="I177" s="16" t="str">
        <f t="array" ref="I177">INDEX(Validations!$C$2:$C$100, MATCH(TRUE, ISNUMBER(SEARCH(Validations!$B$2:$B$100, H177)), 0))</f>
        <v>D</v>
      </c>
      <c r="J177" s="17" t="s">
        <v>864</v>
      </c>
      <c r="K177" s="18"/>
      <c r="L177" s="17"/>
      <c r="M177" s="17"/>
      <c r="N177" s="27"/>
      <c r="O177" s="17"/>
      <c r="P177" s="21"/>
      <c r="Q177" s="21"/>
      <c r="R177" s="36" t="s">
        <v>865</v>
      </c>
      <c r="S177" s="17" t="str">
        <f>IFERROR(__xludf.DUMMYFUNCTION("IFERROR(REGEXEXTRACT(J177, ""(\d{1,3}[dD]\d{1,3})""), """")"),"")</f>
        <v/>
      </c>
      <c r="T177" s="17" t="str">
        <f>IFERROR(__xludf.DUMMYFUNCTION("IF(COUNTIF(ARRAYFORMULA(LOWER(Validations!$O$2:$O$100)), LOWER(REGEXEXTRACT(J177, ""\d{1,3}[dD]\d{1,3}\s+(\w+)"")))&gt;0, REGEXEXTRACT(J177, ""\d{1,3}[dD]\d{1,3}\s+(\w+)""), """")"),"")</f>
        <v/>
      </c>
      <c r="U177" s="17" t="str">
        <f>IFERROR(__xludf.DUMMYFUNCTION("IF(COUNTIF(ARRAYFORMULA(LOWER(Validations!$P$2:$P$100)), LOWER(REGEXEXTRACT(J177, ""\d{1,3}[dD]\d{1,3}\s+(\w+)"")))&gt;0, REGEXEXTRACT(J177, ""\d{1,3}[dD]\d{1,3}\s+(\w+)""), """")"),"")</f>
        <v/>
      </c>
      <c r="V177" s="12" t="str">
        <f>IFERROR(__xludf.DUMMYFUNCTION("TEXTJOIN("", "", TRUE, FILTER(Validations!$L$2:$L$100, ISNUMBER(SEARCH(Validations!$L$2:$L$100, J177))))"),"")</f>
        <v/>
      </c>
      <c r="W177" s="12" t="str">
        <f>IFERROR(__xludf.DUMMYFUNCTION("IFERROR(TEXTJOIN("", "", TRUE, FILTER(Validations!$M$2:$M$100, ISNUMBER(SEARCH(Validations!$M$2:$M$100 &amp; "" saving throw"", J177)))), """")"),"")</f>
        <v/>
      </c>
      <c r="X177" s="12"/>
      <c r="Y177" s="12"/>
      <c r="Z177" s="12" t="str">
        <f>IFERROR(__xludf.DUMMYFUNCTION("IFERROR(TEXTJOIN("", "", TRUE, FILTER(Validations!$N$2:$N$100, ISNUMBER(SEARCH(Validations!$N$2:$N$100 &amp; "" check"", J177)))), """")"),"")</f>
        <v/>
      </c>
      <c r="AA177" s="12" t="str">
        <f>IFERROR(__xludf.DUMMYFUNCTION("IFERROR(TEXTJOIN("", "", TRUE, FILTER(Validations!$N$2:$N$100, ISNUMBER(SEARCH(Validations!$N$2:$N$100 &amp; "" check"", W177)))), """")"),"")</f>
        <v/>
      </c>
      <c r="AB177" s="23" t="str">
        <f>IFERROR(__xludf.DUMMYFUNCTION("IFERROR(CONCATENATE(IF(ISNUMBER(SEARCH(Validations!$M$2:$M$100 &amp; "" spell save"", J177)),""Spell Save"",""""), REGEXEXTRACT(J177, ""DC (\d+)"")), """")"),"")</f>
        <v/>
      </c>
      <c r="AC177" s="24" t="b">
        <v>0</v>
      </c>
      <c r="AD177" s="24" t="b">
        <v>0</v>
      </c>
      <c r="AE177" s="36" t="s">
        <v>69</v>
      </c>
      <c r="AF177" s="25">
        <f>IFERROR(__xludf.DUMMYFUNCTION("IFERROR(VALUE(REGEXEXTRACT(AE177, ""\d+"")), 1)"),1.0)</f>
        <v>1</v>
      </c>
      <c r="AG177" s="12" t="str">
        <f>IFERROR(__xludf.DUMMYFUNCTION("IF(
  ISNUMBER(SEARCH(""Bonus Action"", AE177)),
  ""Bonus Action"",
  IF(
    ISNUMBER(SEARCH(""Reaction"", AE177)),
    ""Reaction"",
    IF(
      ISNUMBER(SEARCH(""Action"", AE177)),
      ""Action"",
      TEXTJOIN("", "", TRUE, FILTER(Validations!$S"&amp;"$2:$S$100, ISNUMBER(SEARCH(Validations!$S$2:$S$100, AE177))))
    )
  )
)"),"Action")</f>
        <v>Action</v>
      </c>
      <c r="AH177" s="36"/>
      <c r="AI177" s="20" t="s">
        <v>92</v>
      </c>
      <c r="AJ177" s="26" t="str">
        <f>IFERROR(__xludf.DUMMYFUNCTION("TEXTJOIN("", "", TRUE, FILTER(Validations!$T$2:$T$100, ISNUMBER(SEARCH(Validations!$T$2:$T$100, AI177))))"),"")</f>
        <v/>
      </c>
      <c r="AK177" s="26">
        <f>IFERROR(__xludf.DUMMYFUNCTION("IFERROR(VALUE(REGEXEXTRACT(AI177, ""\d+"")), """")"),1.0)</f>
        <v>1</v>
      </c>
      <c r="AL177" s="26" t="str">
        <f>IFERROR(__xludf.DUMMYFUNCTION("TEXTJOIN("", "", TRUE, FILTER(Validations!$U$2:$U$100, ISNUMBER(SEARCH(Validations!$U$2:$U$100, AI177))))"),"Minutes")</f>
        <v>Minutes</v>
      </c>
      <c r="AM177" s="24" t="b">
        <f t="shared" si="1"/>
        <v>0</v>
      </c>
      <c r="AN177" s="24" t="b">
        <v>1</v>
      </c>
      <c r="AO177" s="22" t="s">
        <v>112</v>
      </c>
      <c r="AP177" s="12" t="str">
        <f>IFERROR(__xludf.DUMMYFUNCTION("IF(TEXTJOIN("", "", TRUE, FILTER(Validations!$Q$2:$Q$100, ISNUMBER(SEARCH(Validations!$Q$2:$Q$100, AO177)))) = """", Validations!$Q$2, TEXTJOIN("", "", TRUE, FILTER(Validations!$Q$2:$Q$100, ISNUMBER(SEARCH(Validations!$Q$2:$Q$100, AO177)))))"),"Point")</f>
        <v>Point</v>
      </c>
      <c r="AQ177" s="12">
        <f>IFERROR(__xludf.DUMMYFUNCTION("IFERROR(VALUE(REGEXEXTRACT(AO177, ""\d+"")), """")"),30.0)</f>
        <v>30</v>
      </c>
      <c r="AR177" s="12" t="str">
        <f>IFERROR(__xludf.DUMMYFUNCTION("TEXTJOIN("", "", TRUE, FILTER(Validations!$R$2:$R$100, ISNUMBER(SEARCH(Validations!$R$2:$R$100, AO177))))"),"Feet")</f>
        <v>Feet</v>
      </c>
      <c r="AS177" s="27"/>
      <c r="AT177" s="12" t="str">
        <f>IFERROR(__xludf.DUMMYFUNCTION("IFERROR(TEXTJOIN("", "", TRUE, FILTER(Validations!$I$2:$I$100, ISNUMBER(SEARCH(Validations!$I$2:$I$100, AS177)))), """")"),"")</f>
        <v/>
      </c>
      <c r="AU177" s="16" t="str">
        <f t="array" ref="AU177">IFERROR(INDEX(Validations!$J$2:$J$100, MATCH(TRUE, ISNUMBER(SEARCH(Validations!$I$2:$I$100, AT177)), 0)), "")</f>
        <v/>
      </c>
      <c r="AV177" s="12" t="str">
        <f>IFERROR(__xludf.DUMMYFUNCTION("IFERROR(VALUE(REGEXEXTRACT(AS177, ""\d+"")), """")"),"")</f>
        <v/>
      </c>
      <c r="AW177" s="12" t="str">
        <f>IFERROR(__xludf.DUMMYFUNCTION("IFERROR(TEXTJOIN("", "", TRUE, FILTER(Validations!$Q$2:$Q$100, ISNUMBER(SEARCH(Validations!$Q$2:$Q$100, AS177)))), """")"),"")</f>
        <v/>
      </c>
      <c r="AX177" s="28" t="s">
        <v>152</v>
      </c>
      <c r="AY177" s="28" t="str">
        <f>IFERROR(__xludf.DUMMYFUNCTION("TEXTJOIN("", "", TRUE, FILTER(Validations!$Y$2:$Y$100, ISNUMBER(SEARCH(Validations!$X$2:$X$100, AX177))))"),"V, S, R")</f>
        <v>V, S, R</v>
      </c>
      <c r="AZ177" s="20" t="s">
        <v>866</v>
      </c>
      <c r="BA177" s="22"/>
      <c r="BB177" s="22"/>
      <c r="BC177" s="22"/>
      <c r="BD177" s="22"/>
      <c r="BE177" s="27"/>
      <c r="BF177" s="22"/>
      <c r="BG177" s="27"/>
      <c r="BH177" s="27"/>
      <c r="BI177" s="12" t="str">
        <f>IFERROR(__xludf.DUMMYFUNCTION("IFERROR(TEXTJOIN("", "", TRUE, FILTER(SRD!$A$2:$A$1000, EXACT(SRD!$A$2:$A$1000, J177))), """")"),"")</f>
        <v/>
      </c>
      <c r="BJ177" s="29"/>
      <c r="BK177" s="29"/>
    </row>
    <row r="178" ht="15.75" customHeight="1">
      <c r="A178" s="30" t="s">
        <v>867</v>
      </c>
      <c r="B178" s="22"/>
      <c r="C178" s="31"/>
      <c r="D178" s="31" t="s">
        <v>74</v>
      </c>
      <c r="E178" s="31"/>
      <c r="F178" s="32" t="s">
        <v>108</v>
      </c>
      <c r="G178" s="50" t="s">
        <v>672</v>
      </c>
      <c r="H178" s="16" t="s">
        <v>178</v>
      </c>
      <c r="I178" s="16" t="str">
        <f t="array" ref="I178">INDEX(Validations!$C$2:$C$100, MATCH(TRUE, ISNUMBER(SEARCH(Validations!$B$2:$B$100, H178)), 0))</f>
        <v>A</v>
      </c>
      <c r="J178" s="17" t="s">
        <v>868</v>
      </c>
      <c r="K178" s="18"/>
      <c r="L178" s="17"/>
      <c r="M178" s="17"/>
      <c r="N178" s="27"/>
      <c r="O178" s="17"/>
      <c r="P178" s="21"/>
      <c r="Q178" s="21"/>
      <c r="R178" s="22"/>
      <c r="S178" s="17" t="str">
        <f>IFERROR(__xludf.DUMMYFUNCTION("IFERROR(REGEXEXTRACT(J178, ""(\d{1,3}[dD]\d{1,3})""), """")"),"2d8")</f>
        <v>2d8</v>
      </c>
      <c r="T178" s="17" t="str">
        <f>IFERROR(__xludf.DUMMYFUNCTION("IF(COUNTIF(ARRAYFORMULA(LOWER(Validations!$O$2:$O$100)), LOWER(REGEXEXTRACT(J178, ""\d{1,3}[dD]\d{1,3}\s+(\w+)"")))&gt;0, REGEXEXTRACT(J178, ""\d{1,3}[dD]\d{1,3}\s+(\w+)""), """")"),"")</f>
        <v/>
      </c>
      <c r="U178" s="17" t="str">
        <f>IFERROR(__xludf.DUMMYFUNCTION("IF(COUNTIF(ARRAYFORMULA(LOWER(Validations!$P$2:$P$100)), LOWER(REGEXEXTRACT(J178, ""\d{1,3}[dD]\d{1,3}\s+(\w+)"")))&gt;0, REGEXEXTRACT(J178, ""\d{1,3}[dD]\d{1,3}\s+(\w+)""), """")"),"")</f>
        <v/>
      </c>
      <c r="V178" s="12" t="str">
        <f>IFERROR(__xludf.DUMMYFUNCTION("TEXTJOIN("", "", TRUE, FILTER(Validations!$L$2:$L$100, ISNUMBER(SEARCH(Validations!$L$2:$L$100, J178))))"),"")</f>
        <v/>
      </c>
      <c r="W178" s="12" t="str">
        <f>IFERROR(__xludf.DUMMYFUNCTION("IFERROR(TEXTJOIN("", "", TRUE, FILTER(Validations!$M$2:$M$100, ISNUMBER(SEARCH(Validations!$M$2:$M$100 &amp; "" saving throw"", J178)))), """")"),"")</f>
        <v/>
      </c>
      <c r="X178" s="12"/>
      <c r="Y178" s="12"/>
      <c r="Z178" s="12" t="str">
        <f>IFERROR(__xludf.DUMMYFUNCTION("IFERROR(TEXTJOIN("", "", TRUE, FILTER(Validations!$N$2:$N$100, ISNUMBER(SEARCH(Validations!$N$2:$N$100 &amp; "" check"", J178)))), """")"),"")</f>
        <v/>
      </c>
      <c r="AA178" s="12" t="str">
        <f>IFERROR(__xludf.DUMMYFUNCTION("IFERROR(TEXTJOIN("", "", TRUE, FILTER(Validations!$N$2:$N$100, ISNUMBER(SEARCH(Validations!$N$2:$N$100 &amp; "" check"", W178)))), """")"),"")</f>
        <v/>
      </c>
      <c r="AB178" s="23" t="str">
        <f>IFERROR(__xludf.DUMMYFUNCTION("IFERROR(CONCATENATE(IF(ISNUMBER(SEARCH(Validations!$M$2:$M$100 &amp; "" spell save"", J178)),""Spell Save"",""""), REGEXEXTRACT(J178, ""DC (\d+)"")), """")"),"")</f>
        <v/>
      </c>
      <c r="AC178" s="24" t="b">
        <v>0</v>
      </c>
      <c r="AD178" s="24" t="b">
        <v>0</v>
      </c>
      <c r="AE178" s="36" t="s">
        <v>69</v>
      </c>
      <c r="AF178" s="25">
        <f>IFERROR(__xludf.DUMMYFUNCTION("IFERROR(VALUE(REGEXEXTRACT(AE178, ""\d+"")), 1)"),1.0)</f>
        <v>1</v>
      </c>
      <c r="AG178" s="12" t="str">
        <f>IFERROR(__xludf.DUMMYFUNCTION("IF(
  ISNUMBER(SEARCH(""Bonus Action"", AE178)),
  ""Bonus Action"",
  IF(
    ISNUMBER(SEARCH(""Reaction"", AE178)),
    ""Reaction"",
    IF(
      ISNUMBER(SEARCH(""Action"", AE178)),
      ""Action"",
      TEXTJOIN("", "", TRUE, FILTER(Validations!$S"&amp;"$2:$S$100, ISNUMBER(SEARCH(Validations!$S$2:$S$100, AE178))))
    )
  )
)"),"Action")</f>
        <v>Action</v>
      </c>
      <c r="AH178" s="36"/>
      <c r="AI178" s="27" t="s">
        <v>70</v>
      </c>
      <c r="AJ178" s="26" t="str">
        <f>IFERROR(__xludf.DUMMYFUNCTION("TEXTJOIN("", "", TRUE, FILTER(Validations!$T$2:$T$100, ISNUMBER(SEARCH(Validations!$T$2:$T$100, AI178))))"),"Instantaneous")</f>
        <v>Instantaneous</v>
      </c>
      <c r="AK178" s="26" t="str">
        <f>IFERROR(__xludf.DUMMYFUNCTION("IFERROR(VALUE(REGEXEXTRACT(AI178, ""\d+"")), """")"),"")</f>
        <v/>
      </c>
      <c r="AL178" s="26" t="str">
        <f>IFERROR(__xludf.DUMMYFUNCTION("TEXTJOIN("", "", TRUE, FILTER(Validations!$U$2:$U$100, ISNUMBER(SEARCH(Validations!$U$2:$U$100, AI178))))"),"")</f>
        <v/>
      </c>
      <c r="AM178" s="24" t="b">
        <f t="shared" si="1"/>
        <v>0</v>
      </c>
      <c r="AN178" s="24" t="b">
        <v>0</v>
      </c>
      <c r="AO178" s="22" t="s">
        <v>71</v>
      </c>
      <c r="AP178" s="12" t="str">
        <f>IFERROR(__xludf.DUMMYFUNCTION("IF(TEXTJOIN("", "", TRUE, FILTER(Validations!$Q$2:$Q$100, ISNUMBER(SEARCH(Validations!$Q$2:$Q$100, AO178)))) = """", Validations!$Q$2, TEXTJOIN("", "", TRUE, FILTER(Validations!$Q$2:$Q$100, ISNUMBER(SEARCH(Validations!$Q$2:$Q$100, AO178)))))"),"Point")</f>
        <v>Point</v>
      </c>
      <c r="AQ178" s="12" t="str">
        <f>IFERROR(__xludf.DUMMYFUNCTION("IFERROR(VALUE(REGEXEXTRACT(AO178, ""\d+"")), """")"),"")</f>
        <v/>
      </c>
      <c r="AR178" s="12" t="str">
        <f>IFERROR(__xludf.DUMMYFUNCTION("TEXTJOIN("", "", TRUE, FILTER(Validations!$R$2:$R$100, ISNUMBER(SEARCH(Validations!$R$2:$R$100, AO178))))"),"Touch")</f>
        <v>Touch</v>
      </c>
      <c r="AS178" s="27"/>
      <c r="AT178" s="12" t="str">
        <f>IFERROR(__xludf.DUMMYFUNCTION("IFERROR(TEXTJOIN("", "", TRUE, FILTER(Validations!$I$2:$I$100, ISNUMBER(SEARCH(Validations!$I$2:$I$100, AS178)))), """")"),"")</f>
        <v/>
      </c>
      <c r="AU178" s="16" t="str">
        <f t="array" ref="AU178">IFERROR(INDEX(Validations!$J$2:$J$100, MATCH(TRUE, ISNUMBER(SEARCH(Validations!$I$2:$I$100, AT178)), 0)), "")</f>
        <v/>
      </c>
      <c r="AV178" s="12" t="str">
        <f>IFERROR(__xludf.DUMMYFUNCTION("IFERROR(VALUE(REGEXEXTRACT(AS178, ""\d+"")), """")"),"")</f>
        <v/>
      </c>
      <c r="AW178" s="12" t="str">
        <f>IFERROR(__xludf.DUMMYFUNCTION("IFERROR(TEXTJOIN("", "", TRUE, FILTER(Validations!$Q$2:$Q$100, ISNUMBER(SEARCH(Validations!$Q$2:$Q$100, AS178)))), """")"),"")</f>
        <v/>
      </c>
      <c r="AX178" s="28" t="s">
        <v>152</v>
      </c>
      <c r="AY178" s="28" t="str">
        <f>IFERROR(__xludf.DUMMYFUNCTION("TEXTJOIN("", "", TRUE, FILTER(Validations!$Y$2:$Y$100, ISNUMBER(SEARCH(Validations!$X$2:$X$100, AX178))))"),"V, S, R")</f>
        <v>V, S, R</v>
      </c>
      <c r="AZ178" s="20" t="s">
        <v>869</v>
      </c>
      <c r="BA178" s="22"/>
      <c r="BB178" s="22"/>
      <c r="BC178" s="22"/>
      <c r="BD178" s="22"/>
      <c r="BE178" s="27"/>
      <c r="BF178" s="22"/>
      <c r="BG178" s="27"/>
      <c r="BH178" s="27"/>
      <c r="BI178" s="12" t="str">
        <f>IFERROR(__xludf.DUMMYFUNCTION("IFERROR(TEXTJOIN("", "", TRUE, FILTER(SRD!$A$2:$A$1000, EXACT(SRD!$A$2:$A$1000, J178))), """")"),"")</f>
        <v/>
      </c>
      <c r="BJ178" s="29"/>
      <c r="BK178" s="29"/>
    </row>
    <row r="179" ht="15.75" customHeight="1">
      <c r="A179" s="30" t="s">
        <v>870</v>
      </c>
      <c r="B179" s="22"/>
      <c r="C179" s="31"/>
      <c r="D179" s="31" t="s">
        <v>74</v>
      </c>
      <c r="E179" s="31"/>
      <c r="F179" s="32" t="s">
        <v>90</v>
      </c>
      <c r="G179" s="50" t="s">
        <v>672</v>
      </c>
      <c r="H179" s="16" t="s">
        <v>178</v>
      </c>
      <c r="I179" s="16" t="str">
        <f t="array" ref="I179">INDEX(Validations!$C$2:$C$100, MATCH(TRUE, ISNUMBER(SEARCH(Validations!$B$2:$B$100, H179)), 0))</f>
        <v>A</v>
      </c>
      <c r="J179" s="17" t="s">
        <v>871</v>
      </c>
      <c r="K179" s="18"/>
      <c r="L179" s="17"/>
      <c r="M179" s="17"/>
      <c r="N179" s="20" t="s">
        <v>872</v>
      </c>
      <c r="O179" s="17"/>
      <c r="P179" s="21"/>
      <c r="Q179" s="21"/>
      <c r="R179" s="22"/>
      <c r="S179" s="17" t="str">
        <f>IFERROR(__xludf.DUMMYFUNCTION("IFERROR(REGEXEXTRACT(J179, ""(\d{1,3}[dD]\d{1,3})""), """")"),"")</f>
        <v/>
      </c>
      <c r="T179" s="17" t="str">
        <f>IFERROR(__xludf.DUMMYFUNCTION("IF(COUNTIF(ARRAYFORMULA(LOWER(Validations!$O$2:$O$100)), LOWER(REGEXEXTRACT(J179, ""\d{1,3}[dD]\d{1,3}\s+(\w+)"")))&gt;0, REGEXEXTRACT(J179, ""\d{1,3}[dD]\d{1,3}\s+(\w+)""), """")"),"")</f>
        <v/>
      </c>
      <c r="U179" s="17" t="str">
        <f>IFERROR(__xludf.DUMMYFUNCTION("IF(COUNTIF(ARRAYFORMULA(LOWER(Validations!$P$2:$P$100)), LOWER(REGEXEXTRACT(J179, ""\d{1,3}[dD]\d{1,3}\s+(\w+)"")))&gt;0, REGEXEXTRACT(J179, ""\d{1,3}[dD]\d{1,3}\s+(\w+)""), """")"),"")</f>
        <v/>
      </c>
      <c r="V179" s="12" t="str">
        <f>IFERROR(__xludf.DUMMYFUNCTION("TEXTJOIN("", "", TRUE, FILTER(Validations!$L$2:$L$100, ISNUMBER(SEARCH(Validations!$L$2:$L$100, J179))))"),"Delayed, Charmed, Frightened, Stunned, Exhaustion")</f>
        <v>Delayed, Charmed, Frightened, Stunned, Exhaustion</v>
      </c>
      <c r="W179" s="12" t="str">
        <f>IFERROR(__xludf.DUMMYFUNCTION("IFERROR(TEXTJOIN("", "", TRUE, FILTER(Validations!$M$2:$M$100, ISNUMBER(SEARCH(Validations!$M$2:$M$100 &amp; "" saving throw"", J179)))), """")"),"Constitution")</f>
        <v>Constitution</v>
      </c>
      <c r="X179" s="12"/>
      <c r="Y179" s="12"/>
      <c r="Z179" s="12" t="str">
        <f>IFERROR(__xludf.DUMMYFUNCTION("IFERROR(TEXTJOIN("", "", TRUE, FILTER(Validations!$N$2:$N$100, ISNUMBER(SEARCH(Validations!$N$2:$N$100 &amp; "" check"", J179)))), """")"),"")</f>
        <v/>
      </c>
      <c r="AA179" s="12" t="str">
        <f>IFERROR(__xludf.DUMMYFUNCTION("IFERROR(TEXTJOIN("", "", TRUE, FILTER(Validations!$N$2:$N$100, ISNUMBER(SEARCH(Validations!$N$2:$N$100 &amp; "" check"", W179)))), """")"),"")</f>
        <v/>
      </c>
      <c r="AB179" s="23" t="str">
        <f>IFERROR(__xludf.DUMMYFUNCTION("IFERROR(CONCATENATE(IF(ISNUMBER(SEARCH(Validations!$M$2:$M$100 &amp; "" spell save"", J179)),""Spell Save"",""""), REGEXEXTRACT(J179, ""DC (\d+)"")), """")"),"")</f>
        <v/>
      </c>
      <c r="AC179" s="24" t="b">
        <v>0</v>
      </c>
      <c r="AD179" s="24" t="b">
        <v>0</v>
      </c>
      <c r="AE179" s="36" t="s">
        <v>69</v>
      </c>
      <c r="AF179" s="25">
        <f>IFERROR(__xludf.DUMMYFUNCTION("IFERROR(VALUE(REGEXEXTRACT(AE179, ""\d+"")), 1)"),1.0)</f>
        <v>1</v>
      </c>
      <c r="AG179" s="12" t="str">
        <f>IFERROR(__xludf.DUMMYFUNCTION("IF(
  ISNUMBER(SEARCH(""Bonus Action"", AE179)),
  ""Bonus Action"",
  IF(
    ISNUMBER(SEARCH(""Reaction"", AE179)),
    ""Reaction"",
    IF(
      ISNUMBER(SEARCH(""Action"", AE179)),
      ""Action"",
      TEXTJOIN("", "", TRUE, FILTER(Validations!$S"&amp;"$2:$S$100, ISNUMBER(SEARCH(Validations!$S$2:$S$100, AE179))))
    )
  )
)"),"Action")</f>
        <v>Action</v>
      </c>
      <c r="AH179" s="36"/>
      <c r="AI179" s="20" t="s">
        <v>873</v>
      </c>
      <c r="AJ179" s="26" t="str">
        <f>IFERROR(__xludf.DUMMYFUNCTION("TEXTJOIN("", "", TRUE, FILTER(Validations!$T$2:$T$100, ISNUMBER(SEARCH(Validations!$T$2:$T$100, AI179))))"),"")</f>
        <v/>
      </c>
      <c r="AK179" s="26">
        <f>IFERROR(__xludf.DUMMYFUNCTION("IFERROR(VALUE(REGEXEXTRACT(AI179, ""\d+"")), """")"),1.0)</f>
        <v>1</v>
      </c>
      <c r="AL179" s="26" t="str">
        <f>IFERROR(__xludf.DUMMYFUNCTION("TEXTJOIN("", "", TRUE, FILTER(Validations!$U$2:$U$100, ISNUMBER(SEARCH(Validations!$U$2:$U$100, AI179))))"),"Rounds")</f>
        <v>Rounds</v>
      </c>
      <c r="AM179" s="24" t="b">
        <f t="shared" si="1"/>
        <v>0</v>
      </c>
      <c r="AN179" s="24" t="b">
        <v>0</v>
      </c>
      <c r="AO179" s="22" t="s">
        <v>105</v>
      </c>
      <c r="AP179" s="12" t="str">
        <f>IFERROR(__xludf.DUMMYFUNCTION("IF(TEXTJOIN("", "", TRUE, FILTER(Validations!$Q$2:$Q$100, ISNUMBER(SEARCH(Validations!$Q$2:$Q$100, AO179)))) = """", Validations!$Q$2, TEXTJOIN("", "", TRUE, FILTER(Validations!$Q$2:$Q$100, ISNUMBER(SEARCH(Validations!$Q$2:$Q$100, AO179)))))"),"Point")</f>
        <v>Point</v>
      </c>
      <c r="AQ179" s="12">
        <f>IFERROR(__xludf.DUMMYFUNCTION("IFERROR(VALUE(REGEXEXTRACT(AO179, ""\d+"")), """")"),10.0)</f>
        <v>10</v>
      </c>
      <c r="AR179" s="12" t="str">
        <f>IFERROR(__xludf.DUMMYFUNCTION("TEXTJOIN("", "", TRUE, FILTER(Validations!$R$2:$R$100, ISNUMBER(SEARCH(Validations!$R$2:$R$100, AO179))))"),"Feet")</f>
        <v>Feet</v>
      </c>
      <c r="AS179" s="27"/>
      <c r="AT179" s="12" t="str">
        <f>IFERROR(__xludf.DUMMYFUNCTION("IFERROR(TEXTJOIN("", "", TRUE, FILTER(Validations!$I$2:$I$100, ISNUMBER(SEARCH(Validations!$I$2:$I$100, AS179)))), """")"),"")</f>
        <v/>
      </c>
      <c r="AU179" s="16" t="str">
        <f t="array" ref="AU179">IFERROR(INDEX(Validations!$J$2:$J$100, MATCH(TRUE, ISNUMBER(SEARCH(Validations!$I$2:$I$100, AT179)), 0)), "")</f>
        <v/>
      </c>
      <c r="AV179" s="12" t="str">
        <f>IFERROR(__xludf.DUMMYFUNCTION("IFERROR(VALUE(REGEXEXTRACT(AS179, ""\d+"")), """")"),"")</f>
        <v/>
      </c>
      <c r="AW179" s="12" t="str">
        <f>IFERROR(__xludf.DUMMYFUNCTION("IFERROR(TEXTJOIN("", "", TRUE, FILTER(Validations!$Q$2:$Q$100, ISNUMBER(SEARCH(Validations!$Q$2:$Q$100, AS179)))), """")"),"")</f>
        <v/>
      </c>
      <c r="AX179" s="28" t="s">
        <v>142</v>
      </c>
      <c r="AY179" s="28" t="str">
        <f>IFERROR(__xludf.DUMMYFUNCTION("TEXTJOIN("", "", TRUE, FILTER(Validations!$Y$2:$Y$100, ISNUMBER(SEARCH(Validations!$X$2:$X$100, AX179))))"),"V, S")</f>
        <v>V, S</v>
      </c>
      <c r="AZ179" s="27"/>
      <c r="BA179" s="22"/>
      <c r="BB179" s="22"/>
      <c r="BC179" s="22"/>
      <c r="BD179" s="22"/>
      <c r="BE179" s="27"/>
      <c r="BF179" s="22"/>
      <c r="BG179" s="27"/>
      <c r="BH179" s="27"/>
      <c r="BI179" s="12" t="str">
        <f>IFERROR(__xludf.DUMMYFUNCTION("IFERROR(TEXTJOIN("", "", TRUE, FILTER(SRD!$A$2:$A$1000, EXACT(SRD!$A$2:$A$1000, J179))), """")"),"")</f>
        <v/>
      </c>
      <c r="BJ179" s="29"/>
      <c r="BK179" s="29"/>
    </row>
    <row r="180" ht="15.75" customHeight="1">
      <c r="A180" s="38" t="s">
        <v>874</v>
      </c>
      <c r="B180" s="12"/>
      <c r="C180" s="43"/>
      <c r="D180" s="43" t="s">
        <v>253</v>
      </c>
      <c r="E180" s="43"/>
      <c r="F180" s="14" t="s">
        <v>97</v>
      </c>
      <c r="G180" s="50" t="s">
        <v>672</v>
      </c>
      <c r="H180" s="31" t="s">
        <v>65</v>
      </c>
      <c r="I180" s="16" t="str">
        <f t="array" ref="I180">INDEX(Validations!$C$2:$C$100, MATCH(TRUE, ISNUMBER(SEARCH(Validations!$B$2:$B$100, H180)), 0))</f>
        <v>I</v>
      </c>
      <c r="J180" s="17" t="s">
        <v>875</v>
      </c>
      <c r="K180" s="18"/>
      <c r="L180" s="17"/>
      <c r="M180" s="37"/>
      <c r="N180" s="27"/>
      <c r="O180" s="17"/>
      <c r="P180" s="21"/>
      <c r="Q180" s="21"/>
      <c r="R180" s="22"/>
      <c r="S180" s="17" t="str">
        <f>IFERROR(__xludf.DUMMYFUNCTION("IFERROR(REGEXEXTRACT(J180, ""(\d{1,3}[dD]\d{1,3})""), """")"),"")</f>
        <v/>
      </c>
      <c r="T180" s="17" t="str">
        <f>IFERROR(__xludf.DUMMYFUNCTION("IF(COUNTIF(ARRAYFORMULA(LOWER(Validations!$O$2:$O$100)), LOWER(REGEXEXTRACT(J180, ""\d{1,3}[dD]\d{1,3}\s+(\w+)"")))&gt;0, REGEXEXTRACT(J180, ""\d{1,3}[dD]\d{1,3}\s+(\w+)""), """")"),"")</f>
        <v/>
      </c>
      <c r="U180" s="17" t="str">
        <f>IFERROR(__xludf.DUMMYFUNCTION("IF(COUNTIF(ARRAYFORMULA(LOWER(Validations!$P$2:$P$100)), LOWER(REGEXEXTRACT(J180, ""\d{1,3}[dD]\d{1,3}\s+(\w+)"")))&gt;0, REGEXEXTRACT(J180, ""\d{1,3}[dD]\d{1,3}\s+(\w+)""), """")"),"")</f>
        <v/>
      </c>
      <c r="V180" s="12" t="str">
        <f>IFERROR(__xludf.DUMMYFUNCTION("TEXTJOIN("", "", TRUE, FILTER(Validations!$L$2:$L$100, ISNUMBER(SEARCH(Validations!$L$2:$L$100, J180))))"),"")</f>
        <v/>
      </c>
      <c r="W180" s="12" t="str">
        <f>IFERROR(__xludf.DUMMYFUNCTION("IFERROR(TEXTJOIN("", "", TRUE, FILTER(Validations!$M$2:$M$100, ISNUMBER(SEARCH(Validations!$M$2:$M$100 &amp; "" saving throw"", J180)))), """")"),"")</f>
        <v/>
      </c>
      <c r="X180" s="12"/>
      <c r="Y180" s="12"/>
      <c r="Z180" s="12" t="str">
        <f>IFERROR(__xludf.DUMMYFUNCTION("IFERROR(TEXTJOIN("", "", TRUE, FILTER(Validations!$N$2:$N$100, ISNUMBER(SEARCH(Validations!$N$2:$N$100 &amp; "" check"", J180)))), """")"),"Investigation")</f>
        <v>Investigation</v>
      </c>
      <c r="AA180" s="12" t="str">
        <f>IFERROR(__xludf.DUMMYFUNCTION("IFERROR(TEXTJOIN("", "", TRUE, FILTER(Validations!$N$2:$N$100, ISNUMBER(SEARCH(Validations!$N$2:$N$100 &amp; "" check"", W180)))), """")"),"")</f>
        <v/>
      </c>
      <c r="AB180" s="23" t="str">
        <f>IFERROR(__xludf.DUMMYFUNCTION("IFERROR(CONCATENATE(IF(ISNUMBER(SEARCH(Validations!$M$2:$M$100 &amp; "" spell save"", J180)),""Spell Save"",""""), REGEXEXTRACT(J180, ""DC (\d+)"")), """")"),"")</f>
        <v/>
      </c>
      <c r="AC180" s="24" t="b">
        <v>0</v>
      </c>
      <c r="AD180" s="24" t="b">
        <v>0</v>
      </c>
      <c r="AE180" s="12" t="s">
        <v>69</v>
      </c>
      <c r="AF180" s="25">
        <f>IFERROR(__xludf.DUMMYFUNCTION("IFERROR(VALUE(REGEXEXTRACT(AE180, ""\d+"")), 1)"),1.0)</f>
        <v>1</v>
      </c>
      <c r="AG180" s="12" t="str">
        <f>IFERROR(__xludf.DUMMYFUNCTION("IF(
  ISNUMBER(SEARCH(""Bonus Action"", AE180)),
  ""Bonus Action"",
  IF(
    ISNUMBER(SEARCH(""Reaction"", AE180)),
    ""Reaction"",
    IF(
      ISNUMBER(SEARCH(""Action"", AE180)),
      ""Action"",
      TEXTJOIN("", "", TRUE, FILTER(Validations!$S"&amp;"$2:$S$100, ISNUMBER(SEARCH(Validations!$S$2:$S$100, AE180))))
    )
  )
)"),"Action")</f>
        <v>Action</v>
      </c>
      <c r="AH180" s="12"/>
      <c r="AI180" s="26" t="s">
        <v>70</v>
      </c>
      <c r="AJ180" s="26" t="str">
        <f>IFERROR(__xludf.DUMMYFUNCTION("TEXTJOIN("", "", TRUE, FILTER(Validations!$T$2:$T$100, ISNUMBER(SEARCH(Validations!$T$2:$T$100, AI180))))"),"Instantaneous")</f>
        <v>Instantaneous</v>
      </c>
      <c r="AK180" s="26" t="str">
        <f>IFERROR(__xludf.DUMMYFUNCTION("IFERROR(VALUE(REGEXEXTRACT(AI180, ""\d+"")), """")"),"")</f>
        <v/>
      </c>
      <c r="AL180" s="26" t="str">
        <f>IFERROR(__xludf.DUMMYFUNCTION("TEXTJOIN("", "", TRUE, FILTER(Validations!$U$2:$U$100, ISNUMBER(SEARCH(Validations!$U$2:$U$100, AI180))))"),"")</f>
        <v/>
      </c>
      <c r="AM180" s="24" t="b">
        <f t="shared" si="1"/>
        <v>0</v>
      </c>
      <c r="AN180" s="24" t="b">
        <v>0</v>
      </c>
      <c r="AO180" s="36" t="s">
        <v>502</v>
      </c>
      <c r="AP180" s="12" t="str">
        <f>IFERROR(__xludf.DUMMYFUNCTION("IF(TEXTJOIN("", "", TRUE, FILTER(Validations!$Q$2:$Q$100, ISNUMBER(SEARCH(Validations!$Q$2:$Q$100, AO180)))) = """", Validations!$Q$2, TEXTJOIN("", "", TRUE, FILTER(Validations!$Q$2:$Q$100, ISNUMBER(SEARCH(Validations!$Q$2:$Q$100, AO180)))))"),"Point")</f>
        <v>Point</v>
      </c>
      <c r="AQ180" s="12">
        <f>IFERROR(__xludf.DUMMYFUNCTION("IFERROR(VALUE(REGEXEXTRACT(AO180, ""\d+"")), """")"),120.0)</f>
        <v>120</v>
      </c>
      <c r="AR180" s="12" t="str">
        <f>IFERROR(__xludf.DUMMYFUNCTION("TEXTJOIN("", "", TRUE, FILTER(Validations!$R$2:$R$100, ISNUMBER(SEARCH(Validations!$R$2:$R$100, AO180))))"),"Feet")</f>
        <v>Feet</v>
      </c>
      <c r="AS180" s="27"/>
      <c r="AT180" s="12" t="str">
        <f>IFERROR(__xludf.DUMMYFUNCTION("IFERROR(TEXTJOIN("", "", TRUE, FILTER(Validations!$I$2:$I$100, ISNUMBER(SEARCH(Validations!$I$2:$I$100, AS180)))), """")"),"")</f>
        <v/>
      </c>
      <c r="AU180" s="16" t="str">
        <f t="array" ref="AU180">IFERROR(INDEX(Validations!$J$2:$J$100, MATCH(TRUE, ISNUMBER(SEARCH(Validations!$I$2:$I$100, AT180)), 0)), "")</f>
        <v/>
      </c>
      <c r="AV180" s="12" t="str">
        <f>IFERROR(__xludf.DUMMYFUNCTION("IFERROR(VALUE(REGEXEXTRACT(AS180, ""\d+"")), """")"),"")</f>
        <v/>
      </c>
      <c r="AW180" s="12" t="str">
        <f>IFERROR(__xludf.DUMMYFUNCTION("IFERROR(TEXTJOIN("", "", TRUE, FILTER(Validations!$Q$2:$Q$100, ISNUMBER(SEARCH(Validations!$Q$2:$Q$100, AS180)))), """")"),"")</f>
        <v/>
      </c>
      <c r="AX180" s="28" t="s">
        <v>72</v>
      </c>
      <c r="AY180" s="28" t="str">
        <f>IFERROR(__xludf.DUMMYFUNCTION("TEXTJOIN("", "", TRUE, FILTER(Validations!$Y$2:$Y$100, ISNUMBER(SEARCH(Validations!$X$2:$X$100, AX180))))"),"V, S")</f>
        <v>V, S</v>
      </c>
      <c r="AZ180" s="26"/>
      <c r="BA180" s="12"/>
      <c r="BB180" s="22"/>
      <c r="BC180" s="22"/>
      <c r="BD180" s="22"/>
      <c r="BE180" s="27"/>
      <c r="BF180" s="22"/>
      <c r="BG180" s="27"/>
      <c r="BH180" s="27"/>
      <c r="BI180" s="12" t="str">
        <f>IFERROR(__xludf.DUMMYFUNCTION("IFERROR(TEXTJOIN("", "", TRUE, FILTER(SRD!$A$2:$A$1000, EXACT(SRD!$A$2:$A$1000, J180))), """")"),"")</f>
        <v/>
      </c>
      <c r="BJ180" s="29"/>
      <c r="BK180" s="29"/>
    </row>
    <row r="181" ht="15.75" customHeight="1">
      <c r="A181" s="11" t="s">
        <v>876</v>
      </c>
      <c r="B181" s="12"/>
      <c r="C181" s="13"/>
      <c r="D181" s="13" t="s">
        <v>877</v>
      </c>
      <c r="E181" s="13"/>
      <c r="F181" s="14" t="s">
        <v>102</v>
      </c>
      <c r="G181" s="50" t="s">
        <v>672</v>
      </c>
      <c r="H181" s="31" t="s">
        <v>85</v>
      </c>
      <c r="I181" s="16" t="str">
        <f t="array" ref="I181">INDEX(Validations!$C$2:$C$100, MATCH(TRUE, ISNUMBER(SEARCH(Validations!$B$2:$B$100, H181)), 0))</f>
        <v>T</v>
      </c>
      <c r="J181" s="17" t="s">
        <v>878</v>
      </c>
      <c r="K181" s="18"/>
      <c r="L181" s="17"/>
      <c r="M181" s="37"/>
      <c r="N181" s="20" t="s">
        <v>879</v>
      </c>
      <c r="O181" s="17" t="s">
        <v>880</v>
      </c>
      <c r="P181" s="21"/>
      <c r="Q181" s="21"/>
      <c r="R181" s="22"/>
      <c r="S181" s="17" t="str">
        <f>IFERROR(__xludf.DUMMYFUNCTION("IFERROR(REGEXEXTRACT(J181, ""(\d{1,3}[dD]\d{1,3})""), """")"),"")</f>
        <v/>
      </c>
      <c r="T181" s="17" t="str">
        <f>IFERROR(__xludf.DUMMYFUNCTION("IF(COUNTIF(ARRAYFORMULA(LOWER(Validations!$O$2:$O$100)), LOWER(REGEXEXTRACT(J181, ""\d{1,3}[dD]\d{1,3}\s+(\w+)"")))&gt;0, REGEXEXTRACT(J181, ""\d{1,3}[dD]\d{1,3}\s+(\w+)""), """")"),"")</f>
        <v/>
      </c>
      <c r="U181" s="17" t="str">
        <f>IFERROR(__xludf.DUMMYFUNCTION("IF(COUNTIF(ARRAYFORMULA(LOWER(Validations!$P$2:$P$100)), LOWER(REGEXEXTRACT(J181, ""\d{1,3}[dD]\d{1,3}\s+(\w+)"")))&gt;0, REGEXEXTRACT(J181, ""\d{1,3}[dD]\d{1,3}\s+(\w+)""), """")"),"")</f>
        <v/>
      </c>
      <c r="V181" s="12" t="str">
        <f>IFERROR(__xludf.DUMMYFUNCTION("TEXTJOIN("", "", TRUE, FILTER(Validations!$L$2:$L$100, ISNUMBER(SEARCH(Validations!$L$2:$L$100, J181))))"),"")</f>
        <v/>
      </c>
      <c r="W181" s="12" t="str">
        <f>IFERROR(__xludf.DUMMYFUNCTION("IFERROR(TEXTJOIN("", "", TRUE, FILTER(Validations!$M$2:$M$100, ISNUMBER(SEARCH(Validations!$M$2:$M$100 &amp; "" saving throw"", J181)))), """")"),"Charisma")</f>
        <v>Charisma</v>
      </c>
      <c r="X181" s="12"/>
      <c r="Y181" s="12"/>
      <c r="Z181" s="12" t="str">
        <f>IFERROR(__xludf.DUMMYFUNCTION("IFERROR(TEXTJOIN("", "", TRUE, FILTER(Validations!$N$2:$N$100, ISNUMBER(SEARCH(Validations!$N$2:$N$100 &amp; "" check"", J181)))), """")"),"")</f>
        <v/>
      </c>
      <c r="AA181" s="12" t="str">
        <f>IFERROR(__xludf.DUMMYFUNCTION("IFERROR(TEXTJOIN("", "", TRUE, FILTER(Validations!$N$2:$N$100, ISNUMBER(SEARCH(Validations!$N$2:$N$100 &amp; "" check"", W181)))), """")"),"")</f>
        <v/>
      </c>
      <c r="AB181" s="23" t="str">
        <f>IFERROR(__xludf.DUMMYFUNCTION("IFERROR(CONCATENATE(IF(ISNUMBER(SEARCH(Validations!$M$2:$M$100 &amp; "" spell save"", J181)),""Spell Save"",""""), REGEXEXTRACT(J181, ""DC (\d+)"")), """")"),"")</f>
        <v/>
      </c>
      <c r="AC181" s="24" t="b">
        <v>0</v>
      </c>
      <c r="AD181" s="24" t="b">
        <v>0</v>
      </c>
      <c r="AE181" s="12" t="s">
        <v>69</v>
      </c>
      <c r="AF181" s="25">
        <f>IFERROR(__xludf.DUMMYFUNCTION("IFERROR(VALUE(REGEXEXTRACT(AE181, ""\d+"")), 1)"),1.0)</f>
        <v>1</v>
      </c>
      <c r="AG181" s="12" t="str">
        <f>IFERROR(__xludf.DUMMYFUNCTION("IF(
  ISNUMBER(SEARCH(""Bonus Action"", AE181)),
  ""Bonus Action"",
  IF(
    ISNUMBER(SEARCH(""Reaction"", AE181)),
    ""Reaction"",
    IF(
      ISNUMBER(SEARCH(""Action"", AE181)),
      ""Action"",
      TEXTJOIN("", "", TRUE, FILTER(Validations!$S"&amp;"$2:$S$100, ISNUMBER(SEARCH(Validations!$S$2:$S$100, AE181))))
    )
  )
)"),"Action")</f>
        <v>Action</v>
      </c>
      <c r="AH181" s="12"/>
      <c r="AI181" s="26" t="s">
        <v>70</v>
      </c>
      <c r="AJ181" s="26" t="str">
        <f>IFERROR(__xludf.DUMMYFUNCTION("TEXTJOIN("", "", TRUE, FILTER(Validations!$T$2:$T$100, ISNUMBER(SEARCH(Validations!$T$2:$T$100, AI181))))"),"Instantaneous")</f>
        <v>Instantaneous</v>
      </c>
      <c r="AK181" s="26" t="str">
        <f>IFERROR(__xludf.DUMMYFUNCTION("IFERROR(VALUE(REGEXEXTRACT(AI181, ""\d+"")), """")"),"")</f>
        <v/>
      </c>
      <c r="AL181" s="26" t="str">
        <f>IFERROR(__xludf.DUMMYFUNCTION("TEXTJOIN("", "", TRUE, FILTER(Validations!$U$2:$U$100, ISNUMBER(SEARCH(Validations!$U$2:$U$100, AI181))))"),"")</f>
        <v/>
      </c>
      <c r="AM181" s="24" t="b">
        <f t="shared" si="1"/>
        <v>0</v>
      </c>
      <c r="AN181" s="24" t="b">
        <v>0</v>
      </c>
      <c r="AO181" s="36" t="s">
        <v>725</v>
      </c>
      <c r="AP181" s="12" t="str">
        <f>IFERROR(__xludf.DUMMYFUNCTION("IF(TEXTJOIN("", "", TRUE, FILTER(Validations!$Q$2:$Q$100, ISNUMBER(SEARCH(Validations!$Q$2:$Q$100, AO181)))) = """", Validations!$Q$2, TEXTJOIN("", "", TRUE, FILTER(Validations!$Q$2:$Q$100, ISNUMBER(SEARCH(Validations!$Q$2:$Q$100, AO181)))))"),"Point")</f>
        <v>Point</v>
      </c>
      <c r="AQ181" s="12">
        <f>IFERROR(__xludf.DUMMYFUNCTION("IFERROR(VALUE(REGEXEXTRACT(AO181, ""\d+"")), """")"),500.0)</f>
        <v>500</v>
      </c>
      <c r="AR181" s="12" t="str">
        <f>IFERROR(__xludf.DUMMYFUNCTION("TEXTJOIN("", "", TRUE, FILTER(Validations!$R$2:$R$100, ISNUMBER(SEARCH(Validations!$R$2:$R$100, AO181))))"),"Feet")</f>
        <v>Feet</v>
      </c>
      <c r="AS181" s="27"/>
      <c r="AT181" s="12" t="str">
        <f>IFERROR(__xludf.DUMMYFUNCTION("IFERROR(TEXTJOIN("", "", TRUE, FILTER(Validations!$I$2:$I$100, ISNUMBER(SEARCH(Validations!$I$2:$I$100, AS181)))), """")"),"")</f>
        <v/>
      </c>
      <c r="AU181" s="16" t="str">
        <f t="array" ref="AU181">IFERROR(INDEX(Validations!$J$2:$J$100, MATCH(TRUE, ISNUMBER(SEARCH(Validations!$I$2:$I$100, AT181)), 0)), "")</f>
        <v/>
      </c>
      <c r="AV181" s="12" t="str">
        <f>IFERROR(__xludf.DUMMYFUNCTION("IFERROR(VALUE(REGEXEXTRACT(AS181, ""\d+"")), """")"),"")</f>
        <v/>
      </c>
      <c r="AW181" s="12" t="str">
        <f>IFERROR(__xludf.DUMMYFUNCTION("IFERROR(TEXTJOIN("", "", TRUE, FILTER(Validations!$Q$2:$Q$100, ISNUMBER(SEARCH(Validations!$Q$2:$Q$100, AS181)))), """")"),"")</f>
        <v/>
      </c>
      <c r="AX181" s="28" t="s">
        <v>72</v>
      </c>
      <c r="AY181" s="28" t="str">
        <f>IFERROR(__xludf.DUMMYFUNCTION("TEXTJOIN("", "", TRUE, FILTER(Validations!$Y$2:$Y$100, ISNUMBER(SEARCH(Validations!$X$2:$X$100, AX181))))"),"V, S")</f>
        <v>V, S</v>
      </c>
      <c r="AZ181" s="26"/>
      <c r="BA181" s="12"/>
      <c r="BB181" s="22"/>
      <c r="BC181" s="22"/>
      <c r="BD181" s="22"/>
      <c r="BE181" s="27"/>
      <c r="BF181" s="22"/>
      <c r="BG181" s="27"/>
      <c r="BH181" s="27"/>
      <c r="BI181" s="12" t="str">
        <f>IFERROR(__xludf.DUMMYFUNCTION("IFERROR(TEXTJOIN("", "", TRUE, FILTER(SRD!$A$2:$A$1000, EXACT(SRD!$A$2:$A$1000, J181))), """")"),"")</f>
        <v/>
      </c>
      <c r="BJ181" s="29"/>
      <c r="BK181" s="29"/>
    </row>
    <row r="182" ht="15.75" customHeight="1">
      <c r="A182" s="11" t="s">
        <v>881</v>
      </c>
      <c r="B182" s="12"/>
      <c r="C182" s="13"/>
      <c r="D182" s="13" t="s">
        <v>259</v>
      </c>
      <c r="E182" s="13"/>
      <c r="F182" s="14" t="s">
        <v>130</v>
      </c>
      <c r="G182" s="50" t="s">
        <v>672</v>
      </c>
      <c r="H182" s="31" t="s">
        <v>76</v>
      </c>
      <c r="I182" s="16" t="str">
        <f t="array" ref="I182">INDEX(Validations!$C$2:$C$100, MATCH(TRUE, ISNUMBER(SEARCH(Validations!$B$2:$B$100, H182)), 0))</f>
        <v>V</v>
      </c>
      <c r="J182" s="17" t="s">
        <v>882</v>
      </c>
      <c r="K182" s="18"/>
      <c r="L182" s="17"/>
      <c r="M182" s="37"/>
      <c r="N182" s="20" t="s">
        <v>883</v>
      </c>
      <c r="O182" s="17" t="s">
        <v>884</v>
      </c>
      <c r="P182" s="21"/>
      <c r="Q182" s="21"/>
      <c r="R182" s="22"/>
      <c r="S182" s="17" t="str">
        <f>IFERROR(__xludf.DUMMYFUNCTION("IFERROR(REGEXEXTRACT(J182, ""(\d{1,3}[dD]\d{1,3})""), """")"),"2d6")</f>
        <v>2d6</v>
      </c>
      <c r="T182" s="17" t="str">
        <f>IFERROR(__xludf.DUMMYFUNCTION("IF(COUNTIF(ARRAYFORMULA(LOWER(Validations!$O$2:$O$100)), LOWER(REGEXEXTRACT(J182, ""\d{1,3}[dD]\d{1,3}\s+(\w+)"")))&gt;0, REGEXEXTRACT(J182, ""\d{1,3}[dD]\d{1,3}\s+(\w+)""), """")"),"electric")</f>
        <v>electric</v>
      </c>
      <c r="U182" s="17" t="str">
        <f>IFERROR(__xludf.DUMMYFUNCTION("IF(COUNTIF(ARRAYFORMULA(LOWER(Validations!$P$2:$P$100)), LOWER(REGEXEXTRACT(J182, ""\d{1,3}[dD]\d{1,3}\s+(\w+)"")))&gt;0, REGEXEXTRACT(J182, ""\d{1,3}[dD]\d{1,3}\s+(\w+)""), """")"),"")</f>
        <v/>
      </c>
      <c r="V182" s="12" t="str">
        <f>IFERROR(__xludf.DUMMYFUNCTION("TEXTJOIN("", "", TRUE, FILTER(Validations!$L$2:$L$100, ISNUMBER(SEARCH(Validations!$L$2:$L$100, J182))))"),"")</f>
        <v/>
      </c>
      <c r="W182" s="12" t="str">
        <f>IFERROR(__xludf.DUMMYFUNCTION("IFERROR(TEXTJOIN("", "", TRUE, FILTER(Validations!$M$2:$M$100, ISNUMBER(SEARCH(Validations!$M$2:$M$100 &amp; "" saving throw"", J182)))), """")"),"Dexterity")</f>
        <v>Dexterity</v>
      </c>
      <c r="X182" s="12"/>
      <c r="Y182" s="12"/>
      <c r="Z182" s="12" t="str">
        <f>IFERROR(__xludf.DUMMYFUNCTION("IFERROR(TEXTJOIN("", "", TRUE, FILTER(Validations!$N$2:$N$100, ISNUMBER(SEARCH(Validations!$N$2:$N$100 &amp; "" check"", J182)))), """")"),"")</f>
        <v/>
      </c>
      <c r="AA182" s="12" t="str">
        <f>IFERROR(__xludf.DUMMYFUNCTION("IFERROR(TEXTJOIN("", "", TRUE, FILTER(Validations!$N$2:$N$100, ISNUMBER(SEARCH(Validations!$N$2:$N$100 &amp; "" check"", W182)))), """")"),"")</f>
        <v/>
      </c>
      <c r="AB182" s="23" t="str">
        <f>IFERROR(__xludf.DUMMYFUNCTION("IFERROR(CONCATENATE(IF(ISNUMBER(SEARCH(Validations!$M$2:$M$100 &amp; "" spell save"", J182)),""Spell Save"",""""), REGEXEXTRACT(J182, ""DC (\d+)"")), """")"),"")</f>
        <v/>
      </c>
      <c r="AC182" s="24" t="b">
        <v>0</v>
      </c>
      <c r="AD182" s="24" t="b">
        <v>0</v>
      </c>
      <c r="AE182" s="12" t="s">
        <v>69</v>
      </c>
      <c r="AF182" s="25">
        <f>IFERROR(__xludf.DUMMYFUNCTION("IFERROR(VALUE(REGEXEXTRACT(AE182, ""\d+"")), 1)"),1.0)</f>
        <v>1</v>
      </c>
      <c r="AG182" s="12" t="str">
        <f>IFERROR(__xludf.DUMMYFUNCTION("IF(
  ISNUMBER(SEARCH(""Bonus Action"", AE182)),
  ""Bonus Action"",
  IF(
    ISNUMBER(SEARCH(""Reaction"", AE182)),
    ""Reaction"",
    IF(
      ISNUMBER(SEARCH(""Action"", AE182)),
      ""Action"",
      TEXTJOIN("", "", TRUE, FILTER(Validations!$S"&amp;"$2:$S$100, ISNUMBER(SEARCH(Validations!$S$2:$S$100, AE182))))
    )
  )
)"),"Action")</f>
        <v>Action</v>
      </c>
      <c r="AH182" s="12"/>
      <c r="AI182" s="26" t="s">
        <v>70</v>
      </c>
      <c r="AJ182" s="26" t="str">
        <f>IFERROR(__xludf.DUMMYFUNCTION("TEXTJOIN("", "", TRUE, FILTER(Validations!$T$2:$T$100, ISNUMBER(SEARCH(Validations!$T$2:$T$100, AI182))))"),"Instantaneous")</f>
        <v>Instantaneous</v>
      </c>
      <c r="AK182" s="26" t="str">
        <f>IFERROR(__xludf.DUMMYFUNCTION("IFERROR(VALUE(REGEXEXTRACT(AI182, ""\d+"")), """")"),"")</f>
        <v/>
      </c>
      <c r="AL182" s="26" t="str">
        <f>IFERROR(__xludf.DUMMYFUNCTION("TEXTJOIN("", "", TRUE, FILTER(Validations!$U$2:$U$100, ISNUMBER(SEARCH(Validations!$U$2:$U$100, AI182))))"),"")</f>
        <v/>
      </c>
      <c r="AM182" s="24" t="b">
        <f t="shared" si="1"/>
        <v>0</v>
      </c>
      <c r="AN182" s="24" t="b">
        <v>0</v>
      </c>
      <c r="AO182" s="12" t="s">
        <v>78</v>
      </c>
      <c r="AP182" s="12" t="str">
        <f>IFERROR(__xludf.DUMMYFUNCTION("IF(TEXTJOIN("", "", TRUE, FILTER(Validations!$Q$2:$Q$100, ISNUMBER(SEARCH(Validations!$Q$2:$Q$100, AO182)))) = """", Validations!$Q$2, TEXTJOIN("", "", TRUE, FILTER(Validations!$Q$2:$Q$100, ISNUMBER(SEARCH(Validations!$Q$2:$Q$100, AO182)))))"),"Point")</f>
        <v>Point</v>
      </c>
      <c r="AQ182" s="12" t="str">
        <f>IFERROR(__xludf.DUMMYFUNCTION("IFERROR(VALUE(REGEXEXTRACT(AO182, ""\d+"")), """")"),"")</f>
        <v/>
      </c>
      <c r="AR182" s="12" t="str">
        <f>IFERROR(__xludf.DUMMYFUNCTION("TEXTJOIN("", "", TRUE, FILTER(Validations!$R$2:$R$100, ISNUMBER(SEARCH(Validations!$R$2:$R$100, AO182))))"),"Self")</f>
        <v>Self</v>
      </c>
      <c r="AS182" s="27"/>
      <c r="AT182" s="12" t="str">
        <f>IFERROR(__xludf.DUMMYFUNCTION("IFERROR(TEXTJOIN("", "", TRUE, FILTER(Validations!$I$2:$I$100, ISNUMBER(SEARCH(Validations!$I$2:$I$100, AS182)))), """")"),"")</f>
        <v/>
      </c>
      <c r="AU182" s="16" t="str">
        <f t="array" ref="AU182">IFERROR(INDEX(Validations!$J$2:$J$100, MATCH(TRUE, ISNUMBER(SEARCH(Validations!$I$2:$I$100, AT182)), 0)), "")</f>
        <v/>
      </c>
      <c r="AV182" s="12" t="str">
        <f>IFERROR(__xludf.DUMMYFUNCTION("IFERROR(VALUE(REGEXEXTRACT(AS182, ""\d+"")), """")"),"")</f>
        <v/>
      </c>
      <c r="AW182" s="12" t="str">
        <f>IFERROR(__xludf.DUMMYFUNCTION("IFERROR(TEXTJOIN("", "", TRUE, FILTER(Validations!$Q$2:$Q$100, ISNUMBER(SEARCH(Validations!$Q$2:$Q$100, AS182)))), """")"),"")</f>
        <v/>
      </c>
      <c r="AX182" s="28" t="s">
        <v>72</v>
      </c>
      <c r="AY182" s="28" t="str">
        <f>IFERROR(__xludf.DUMMYFUNCTION("TEXTJOIN("", "", TRUE, FILTER(Validations!$Y$2:$Y$100, ISNUMBER(SEARCH(Validations!$X$2:$X$100, AX182))))"),"V, S")</f>
        <v>V, S</v>
      </c>
      <c r="AZ182" s="26"/>
      <c r="BA182" s="12"/>
      <c r="BB182" s="22"/>
      <c r="BC182" s="22"/>
      <c r="BD182" s="22"/>
      <c r="BE182" s="27"/>
      <c r="BF182" s="22"/>
      <c r="BG182" s="27"/>
      <c r="BH182" s="27"/>
      <c r="BI182" s="12" t="str">
        <f>IFERROR(__xludf.DUMMYFUNCTION("IFERROR(TEXTJOIN("", "", TRUE, FILTER(SRD!$A$2:$A$1000, EXACT(SRD!$A$2:$A$1000, J182))), """")"),"")</f>
        <v/>
      </c>
      <c r="BJ182" s="29"/>
      <c r="BK182" s="29"/>
    </row>
    <row r="183" ht="15.75" customHeight="1">
      <c r="A183" s="55" t="s">
        <v>885</v>
      </c>
      <c r="B183" s="12"/>
      <c r="C183" s="61"/>
      <c r="D183" s="61" t="s">
        <v>886</v>
      </c>
      <c r="E183" s="61"/>
      <c r="F183" s="32" t="s">
        <v>443</v>
      </c>
      <c r="G183" s="57" t="s">
        <v>672</v>
      </c>
      <c r="H183" s="58" t="s">
        <v>65</v>
      </c>
      <c r="I183" s="16" t="str">
        <f t="array" ref="I183">INDEX(Validations!$C$2:$C$100, MATCH(TRUE, ISNUMBER(SEARCH(Validations!$B$2:$B$100, H183)), 0))</f>
        <v>I</v>
      </c>
      <c r="J183" s="36" t="s">
        <v>887</v>
      </c>
      <c r="K183" s="34"/>
      <c r="L183" s="36"/>
      <c r="M183" s="59"/>
      <c r="N183" s="27"/>
      <c r="O183" s="59"/>
      <c r="P183" s="60"/>
      <c r="Q183" s="60"/>
      <c r="R183" s="22"/>
      <c r="S183" s="17" t="str">
        <f>IFERROR(__xludf.DUMMYFUNCTION("IFERROR(REGEXEXTRACT(J183, ""(\d{1,3}[dD]\d{1,3})""), """")"),"")</f>
        <v/>
      </c>
      <c r="T183" s="17" t="str">
        <f>IFERROR(__xludf.DUMMYFUNCTION("IF(COUNTIF(ARRAYFORMULA(LOWER(Validations!$O$2:$O$100)), LOWER(REGEXEXTRACT(J183, ""\d{1,3}[dD]\d{1,3}\s+(\w+)"")))&gt;0, REGEXEXTRACT(J183, ""\d{1,3}[dD]\d{1,3}\s+(\w+)""), """")"),"")</f>
        <v/>
      </c>
      <c r="U183" s="17" t="str">
        <f>IFERROR(__xludf.DUMMYFUNCTION("IF(COUNTIF(ARRAYFORMULA(LOWER(Validations!$P$2:$P$100)), LOWER(REGEXEXTRACT(J183, ""\d{1,3}[dD]\d{1,3}\s+(\w+)"")))&gt;0, REGEXEXTRACT(J183, ""\d{1,3}[dD]\d{1,3}\s+(\w+)""), """")"),"")</f>
        <v/>
      </c>
      <c r="V183" s="12" t="str">
        <f>IFERROR(__xludf.DUMMYFUNCTION("TEXTJOIN("", "", TRUE, FILTER(Validations!$L$2:$L$100, ISNUMBER(SEARCH(Validations!$L$2:$L$100, J183))))"),"")</f>
        <v/>
      </c>
      <c r="W183" s="12" t="str">
        <f>IFERROR(__xludf.DUMMYFUNCTION("IFERROR(TEXTJOIN("", "", TRUE, FILTER(Validations!$M$2:$M$100, ISNUMBER(SEARCH(Validations!$M$2:$M$100 &amp; "" saving throw"", J183)))), """")"),"")</f>
        <v/>
      </c>
      <c r="X183" s="12"/>
      <c r="Y183" s="12"/>
      <c r="Z183" s="12" t="str">
        <f>IFERROR(__xludf.DUMMYFUNCTION("IFERROR(TEXTJOIN("", "", TRUE, FILTER(Validations!$N$2:$N$100, ISNUMBER(SEARCH(Validations!$N$2:$N$100 &amp; "" check"", J183)))), """")"),"Perception")</f>
        <v>Perception</v>
      </c>
      <c r="AA183" s="12" t="str">
        <f>IFERROR(__xludf.DUMMYFUNCTION("IFERROR(TEXTJOIN("", "", TRUE, FILTER(Validations!$N$2:$N$100, ISNUMBER(SEARCH(Validations!$N$2:$N$100 &amp; "" check"", W183)))), """")"),"")</f>
        <v/>
      </c>
      <c r="AB183" s="23" t="str">
        <f>IFERROR(__xludf.DUMMYFUNCTION("IFERROR(CONCATENATE(IF(ISNUMBER(SEARCH(Validations!$M$2:$M$100 &amp; "" spell save"", J183)),""Spell Save"",""""), REGEXEXTRACT(J183, ""DC (\d+)"")), """")"),"")</f>
        <v/>
      </c>
      <c r="AC183" s="24" t="b">
        <v>0</v>
      </c>
      <c r="AD183" s="24" t="b">
        <v>0</v>
      </c>
      <c r="AE183" s="36" t="s">
        <v>435</v>
      </c>
      <c r="AF183" s="25">
        <f>IFERROR(__xludf.DUMMYFUNCTION("IFERROR(VALUE(REGEXEXTRACT(AE183, ""\d+"")), 1)"),1.0)</f>
        <v>1</v>
      </c>
      <c r="AG183" s="12" t="str">
        <f>IFERROR(__xludf.DUMMYFUNCTION("IF(
  ISNUMBER(SEARCH(""Bonus Action"", AE183)),
  ""Bonus Action"",
  IF(
    ISNUMBER(SEARCH(""Reaction"", AE183)),
    ""Reaction"",
    IF(
      ISNUMBER(SEARCH(""Action"", AE183)),
      ""Action"",
      TEXTJOIN("", "", TRUE, FILTER(Validations!$S"&amp;"$2:$S$100, ISNUMBER(SEARCH(Validations!$S$2:$S$100, AE183))))
    )
  )
)"),"Bonus Action")</f>
        <v>Bonus Action</v>
      </c>
      <c r="AH183" s="36"/>
      <c r="AI183" s="20" t="s">
        <v>556</v>
      </c>
      <c r="AJ183" s="26" t="str">
        <f>IFERROR(__xludf.DUMMYFUNCTION("TEXTJOIN("", "", TRUE, FILTER(Validations!$T$2:$T$100, ISNUMBER(SEARCH(Validations!$T$2:$T$100, AI183))))"),"")</f>
        <v/>
      </c>
      <c r="AK183" s="26">
        <f>IFERROR(__xludf.DUMMYFUNCTION("IFERROR(VALUE(REGEXEXTRACT(AI183, ""\d+"")), """")"),1.0)</f>
        <v>1</v>
      </c>
      <c r="AL183" s="26" t="str">
        <f>IFERROR(__xludf.DUMMYFUNCTION("TEXTJOIN("", "", TRUE, FILTER(Validations!$U$2:$U$100, ISNUMBER(SEARCH(Validations!$U$2:$U$100, AI183))))"),"Minutes")</f>
        <v>Minutes</v>
      </c>
      <c r="AM183" s="24" t="b">
        <f t="shared" si="1"/>
        <v>1</v>
      </c>
      <c r="AN183" s="42" t="b">
        <v>1</v>
      </c>
      <c r="AO183" s="36" t="s">
        <v>78</v>
      </c>
      <c r="AP183" s="12" t="str">
        <f>IFERROR(__xludf.DUMMYFUNCTION("IF(TEXTJOIN("", "", TRUE, FILTER(Validations!$Q$2:$Q$100, ISNUMBER(SEARCH(Validations!$Q$2:$Q$100, AO183)))) = """", Validations!$Q$2, TEXTJOIN("", "", TRUE, FILTER(Validations!$Q$2:$Q$100, ISNUMBER(SEARCH(Validations!$Q$2:$Q$100, AO183)))))"),"Point")</f>
        <v>Point</v>
      </c>
      <c r="AQ183" s="12" t="str">
        <f>IFERROR(__xludf.DUMMYFUNCTION("IFERROR(VALUE(REGEXEXTRACT(AO183, ""\d+"")), """")"),"")</f>
        <v/>
      </c>
      <c r="AR183" s="12" t="str">
        <f>IFERROR(__xludf.DUMMYFUNCTION("TEXTJOIN("", "", TRUE, FILTER(Validations!$R$2:$R$100, ISNUMBER(SEARCH(Validations!$R$2:$R$100, AO183))))"),"Self")</f>
        <v>Self</v>
      </c>
      <c r="AS183" s="27"/>
      <c r="AT183" s="12" t="str">
        <f>IFERROR(__xludf.DUMMYFUNCTION("IFERROR(TEXTJOIN("", "", TRUE, FILTER(Validations!$I$2:$I$100, ISNUMBER(SEARCH(Validations!$I$2:$I$100, AS183)))), """")"),"")</f>
        <v/>
      </c>
      <c r="AU183" s="16" t="str">
        <f t="array" ref="AU183">IFERROR(INDEX(Validations!$J$2:$J$100, MATCH(TRUE, ISNUMBER(SEARCH(Validations!$I$2:$I$100, AT183)), 0)), "")</f>
        <v/>
      </c>
      <c r="AV183" s="12" t="str">
        <f>IFERROR(__xludf.DUMMYFUNCTION("IFERROR(VALUE(REGEXEXTRACT(AS183, ""\d+"")), """")"),"")</f>
        <v/>
      </c>
      <c r="AW183" s="12" t="str">
        <f>IFERROR(__xludf.DUMMYFUNCTION("IFERROR(TEXTJOIN("", "", TRUE, FILTER(Validations!$Q$2:$Q$100, ISNUMBER(SEARCH(Validations!$Q$2:$Q$100, AS183)))), """")"),"")</f>
        <v/>
      </c>
      <c r="AX183" s="28" t="s">
        <v>142</v>
      </c>
      <c r="AY183" s="28" t="str">
        <f>IFERROR(__xludf.DUMMYFUNCTION("TEXTJOIN("", "", TRUE, FILTER(Validations!$Y$2:$Y$100, ISNUMBER(SEARCH(Validations!$X$2:$X$100, AX183))))"),"V, S")</f>
        <v>V, S</v>
      </c>
      <c r="AZ183" s="26"/>
      <c r="BA183" s="59"/>
      <c r="BB183" s="22"/>
      <c r="BC183" s="22"/>
      <c r="BD183" s="22"/>
      <c r="BE183" s="27"/>
      <c r="BF183" s="22"/>
      <c r="BG183" s="27"/>
      <c r="BH183" s="27"/>
      <c r="BI183" s="12" t="str">
        <f>IFERROR(__xludf.DUMMYFUNCTION("IFERROR(TEXTJOIN("", "", TRUE, FILTER(SRD!$A$2:$A$1000, EXACT(SRD!$A$2:$A$1000, J183))), """")"),"")</f>
        <v/>
      </c>
      <c r="BJ183" s="29"/>
      <c r="BK183" s="29"/>
    </row>
    <row r="184" ht="15.75" customHeight="1">
      <c r="A184" s="30" t="s">
        <v>888</v>
      </c>
      <c r="B184" s="22"/>
      <c r="C184" s="31"/>
      <c r="D184" s="31" t="s">
        <v>74</v>
      </c>
      <c r="E184" s="31"/>
      <c r="F184" s="32" t="s">
        <v>199</v>
      </c>
      <c r="G184" s="50" t="s">
        <v>672</v>
      </c>
      <c r="H184" s="31" t="s">
        <v>183</v>
      </c>
      <c r="I184" s="16" t="str">
        <f t="array" ref="I184">INDEX(Validations!$C$2:$C$100, MATCH(TRUE, ISNUMBER(SEARCH(Validations!$B$2:$B$100, H184)), 0))</f>
        <v>E</v>
      </c>
      <c r="J184" s="17" t="s">
        <v>889</v>
      </c>
      <c r="K184" s="18"/>
      <c r="L184" s="17"/>
      <c r="M184" s="17"/>
      <c r="N184" s="27"/>
      <c r="O184" s="17"/>
      <c r="P184" s="21"/>
      <c r="Q184" s="21"/>
      <c r="R184" s="22"/>
      <c r="S184" s="17" t="str">
        <f>IFERROR(__xludf.DUMMYFUNCTION("IFERROR(REGEXEXTRACT(J184, ""(\d{1,3}[dD]\d{1,3})""), """")"),"1d6")</f>
        <v>1d6</v>
      </c>
      <c r="T184" s="17" t="str">
        <f>IFERROR(__xludf.DUMMYFUNCTION("IF(COUNTIF(ARRAYFORMULA(LOWER(Validations!$O$2:$O$100)), LOWER(REGEXEXTRACT(J184, ""\d{1,3}[dD]\d{1,3}\s+(\w+)"")))&gt;0, REGEXEXTRACT(J184, ""\d{1,3}[dD]\d{1,3}\s+(\w+)""), """")"),"")</f>
        <v/>
      </c>
      <c r="U184" s="17" t="str">
        <f>IFERROR(__xludf.DUMMYFUNCTION("IF(COUNTIF(ARRAYFORMULA(LOWER(Validations!$P$2:$P$100)), LOWER(REGEXEXTRACT(J184, ""\d{1,3}[dD]\d{1,3}\s+(\w+)"")))&gt;0, REGEXEXTRACT(J184, ""\d{1,3}[dD]\d{1,3}\s+(\w+)""), """")"),"")</f>
        <v/>
      </c>
      <c r="V184" s="12" t="str">
        <f>IFERROR(__xludf.DUMMYFUNCTION("TEXTJOIN("", "", TRUE, FILTER(Validations!$L$2:$L$100, ISNUMBER(SEARCH(Validations!$L$2:$L$100, J184))))"),"")</f>
        <v/>
      </c>
      <c r="W184" s="12" t="str">
        <f>IFERROR(__xludf.DUMMYFUNCTION("IFERROR(TEXTJOIN("", "", TRUE, FILTER(Validations!$M$2:$M$100, ISNUMBER(SEARCH(Validations!$M$2:$M$100 &amp; "" saving throw"", J184)))), """")"),"Intelligence")</f>
        <v>Intelligence</v>
      </c>
      <c r="X184" s="12"/>
      <c r="Y184" s="12"/>
      <c r="Z184" s="12" t="str">
        <f>IFERROR(__xludf.DUMMYFUNCTION("IFERROR(TEXTJOIN("", "", TRUE, FILTER(Validations!$N$2:$N$100, ISNUMBER(SEARCH(Validations!$N$2:$N$100 &amp; "" check"", J184)))), """")"),"")</f>
        <v/>
      </c>
      <c r="AA184" s="12" t="str">
        <f>IFERROR(__xludf.DUMMYFUNCTION("IFERROR(TEXTJOIN("", "", TRUE, FILTER(Validations!$N$2:$N$100, ISNUMBER(SEARCH(Validations!$N$2:$N$100 &amp; "" check"", W184)))), """")"),"")</f>
        <v/>
      </c>
      <c r="AB184" s="23" t="str">
        <f>IFERROR(__xludf.DUMMYFUNCTION("IFERROR(CONCATENATE(IF(ISNUMBER(SEARCH(Validations!$M$2:$M$100 &amp; "" spell save"", J184)),""Spell Save"",""""), REGEXEXTRACT(J184, ""DC (\d+)"")), """")"),"")</f>
        <v/>
      </c>
      <c r="AC184" s="24" t="b">
        <v>0</v>
      </c>
      <c r="AD184" s="24" t="b">
        <v>0</v>
      </c>
      <c r="AE184" s="36" t="s">
        <v>69</v>
      </c>
      <c r="AF184" s="25">
        <f>IFERROR(__xludf.DUMMYFUNCTION("IFERROR(VALUE(REGEXEXTRACT(AE184, ""\d+"")), 1)"),1.0)</f>
        <v>1</v>
      </c>
      <c r="AG184" s="12" t="str">
        <f>IFERROR(__xludf.DUMMYFUNCTION("IF(
  ISNUMBER(SEARCH(""Bonus Action"", AE184)),
  ""Bonus Action"",
  IF(
    ISNUMBER(SEARCH(""Reaction"", AE184)),
    ""Reaction"",
    IF(
      ISNUMBER(SEARCH(""Action"", AE184)),
      ""Action"",
      TEXTJOIN("", "", TRUE, FILTER(Validations!$S"&amp;"$2:$S$100, ISNUMBER(SEARCH(Validations!$S$2:$S$100, AE184))))
    )
  )
)"),"Action")</f>
        <v>Action</v>
      </c>
      <c r="AH184" s="36"/>
      <c r="AI184" s="20" t="s">
        <v>92</v>
      </c>
      <c r="AJ184" s="26" t="str">
        <f>IFERROR(__xludf.DUMMYFUNCTION("TEXTJOIN("", "", TRUE, FILTER(Validations!$T$2:$T$100, ISNUMBER(SEARCH(Validations!$T$2:$T$100, AI184))))"),"")</f>
        <v/>
      </c>
      <c r="AK184" s="26">
        <f>IFERROR(__xludf.DUMMYFUNCTION("IFERROR(VALUE(REGEXEXTRACT(AI184, ""\d+"")), """")"),1.0)</f>
        <v>1</v>
      </c>
      <c r="AL184" s="26" t="str">
        <f>IFERROR(__xludf.DUMMYFUNCTION("TEXTJOIN("", "", TRUE, FILTER(Validations!$U$2:$U$100, ISNUMBER(SEARCH(Validations!$U$2:$U$100, AI184))))"),"Minutes")</f>
        <v>Minutes</v>
      </c>
      <c r="AM184" s="24" t="b">
        <f t="shared" si="1"/>
        <v>0</v>
      </c>
      <c r="AN184" s="24" t="b">
        <v>1</v>
      </c>
      <c r="AO184" s="22" t="s">
        <v>440</v>
      </c>
      <c r="AP184" s="12" t="str">
        <f>IFERROR(__xludf.DUMMYFUNCTION("IF(TEXTJOIN("", "", TRUE, FILTER(Validations!$Q$2:$Q$100, ISNUMBER(SEARCH(Validations!$Q$2:$Q$100, AO184)))) = """", Validations!$Q$2, TEXTJOIN("", "", TRUE, FILTER(Validations!$Q$2:$Q$100, ISNUMBER(SEARCH(Validations!$Q$2:$Q$100, AO184)))))"),"Point")</f>
        <v>Point</v>
      </c>
      <c r="AQ184" s="12">
        <f>IFERROR(__xludf.DUMMYFUNCTION("IFERROR(VALUE(REGEXEXTRACT(AO184, ""\d+"")), """")"),60.0)</f>
        <v>60</v>
      </c>
      <c r="AR184" s="12" t="str">
        <f>IFERROR(__xludf.DUMMYFUNCTION("TEXTJOIN("", "", TRUE, FILTER(Validations!$R$2:$R$100, ISNUMBER(SEARCH(Validations!$R$2:$R$100, AO184))))"),"Feet")</f>
        <v>Feet</v>
      </c>
      <c r="AS184" s="27"/>
      <c r="AT184" s="12" t="str">
        <f>IFERROR(__xludf.DUMMYFUNCTION("IFERROR(TEXTJOIN("", "", TRUE, FILTER(Validations!$I$2:$I$100, ISNUMBER(SEARCH(Validations!$I$2:$I$100, AS184)))), """")"),"")</f>
        <v/>
      </c>
      <c r="AU184" s="16" t="str">
        <f t="array" ref="AU184">IFERROR(INDEX(Validations!$J$2:$J$100, MATCH(TRUE, ISNUMBER(SEARCH(Validations!$I$2:$I$100, AT184)), 0)), "")</f>
        <v/>
      </c>
      <c r="AV184" s="12" t="str">
        <f>IFERROR(__xludf.DUMMYFUNCTION("IFERROR(VALUE(REGEXEXTRACT(AS184, ""\d+"")), """")"),"")</f>
        <v/>
      </c>
      <c r="AW184" s="12" t="str">
        <f>IFERROR(__xludf.DUMMYFUNCTION("IFERROR(TEXTJOIN("", "", TRUE, FILTER(Validations!$Q$2:$Q$100, ISNUMBER(SEARCH(Validations!$Q$2:$Q$100, AS184)))), """")"),"")</f>
        <v/>
      </c>
      <c r="AX184" s="28" t="s">
        <v>152</v>
      </c>
      <c r="AY184" s="28" t="str">
        <f>IFERROR(__xludf.DUMMYFUNCTION("TEXTJOIN("", "", TRUE, FILTER(Validations!$Y$2:$Y$100, ISNUMBER(SEARCH(Validations!$X$2:$X$100, AX184))))"),"V, S, R")</f>
        <v>V, S, R</v>
      </c>
      <c r="AZ184" s="20" t="s">
        <v>890</v>
      </c>
      <c r="BA184" s="22"/>
      <c r="BB184" s="22"/>
      <c r="BC184" s="22"/>
      <c r="BD184" s="22"/>
      <c r="BE184" s="27"/>
      <c r="BF184" s="22"/>
      <c r="BG184" s="27"/>
      <c r="BH184" s="27"/>
      <c r="BI184" s="12" t="str">
        <f>IFERROR(__xludf.DUMMYFUNCTION("IFERROR(TEXTJOIN("", "", TRUE, FILTER(SRD!$A$2:$A$1000, EXACT(SRD!$A$2:$A$1000, J184))), """")"),"")</f>
        <v/>
      </c>
      <c r="BJ184" s="29"/>
      <c r="BK184" s="29"/>
    </row>
    <row r="185" ht="15.75" customHeight="1">
      <c r="A185" s="38" t="s">
        <v>891</v>
      </c>
      <c r="B185" s="12"/>
      <c r="C185" s="13"/>
      <c r="D185" s="13" t="s">
        <v>62</v>
      </c>
      <c r="E185" s="13"/>
      <c r="F185" s="14" t="s">
        <v>443</v>
      </c>
      <c r="G185" s="50" t="s">
        <v>672</v>
      </c>
      <c r="H185" s="16" t="s">
        <v>103</v>
      </c>
      <c r="I185" s="16" t="str">
        <f t="array" ref="I185">INDEX(Validations!$C$2:$C$100, MATCH(TRUE, ISNUMBER(SEARCH(Validations!$B$2:$B$100, H185)), 0))</f>
        <v>C</v>
      </c>
      <c r="J185" s="17" t="s">
        <v>892</v>
      </c>
      <c r="K185" s="18"/>
      <c r="L185" s="17"/>
      <c r="M185" s="37"/>
      <c r="N185" s="20" t="s">
        <v>893</v>
      </c>
      <c r="O185" s="17" t="s">
        <v>894</v>
      </c>
      <c r="P185" s="21"/>
      <c r="Q185" s="21"/>
      <c r="R185" s="22"/>
      <c r="S185" s="17" t="str">
        <f>IFERROR(__xludf.DUMMYFUNCTION("IFERROR(REGEXEXTRACT(J185, ""(\d{1,3}[dD]\d{1,3})""), """")"),"")</f>
        <v/>
      </c>
      <c r="T185" s="17" t="str">
        <f>IFERROR(__xludf.DUMMYFUNCTION("IF(COUNTIF(ARRAYFORMULA(LOWER(Validations!$O$2:$O$100)), LOWER(REGEXEXTRACT(J185, ""\d{1,3}[dD]\d{1,3}\s+(\w+)"")))&gt;0, REGEXEXTRACT(J185, ""\d{1,3}[dD]\d{1,3}\s+(\w+)""), """")"),"")</f>
        <v/>
      </c>
      <c r="U185" s="17" t="str">
        <f>IFERROR(__xludf.DUMMYFUNCTION("IF(COUNTIF(ARRAYFORMULA(LOWER(Validations!$P$2:$P$100)), LOWER(REGEXEXTRACT(J185, ""\d{1,3}[dD]\d{1,3}\s+(\w+)"")))&gt;0, REGEXEXTRACT(J185, ""\d{1,3}[dD]\d{1,3}\s+(\w+)""), """")"),"")</f>
        <v/>
      </c>
      <c r="V185" s="12" t="str">
        <f>IFERROR(__xludf.DUMMYFUNCTION("TEXTJOIN("", "", TRUE, FILTER(Validations!$L$2:$L$100, ISNUMBER(SEARCH(Validations!$L$2:$L$100, J185))))"),"Invisible")</f>
        <v>Invisible</v>
      </c>
      <c r="W185" s="12" t="str">
        <f>IFERROR(__xludf.DUMMYFUNCTION("IFERROR(TEXTJOIN("", "", TRUE, FILTER(Validations!$M$2:$M$100, ISNUMBER(SEARCH(Validations!$M$2:$M$100 &amp; "" saving throw"", J185)))), """")"),"")</f>
        <v/>
      </c>
      <c r="X185" s="12"/>
      <c r="Y185" s="12"/>
      <c r="Z185" s="12" t="str">
        <f>IFERROR(__xludf.DUMMYFUNCTION("IFERROR(TEXTJOIN("", "", TRUE, FILTER(Validations!$N$2:$N$100, ISNUMBER(SEARCH(Validations!$N$2:$N$100 &amp; "" check"", J185)))), """")"),"")</f>
        <v/>
      </c>
      <c r="AA185" s="12" t="str">
        <f>IFERROR(__xludf.DUMMYFUNCTION("IFERROR(TEXTJOIN("", "", TRUE, FILTER(Validations!$N$2:$N$100, ISNUMBER(SEARCH(Validations!$N$2:$N$100 &amp; "" check"", W185)))), """")"),"")</f>
        <v/>
      </c>
      <c r="AB185" s="23" t="str">
        <f>IFERROR(__xludf.DUMMYFUNCTION("IFERROR(CONCATENATE(IF(ISNUMBER(SEARCH(Validations!$M$2:$M$100 &amp; "" spell save"", J185)),""Spell Save"",""""), REGEXEXTRACT(J185, ""DC (\d+)"")), """")"),"")</f>
        <v/>
      </c>
      <c r="AC185" s="24" t="b">
        <v>0</v>
      </c>
      <c r="AD185" s="24" t="b">
        <v>0</v>
      </c>
      <c r="AE185" s="36" t="s">
        <v>208</v>
      </c>
      <c r="AF185" s="25">
        <f>IFERROR(__xludf.DUMMYFUNCTION("IFERROR(VALUE(REGEXEXTRACT(AE185, ""\d+"")), 1)"),1.0)</f>
        <v>1</v>
      </c>
      <c r="AG185" s="12" t="str">
        <f>IFERROR(__xludf.DUMMYFUNCTION("IF(
  ISNUMBER(SEARCH(""Bonus Action"", AE185)),
  ""Bonus Action"",
  IF(
    ISNUMBER(SEARCH(""Reaction"", AE185)),
    ""Reaction"",
    IF(
      ISNUMBER(SEARCH(""Action"", AE185)),
      ""Action"",
      TEXTJOIN("", "", TRUE, FILTER(Validations!$S"&amp;"$2:$S$100, ISNUMBER(SEARCH(Validations!$S$2:$S$100, AE185))))
    )
  )
)"),"Reaction")</f>
        <v>Reaction</v>
      </c>
      <c r="AH185" s="36" t="s">
        <v>895</v>
      </c>
      <c r="AI185" s="26" t="s">
        <v>70</v>
      </c>
      <c r="AJ185" s="26" t="str">
        <f>IFERROR(__xludf.DUMMYFUNCTION("TEXTJOIN("", "", TRUE, FILTER(Validations!$T$2:$T$100, ISNUMBER(SEARCH(Validations!$T$2:$T$100, AI185))))"),"Instantaneous")</f>
        <v>Instantaneous</v>
      </c>
      <c r="AK185" s="26" t="str">
        <f>IFERROR(__xludf.DUMMYFUNCTION("IFERROR(VALUE(REGEXEXTRACT(AI185, ""\d+"")), """")"),"")</f>
        <v/>
      </c>
      <c r="AL185" s="26" t="str">
        <f>IFERROR(__xludf.DUMMYFUNCTION("TEXTJOIN("", "", TRUE, FILTER(Validations!$U$2:$U$100, ISNUMBER(SEARCH(Validations!$U$2:$U$100, AI185))))"),"")</f>
        <v/>
      </c>
      <c r="AM185" s="24" t="b">
        <f t="shared" si="1"/>
        <v>0</v>
      </c>
      <c r="AN185" s="24" t="b">
        <v>0</v>
      </c>
      <c r="AO185" s="36" t="s">
        <v>440</v>
      </c>
      <c r="AP185" s="12" t="str">
        <f>IFERROR(__xludf.DUMMYFUNCTION("IF(TEXTJOIN("", "", TRUE, FILTER(Validations!$Q$2:$Q$100, ISNUMBER(SEARCH(Validations!$Q$2:$Q$100, AO185)))) = """", Validations!$Q$2, TEXTJOIN("", "", TRUE, FILTER(Validations!$Q$2:$Q$100, ISNUMBER(SEARCH(Validations!$Q$2:$Q$100, AO185)))))"),"Point")</f>
        <v>Point</v>
      </c>
      <c r="AQ185" s="12">
        <f>IFERROR(__xludf.DUMMYFUNCTION("IFERROR(VALUE(REGEXEXTRACT(AO185, ""\d+"")), """")"),60.0)</f>
        <v>60</v>
      </c>
      <c r="AR185" s="12" t="str">
        <f>IFERROR(__xludf.DUMMYFUNCTION("TEXTJOIN("", "", TRUE, FILTER(Validations!$R$2:$R$100, ISNUMBER(SEARCH(Validations!$R$2:$R$100, AO185))))"),"Feet")</f>
        <v>Feet</v>
      </c>
      <c r="AS185" s="27"/>
      <c r="AT185" s="12" t="str">
        <f>IFERROR(__xludf.DUMMYFUNCTION("IFERROR(TEXTJOIN("", "", TRUE, FILTER(Validations!$I$2:$I$100, ISNUMBER(SEARCH(Validations!$I$2:$I$100, AS185)))), """")"),"")</f>
        <v/>
      </c>
      <c r="AU185" s="16" t="str">
        <f t="array" ref="AU185">IFERROR(INDEX(Validations!$J$2:$J$100, MATCH(TRUE, ISNUMBER(SEARCH(Validations!$I$2:$I$100, AT185)), 0)), "")</f>
        <v/>
      </c>
      <c r="AV185" s="12" t="str">
        <f>IFERROR(__xludf.DUMMYFUNCTION("IFERROR(VALUE(REGEXEXTRACT(AS185, ""\d+"")), """")"),"")</f>
        <v/>
      </c>
      <c r="AW185" s="12" t="str">
        <f>IFERROR(__xludf.DUMMYFUNCTION("IFERROR(TEXTJOIN("", "", TRUE, FILTER(Validations!$Q$2:$Q$100, ISNUMBER(SEARCH(Validations!$Q$2:$Q$100, AS185)))), """")"),"")</f>
        <v/>
      </c>
      <c r="AX185" s="28" t="s">
        <v>256</v>
      </c>
      <c r="AY185" s="28" t="str">
        <f>IFERROR(__xludf.DUMMYFUNCTION("TEXTJOIN("", "", TRUE, FILTER(Validations!$Y$2:$Y$100, ISNUMBER(SEARCH(Validations!$X$2:$X$100, AX185))))"),"V, R")</f>
        <v>V, R</v>
      </c>
      <c r="AZ185" s="20" t="s">
        <v>896</v>
      </c>
      <c r="BA185" s="12"/>
      <c r="BB185" s="22"/>
      <c r="BC185" s="22"/>
      <c r="BD185" s="22"/>
      <c r="BE185" s="27"/>
      <c r="BF185" s="28" t="s">
        <v>897</v>
      </c>
      <c r="BG185" s="27"/>
      <c r="BH185" s="27"/>
      <c r="BI185" s="12" t="str">
        <f>IFERROR(__xludf.DUMMYFUNCTION("IFERROR(TEXTJOIN("", "", TRUE, FILTER(SRD!$A$2:$A$1000, EXACT(SRD!$A$2:$A$1000, J185))), """")"),"")</f>
        <v/>
      </c>
      <c r="BJ185" s="29"/>
      <c r="BK185" s="29"/>
    </row>
    <row r="186" ht="15.75" customHeight="1">
      <c r="A186" s="30" t="s">
        <v>898</v>
      </c>
      <c r="B186" s="22"/>
      <c r="C186" s="31"/>
      <c r="D186" s="31" t="s">
        <v>74</v>
      </c>
      <c r="E186" s="31"/>
      <c r="F186" s="32" t="s">
        <v>199</v>
      </c>
      <c r="G186" s="50" t="s">
        <v>672</v>
      </c>
      <c r="H186" s="31" t="s">
        <v>178</v>
      </c>
      <c r="I186" s="16" t="str">
        <f t="array" ref="I186">INDEX(Validations!$C$2:$C$100, MATCH(TRUE, ISNUMBER(SEARCH(Validations!$B$2:$B$100, H186)), 0))</f>
        <v>A</v>
      </c>
      <c r="J186" s="17" t="s">
        <v>899</v>
      </c>
      <c r="K186" s="18"/>
      <c r="L186" s="17"/>
      <c r="M186" s="17"/>
      <c r="N186" s="27"/>
      <c r="O186" s="17"/>
      <c r="P186" s="21"/>
      <c r="Q186" s="21"/>
      <c r="R186" s="22"/>
      <c r="S186" s="17" t="str">
        <f>IFERROR(__xludf.DUMMYFUNCTION("IFERROR(REGEXEXTRACT(J186, ""(\d{1,3}[dD]\d{1,3})""), """")"),"")</f>
        <v/>
      </c>
      <c r="T186" s="17" t="str">
        <f>IFERROR(__xludf.DUMMYFUNCTION("IF(COUNTIF(ARRAYFORMULA(LOWER(Validations!$O$2:$O$100)), LOWER(REGEXEXTRACT(J186, ""\d{1,3}[dD]\d{1,3}\s+(\w+)"")))&gt;0, REGEXEXTRACT(J186, ""\d{1,3}[dD]\d{1,3}\s+(\w+)""), """")"),"")</f>
        <v/>
      </c>
      <c r="U186" s="17" t="str">
        <f>IFERROR(__xludf.DUMMYFUNCTION("IF(COUNTIF(ARRAYFORMULA(LOWER(Validations!$P$2:$P$100)), LOWER(REGEXEXTRACT(J186, ""\d{1,3}[dD]\d{1,3}\s+(\w+)"")))&gt;0, REGEXEXTRACT(J186, ""\d{1,3}[dD]\d{1,3}\s+(\w+)""), """")"),"")</f>
        <v/>
      </c>
      <c r="V186" s="12" t="str">
        <f>IFERROR(__xludf.DUMMYFUNCTION("TEXTJOIN("", "", TRUE, FILTER(Validations!$L$2:$L$100, ISNUMBER(SEARCH(Validations!$L$2:$L$100, J186))))"),"")</f>
        <v/>
      </c>
      <c r="W186" s="12" t="str">
        <f>IFERROR(__xludf.DUMMYFUNCTION("IFERROR(TEXTJOIN("", "", TRUE, FILTER(Validations!$M$2:$M$100, ISNUMBER(SEARCH(Validations!$M$2:$M$100 &amp; "" saving throw"", J186)))), """")"),"Dexterity")</f>
        <v>Dexterity</v>
      </c>
      <c r="X186" s="12"/>
      <c r="Y186" s="12"/>
      <c r="Z186" s="12" t="str">
        <f>IFERROR(__xludf.DUMMYFUNCTION("IFERROR(TEXTJOIN("", "", TRUE, FILTER(Validations!$N$2:$N$100, ISNUMBER(SEARCH(Validations!$N$2:$N$100 &amp; "" check"", J186)))), """")"),"")</f>
        <v/>
      </c>
      <c r="AA186" s="12" t="str">
        <f>IFERROR(__xludf.DUMMYFUNCTION("IFERROR(TEXTJOIN("", "", TRUE, FILTER(Validations!$N$2:$N$100, ISNUMBER(SEARCH(Validations!$N$2:$N$100 &amp; "" check"", W186)))), """")"),"")</f>
        <v/>
      </c>
      <c r="AB186" s="23" t="str">
        <f>IFERROR(__xludf.DUMMYFUNCTION("IFERROR(CONCATENATE(IF(ISNUMBER(SEARCH(Validations!$M$2:$M$100 &amp; "" spell save"", J186)),""Spell Save"",""""), REGEXEXTRACT(J186, ""DC (\d+)"")), """")"),"")</f>
        <v/>
      </c>
      <c r="AC186" s="24" t="b">
        <v>0</v>
      </c>
      <c r="AD186" s="24" t="b">
        <v>0</v>
      </c>
      <c r="AE186" s="36" t="s">
        <v>69</v>
      </c>
      <c r="AF186" s="25">
        <f>IFERROR(__xludf.DUMMYFUNCTION("IFERROR(VALUE(REGEXEXTRACT(AE186, ""\d+"")), 1)"),1.0)</f>
        <v>1</v>
      </c>
      <c r="AG186" s="12" t="str">
        <f>IFERROR(__xludf.DUMMYFUNCTION("IF(
  ISNUMBER(SEARCH(""Bonus Action"", AE186)),
  ""Bonus Action"",
  IF(
    ISNUMBER(SEARCH(""Reaction"", AE186)),
    ""Reaction"",
    IF(
      ISNUMBER(SEARCH(""Action"", AE186)),
      ""Action"",
      TEXTJOIN("", "", TRUE, FILTER(Validations!$S"&amp;"$2:$S$100, ISNUMBER(SEARCH(Validations!$S$2:$S$100, AE186))))
    )
  )
)"),"Action")</f>
        <v>Action</v>
      </c>
      <c r="AH186" s="36"/>
      <c r="AI186" s="20" t="s">
        <v>92</v>
      </c>
      <c r="AJ186" s="26" t="str">
        <f>IFERROR(__xludf.DUMMYFUNCTION("TEXTJOIN("", "", TRUE, FILTER(Validations!$T$2:$T$100, ISNUMBER(SEARCH(Validations!$T$2:$T$100, AI186))))"),"")</f>
        <v/>
      </c>
      <c r="AK186" s="26">
        <f>IFERROR(__xludf.DUMMYFUNCTION("IFERROR(VALUE(REGEXEXTRACT(AI186, ""\d+"")), """")"),1.0)</f>
        <v>1</v>
      </c>
      <c r="AL186" s="26" t="str">
        <f>IFERROR(__xludf.DUMMYFUNCTION("TEXTJOIN("", "", TRUE, FILTER(Validations!$U$2:$U$100, ISNUMBER(SEARCH(Validations!$U$2:$U$100, AI186))))"),"Minutes")</f>
        <v>Minutes</v>
      </c>
      <c r="AM186" s="24" t="b">
        <f t="shared" si="1"/>
        <v>0</v>
      </c>
      <c r="AN186" s="24" t="b">
        <v>0</v>
      </c>
      <c r="AO186" s="22" t="s">
        <v>112</v>
      </c>
      <c r="AP186" s="12" t="str">
        <f>IFERROR(__xludf.DUMMYFUNCTION("IF(TEXTJOIN("", "", TRUE, FILTER(Validations!$Q$2:$Q$100, ISNUMBER(SEARCH(Validations!$Q$2:$Q$100, AO186)))) = """", Validations!$Q$2, TEXTJOIN("", "", TRUE, FILTER(Validations!$Q$2:$Q$100, ISNUMBER(SEARCH(Validations!$Q$2:$Q$100, AO186)))))"),"Point")</f>
        <v>Point</v>
      </c>
      <c r="AQ186" s="12">
        <f>IFERROR(__xludf.DUMMYFUNCTION("IFERROR(VALUE(REGEXEXTRACT(AO186, ""\d+"")), """")"),30.0)</f>
        <v>30</v>
      </c>
      <c r="AR186" s="12" t="str">
        <f>IFERROR(__xludf.DUMMYFUNCTION("TEXTJOIN("", "", TRUE, FILTER(Validations!$R$2:$R$100, ISNUMBER(SEARCH(Validations!$R$2:$R$100, AO186))))"),"Feet")</f>
        <v>Feet</v>
      </c>
      <c r="AS186" s="27"/>
      <c r="AT186" s="12" t="str">
        <f>IFERROR(__xludf.DUMMYFUNCTION("IFERROR(TEXTJOIN("", "", TRUE, FILTER(Validations!$I$2:$I$100, ISNUMBER(SEARCH(Validations!$I$2:$I$100, AS186)))), """")"),"")</f>
        <v/>
      </c>
      <c r="AU186" s="16" t="str">
        <f t="array" ref="AU186">IFERROR(INDEX(Validations!$J$2:$J$100, MATCH(TRUE, ISNUMBER(SEARCH(Validations!$I$2:$I$100, AT186)), 0)), "")</f>
        <v/>
      </c>
      <c r="AV186" s="12" t="str">
        <f>IFERROR(__xludf.DUMMYFUNCTION("IFERROR(VALUE(REGEXEXTRACT(AS186, ""\d+"")), """")"),"")</f>
        <v/>
      </c>
      <c r="AW186" s="12" t="str">
        <f>IFERROR(__xludf.DUMMYFUNCTION("IFERROR(TEXTJOIN("", "", TRUE, FILTER(Validations!$Q$2:$Q$100, ISNUMBER(SEARCH(Validations!$Q$2:$Q$100, AS186)))), """")"),"")</f>
        <v/>
      </c>
      <c r="AX186" s="28" t="s">
        <v>152</v>
      </c>
      <c r="AY186" s="28" t="str">
        <f>IFERROR(__xludf.DUMMYFUNCTION("TEXTJOIN("", "", TRUE, FILTER(Validations!$Y$2:$Y$100, ISNUMBER(SEARCH(Validations!$X$2:$X$100, AX186))))"),"V, S, R")</f>
        <v>V, S, R</v>
      </c>
      <c r="AZ186" s="20" t="s">
        <v>900</v>
      </c>
      <c r="BA186" s="22"/>
      <c r="BB186" s="22"/>
      <c r="BC186" s="22"/>
      <c r="BD186" s="22"/>
      <c r="BE186" s="27"/>
      <c r="BF186" s="22"/>
      <c r="BG186" s="27"/>
      <c r="BH186" s="27"/>
      <c r="BI186" s="12" t="str">
        <f>IFERROR(__xludf.DUMMYFUNCTION("IFERROR(TEXTJOIN("", "", TRUE, FILTER(SRD!$A$2:$A$1000, EXACT(SRD!$A$2:$A$1000, J186))), """")"),"")</f>
        <v/>
      </c>
      <c r="BJ186" s="29"/>
      <c r="BK186" s="29"/>
    </row>
    <row r="187" ht="15.75" customHeight="1">
      <c r="A187" s="38" t="s">
        <v>901</v>
      </c>
      <c r="B187" s="12"/>
      <c r="C187" s="13"/>
      <c r="D187" s="13" t="s">
        <v>902</v>
      </c>
      <c r="E187" s="13"/>
      <c r="F187" s="14" t="s">
        <v>123</v>
      </c>
      <c r="G187" s="50" t="s">
        <v>672</v>
      </c>
      <c r="H187" s="31" t="s">
        <v>85</v>
      </c>
      <c r="I187" s="16" t="str">
        <f t="array" ref="I187">INDEX(Validations!$C$2:$C$100, MATCH(TRUE, ISNUMBER(SEARCH(Validations!$B$2:$B$100, H187)), 0))</f>
        <v>T</v>
      </c>
      <c r="J187" s="17" t="s">
        <v>903</v>
      </c>
      <c r="K187" s="18"/>
      <c r="L187" s="17"/>
      <c r="M187" s="37"/>
      <c r="N187" s="20" t="s">
        <v>904</v>
      </c>
      <c r="O187" s="17" t="s">
        <v>905</v>
      </c>
      <c r="P187" s="21"/>
      <c r="Q187" s="21"/>
      <c r="R187" s="22"/>
      <c r="S187" s="17" t="str">
        <f>IFERROR(__xludf.DUMMYFUNCTION("IFERROR(REGEXEXTRACT(J187, ""(\d{1,3}[dD]\d{1,3})""), """")"),"1d4")</f>
        <v>1d4</v>
      </c>
      <c r="T187" s="17" t="str">
        <f>IFERROR(__xludf.DUMMYFUNCTION("IF(COUNTIF(ARRAYFORMULA(LOWER(Validations!$O$2:$O$100)), LOWER(REGEXEXTRACT(J187, ""\d{1,3}[dD]\d{1,3}\s+(\w+)"")))&gt;0, REGEXEXTRACT(J187, ""\d{1,3}[dD]\d{1,3}\s+(\w+)""), """")"),"cognitive")</f>
        <v>cognitive</v>
      </c>
      <c r="U187" s="17" t="str">
        <f>IFERROR(__xludf.DUMMYFUNCTION("IF(COUNTIF(ARRAYFORMULA(LOWER(Validations!$P$2:$P$100)), LOWER(REGEXEXTRACT(J187, ""\d{1,3}[dD]\d{1,3}\s+(\w+)"")))&gt;0, REGEXEXTRACT(J187, ""\d{1,3}[dD]\d{1,3}\s+(\w+)""), """")"),"")</f>
        <v/>
      </c>
      <c r="V187" s="12" t="str">
        <f>IFERROR(__xludf.DUMMYFUNCTION("TEXTJOIN("", "", TRUE, FILTER(Validations!$L$2:$L$100, ISNUMBER(SEARCH(Validations!$L$2:$L$100, J187))))"),"")</f>
        <v/>
      </c>
      <c r="W187" s="12" t="str">
        <f>IFERROR(__xludf.DUMMYFUNCTION("IFERROR(TEXTJOIN("", "", TRUE, FILTER(Validations!$M$2:$M$100, ISNUMBER(SEARCH(Validations!$M$2:$M$100 &amp; "" saving throw"", J187)))), """")"),"Constitution")</f>
        <v>Constitution</v>
      </c>
      <c r="X187" s="12"/>
      <c r="Y187" s="12"/>
      <c r="Z187" s="12" t="str">
        <f>IFERROR(__xludf.DUMMYFUNCTION("IFERROR(TEXTJOIN("", "", TRUE, FILTER(Validations!$N$2:$N$100, ISNUMBER(SEARCH(Validations!$N$2:$N$100 &amp; "" check"", J187)))), """")"),"")</f>
        <v/>
      </c>
      <c r="AA187" s="12" t="str">
        <f>IFERROR(__xludf.DUMMYFUNCTION("IFERROR(TEXTJOIN("", "", TRUE, FILTER(Validations!$N$2:$N$100, ISNUMBER(SEARCH(Validations!$N$2:$N$100 &amp; "" check"", W187)))), """")"),"")</f>
        <v/>
      </c>
      <c r="AB187" s="23" t="str">
        <f>IFERROR(__xludf.DUMMYFUNCTION("IFERROR(CONCATENATE(IF(ISNUMBER(SEARCH(Validations!$M$2:$M$100 &amp; "" spell save"", J187)),""Spell Save"",""""), REGEXEXTRACT(J187, ""DC (\d+)"")), """")"),"")</f>
        <v/>
      </c>
      <c r="AC187" s="24" t="b">
        <v>0</v>
      </c>
      <c r="AD187" s="24" t="b">
        <v>0</v>
      </c>
      <c r="AE187" s="12" t="s">
        <v>69</v>
      </c>
      <c r="AF187" s="25">
        <f>IFERROR(__xludf.DUMMYFUNCTION("IFERROR(VALUE(REGEXEXTRACT(AE187, ""\d+"")), 1)"),1.0)</f>
        <v>1</v>
      </c>
      <c r="AG187" s="12" t="str">
        <f>IFERROR(__xludf.DUMMYFUNCTION("IF(
  ISNUMBER(SEARCH(""Bonus Action"", AE187)),
  ""Bonus Action"",
  IF(
    ISNUMBER(SEARCH(""Reaction"", AE187)),
    ""Reaction"",
    IF(
      ISNUMBER(SEARCH(""Action"", AE187)),
      ""Action"",
      TEXTJOIN("", "", TRUE, FILTER(Validations!$S"&amp;"$2:$S$100, ISNUMBER(SEARCH(Validations!$S$2:$S$100, AE187))))
    )
  )
)"),"Action")</f>
        <v>Action</v>
      </c>
      <c r="AH187" s="12"/>
      <c r="AI187" s="26" t="s">
        <v>70</v>
      </c>
      <c r="AJ187" s="26" t="str">
        <f>IFERROR(__xludf.DUMMYFUNCTION("TEXTJOIN("", "", TRUE, FILTER(Validations!$T$2:$T$100, ISNUMBER(SEARCH(Validations!$T$2:$T$100, AI187))))"),"Instantaneous")</f>
        <v>Instantaneous</v>
      </c>
      <c r="AK187" s="26" t="str">
        <f>IFERROR(__xludf.DUMMYFUNCTION("IFERROR(VALUE(REGEXEXTRACT(AI187, ""\d+"")), """")"),"")</f>
        <v/>
      </c>
      <c r="AL187" s="26" t="str">
        <f>IFERROR(__xludf.DUMMYFUNCTION("TEXTJOIN("", "", TRUE, FILTER(Validations!$U$2:$U$100, ISNUMBER(SEARCH(Validations!$U$2:$U$100, AI187))))"),"")</f>
        <v/>
      </c>
      <c r="AM187" s="24" t="b">
        <f t="shared" si="1"/>
        <v>0</v>
      </c>
      <c r="AN187" s="24" t="b">
        <v>0</v>
      </c>
      <c r="AO187" s="12" t="s">
        <v>78</v>
      </c>
      <c r="AP187" s="12" t="str">
        <f>IFERROR(__xludf.DUMMYFUNCTION("IF(TEXTJOIN("", "", TRUE, FILTER(Validations!$Q$2:$Q$100, ISNUMBER(SEARCH(Validations!$Q$2:$Q$100, AO187)))) = """", Validations!$Q$2, TEXTJOIN("", "", TRUE, FILTER(Validations!$Q$2:$Q$100, ISNUMBER(SEARCH(Validations!$Q$2:$Q$100, AO187)))))"),"Point")</f>
        <v>Point</v>
      </c>
      <c r="AQ187" s="12" t="str">
        <f>IFERROR(__xludf.DUMMYFUNCTION("IFERROR(VALUE(REGEXEXTRACT(AO187, ""\d+"")), """")"),"")</f>
        <v/>
      </c>
      <c r="AR187" s="12" t="str">
        <f>IFERROR(__xludf.DUMMYFUNCTION("TEXTJOIN("", "", TRUE, FILTER(Validations!$R$2:$R$100, ISNUMBER(SEARCH(Validations!$R$2:$R$100, AO187))))"),"Self")</f>
        <v>Self</v>
      </c>
      <c r="AS187" s="27"/>
      <c r="AT187" s="12" t="str">
        <f>IFERROR(__xludf.DUMMYFUNCTION("IFERROR(TEXTJOIN("", "", TRUE, FILTER(Validations!$I$2:$I$100, ISNUMBER(SEARCH(Validations!$I$2:$I$100, AS187)))), """")"),"")</f>
        <v/>
      </c>
      <c r="AU187" s="16" t="str">
        <f t="array" ref="AU187">IFERROR(INDEX(Validations!$J$2:$J$100, MATCH(TRUE, ISNUMBER(SEARCH(Validations!$I$2:$I$100, AT187)), 0)), "")</f>
        <v/>
      </c>
      <c r="AV187" s="12" t="str">
        <f>IFERROR(__xludf.DUMMYFUNCTION("IFERROR(VALUE(REGEXEXTRACT(AS187, ""\d+"")), """")"),"")</f>
        <v/>
      </c>
      <c r="AW187" s="12" t="str">
        <f>IFERROR(__xludf.DUMMYFUNCTION("IFERROR(TEXTJOIN("", "", TRUE, FILTER(Validations!$Q$2:$Q$100, ISNUMBER(SEARCH(Validations!$Q$2:$Q$100, AS187)))), """")"),"")</f>
        <v/>
      </c>
      <c r="AX187" s="28" t="s">
        <v>106</v>
      </c>
      <c r="AY187" s="28" t="str">
        <f>IFERROR(__xludf.DUMMYFUNCTION("TEXTJOIN("", "", TRUE, FILTER(Validations!$Y$2:$Y$100, ISNUMBER(SEARCH(Validations!$X$2:$X$100, AX187))))"),"S")</f>
        <v>S</v>
      </c>
      <c r="AZ187" s="26"/>
      <c r="BA187" s="12"/>
      <c r="BB187" s="22"/>
      <c r="BC187" s="22"/>
      <c r="BD187" s="22"/>
      <c r="BE187" s="27"/>
      <c r="BF187" s="22"/>
      <c r="BG187" s="27"/>
      <c r="BH187" s="27"/>
      <c r="BI187" s="12" t="str">
        <f>IFERROR(__xludf.DUMMYFUNCTION("IFERROR(TEXTJOIN("", "", TRUE, FILTER(SRD!$A$2:$A$1000, EXACT(SRD!$A$2:$A$1000, J187))), """")"),"")</f>
        <v/>
      </c>
      <c r="BJ187" s="29"/>
      <c r="BK187" s="29"/>
    </row>
    <row r="188" ht="15.75" customHeight="1">
      <c r="A188" s="30" t="s">
        <v>906</v>
      </c>
      <c r="B188" s="22"/>
      <c r="C188" s="31"/>
      <c r="D188" s="31" t="s">
        <v>74</v>
      </c>
      <c r="E188" s="31"/>
      <c r="F188" s="32" t="s">
        <v>493</v>
      </c>
      <c r="G188" s="50" t="s">
        <v>672</v>
      </c>
      <c r="H188" s="16" t="s">
        <v>103</v>
      </c>
      <c r="I188" s="16" t="str">
        <f t="array" ref="I188">INDEX(Validations!$C$2:$C$100, MATCH(TRUE, ISNUMBER(SEARCH(Validations!$B$2:$B$100, H188)), 0))</f>
        <v>C</v>
      </c>
      <c r="J188" s="17" t="s">
        <v>907</v>
      </c>
      <c r="K188" s="18"/>
      <c r="L188" s="17"/>
      <c r="M188" s="17"/>
      <c r="N188" s="27"/>
      <c r="O188" s="17"/>
      <c r="P188" s="21"/>
      <c r="Q188" s="21"/>
      <c r="R188" s="36" t="s">
        <v>908</v>
      </c>
      <c r="S188" s="17" t="str">
        <f>IFERROR(__xludf.DUMMYFUNCTION("IFERROR(REGEXEXTRACT(J188, ""(\d{1,3}[dD]\d{1,3})""), """")"),"")</f>
        <v/>
      </c>
      <c r="T188" s="17" t="str">
        <f>IFERROR(__xludf.DUMMYFUNCTION("IF(COUNTIF(ARRAYFORMULA(LOWER(Validations!$O$2:$O$100)), LOWER(REGEXEXTRACT(J188, ""\d{1,3}[dD]\d{1,3}\s+(\w+)"")))&gt;0, REGEXEXTRACT(J188, ""\d{1,3}[dD]\d{1,3}\s+(\w+)""), """")"),"")</f>
        <v/>
      </c>
      <c r="U188" s="17" t="str">
        <f>IFERROR(__xludf.DUMMYFUNCTION("IF(COUNTIF(ARRAYFORMULA(LOWER(Validations!$P$2:$P$100)), LOWER(REGEXEXTRACT(J188, ""\d{1,3}[dD]\d{1,3}\s+(\w+)"")))&gt;0, REGEXEXTRACT(J188, ""\d{1,3}[dD]\d{1,3}\s+(\w+)""), """")"),"")</f>
        <v/>
      </c>
      <c r="V188" s="12" t="str">
        <f>IFERROR(__xludf.DUMMYFUNCTION("TEXTJOIN("", "", TRUE, FILTER(Validations!$L$2:$L$100, ISNUMBER(SEARCH(Validations!$L$2:$L$100, J188))))"),"")</f>
        <v/>
      </c>
      <c r="W188" s="12" t="str">
        <f>IFERROR(__xludf.DUMMYFUNCTION("IFERROR(TEXTJOIN("", "", TRUE, FILTER(Validations!$M$2:$M$100, ISNUMBER(SEARCH(Validations!$M$2:$M$100 &amp; "" saving throw"", J188)))), """")"),"")</f>
        <v/>
      </c>
      <c r="X188" s="12"/>
      <c r="Y188" s="12"/>
      <c r="Z188" s="12" t="str">
        <f>IFERROR(__xludf.DUMMYFUNCTION("IFERROR(TEXTJOIN("", "", TRUE, FILTER(Validations!$N$2:$N$100, ISNUMBER(SEARCH(Validations!$N$2:$N$100 &amp; "" check"", J188)))), """")"),"")</f>
        <v/>
      </c>
      <c r="AA188" s="12" t="str">
        <f>IFERROR(__xludf.DUMMYFUNCTION("IFERROR(TEXTJOIN("", "", TRUE, FILTER(Validations!$N$2:$N$100, ISNUMBER(SEARCH(Validations!$N$2:$N$100 &amp; "" check"", W188)))), """")"),"")</f>
        <v/>
      </c>
      <c r="AB188" s="23" t="str">
        <f>IFERROR(__xludf.DUMMYFUNCTION("IFERROR(CONCATENATE(IF(ISNUMBER(SEARCH(Validations!$M$2:$M$100 &amp; "" spell save"", J188)),""Spell Save"",""""), REGEXEXTRACT(J188, ""DC (\d+)"")), """")"),"15")</f>
        <v>15</v>
      </c>
      <c r="AC188" s="24" t="b">
        <v>0</v>
      </c>
      <c r="AD188" s="24" t="b">
        <v>0</v>
      </c>
      <c r="AE188" s="36" t="s">
        <v>69</v>
      </c>
      <c r="AF188" s="25">
        <f>IFERROR(__xludf.DUMMYFUNCTION("IFERROR(VALUE(REGEXEXTRACT(AE188, ""\d+"")), 1)"),1.0)</f>
        <v>1</v>
      </c>
      <c r="AG188" s="12" t="str">
        <f>IFERROR(__xludf.DUMMYFUNCTION("IF(
  ISNUMBER(SEARCH(""Bonus Action"", AE188)),
  ""Bonus Action"",
  IF(
    ISNUMBER(SEARCH(""Reaction"", AE188)),
    ""Reaction"",
    IF(
      ISNUMBER(SEARCH(""Action"", AE188)),
      ""Action"",
      TEXTJOIN("", "", TRUE, FILTER(Validations!$S"&amp;"$2:$S$100, ISNUMBER(SEARCH(Validations!$S$2:$S$100, AE188))))
    )
  )
)"),"Action")</f>
        <v>Action</v>
      </c>
      <c r="AH188" s="36"/>
      <c r="AI188" s="20" t="s">
        <v>296</v>
      </c>
      <c r="AJ188" s="26" t="str">
        <f>IFERROR(__xludf.DUMMYFUNCTION("TEXTJOIN("", "", TRUE, FILTER(Validations!$T$2:$T$100, ISNUMBER(SEARCH(Validations!$T$2:$T$100, AI188))))"),"")</f>
        <v/>
      </c>
      <c r="AK188" s="26">
        <f>IFERROR(__xludf.DUMMYFUNCTION("IFERROR(VALUE(REGEXEXTRACT(AI188, ""\d+"")), """")"),1.0)</f>
        <v>1</v>
      </c>
      <c r="AL188" s="26" t="str">
        <f>IFERROR(__xludf.DUMMYFUNCTION("TEXTJOIN("", "", TRUE, FILTER(Validations!$U$2:$U$100, ISNUMBER(SEARCH(Validations!$U$2:$U$100, AI188))))"),"Hours")</f>
        <v>Hours</v>
      </c>
      <c r="AM188" s="24" t="b">
        <f t="shared" si="1"/>
        <v>0</v>
      </c>
      <c r="AN188" s="24" t="b">
        <v>0</v>
      </c>
      <c r="AO188" s="22" t="s">
        <v>112</v>
      </c>
      <c r="AP188" s="12" t="str">
        <f>IFERROR(__xludf.DUMMYFUNCTION("IF(TEXTJOIN("", "", TRUE, FILTER(Validations!$Q$2:$Q$100, ISNUMBER(SEARCH(Validations!$Q$2:$Q$100, AO188)))) = """", Validations!$Q$2, TEXTJOIN("", "", TRUE, FILTER(Validations!$Q$2:$Q$100, ISNUMBER(SEARCH(Validations!$Q$2:$Q$100, AO188)))))"),"Point")</f>
        <v>Point</v>
      </c>
      <c r="AQ188" s="12">
        <f>IFERROR(__xludf.DUMMYFUNCTION("IFERROR(VALUE(REGEXEXTRACT(AO188, ""\d+"")), """")"),30.0)</f>
        <v>30</v>
      </c>
      <c r="AR188" s="12" t="str">
        <f>IFERROR(__xludf.DUMMYFUNCTION("TEXTJOIN("", "", TRUE, FILTER(Validations!$R$2:$R$100, ISNUMBER(SEARCH(Validations!$R$2:$R$100, AO188))))"),"Feet")</f>
        <v>Feet</v>
      </c>
      <c r="AS188" s="27"/>
      <c r="AT188" s="12" t="str">
        <f>IFERROR(__xludf.DUMMYFUNCTION("IFERROR(TEXTJOIN("", "", TRUE, FILTER(Validations!$I$2:$I$100, ISNUMBER(SEARCH(Validations!$I$2:$I$100, AS188)))), """")"),"")</f>
        <v/>
      </c>
      <c r="AU188" s="16" t="str">
        <f t="array" ref="AU188">IFERROR(INDEX(Validations!$J$2:$J$100, MATCH(TRUE, ISNUMBER(SEARCH(Validations!$I$2:$I$100, AT188)), 0)), "")</f>
        <v/>
      </c>
      <c r="AV188" s="12" t="str">
        <f>IFERROR(__xludf.DUMMYFUNCTION("IFERROR(VALUE(REGEXEXTRACT(AS188, ""\d+"")), """")"),"")</f>
        <v/>
      </c>
      <c r="AW188" s="12" t="str">
        <f>IFERROR(__xludf.DUMMYFUNCTION("IFERROR(TEXTJOIN("", "", TRUE, FILTER(Validations!$Q$2:$Q$100, ISNUMBER(SEARCH(Validations!$Q$2:$Q$100, AS188)))), """")"),"")</f>
        <v/>
      </c>
      <c r="AX188" s="28" t="s">
        <v>152</v>
      </c>
      <c r="AY188" s="28" t="str">
        <f>IFERROR(__xludf.DUMMYFUNCTION("TEXTJOIN("", "", TRUE, FILTER(Validations!$Y$2:$Y$100, ISNUMBER(SEARCH(Validations!$X$2:$X$100, AX188))))"),"V, S, R")</f>
        <v>V, S, R</v>
      </c>
      <c r="AZ188" s="20" t="s">
        <v>909</v>
      </c>
      <c r="BA188" s="22"/>
      <c r="BB188" s="22"/>
      <c r="BC188" s="22"/>
      <c r="BD188" s="22"/>
      <c r="BE188" s="27"/>
      <c r="BF188" s="22"/>
      <c r="BG188" s="27"/>
      <c r="BH188" s="27"/>
      <c r="BI188" s="12" t="str">
        <f>IFERROR(__xludf.DUMMYFUNCTION("IFERROR(TEXTJOIN("", "", TRUE, FILTER(SRD!$A$2:$A$1000, EXACT(SRD!$A$2:$A$1000, J188))), """")"),"")</f>
        <v/>
      </c>
      <c r="BJ188" s="29"/>
      <c r="BK188" s="29"/>
    </row>
    <row r="189" ht="15.75" customHeight="1">
      <c r="A189" s="11" t="s">
        <v>910</v>
      </c>
      <c r="B189" s="12"/>
      <c r="C189" s="13"/>
      <c r="D189" s="13" t="s">
        <v>62</v>
      </c>
      <c r="E189" s="13"/>
      <c r="F189" s="14" t="s">
        <v>698</v>
      </c>
      <c r="G189" s="15" t="s">
        <v>672</v>
      </c>
      <c r="H189" s="16" t="s">
        <v>85</v>
      </c>
      <c r="I189" s="16" t="str">
        <f t="array" ref="I189">INDEX(Validations!$C$2:$C$100, MATCH(TRUE, ISNUMBER(SEARCH(Validations!$B$2:$B$100, H189)), 0))</f>
        <v>T</v>
      </c>
      <c r="J189" s="17" t="s">
        <v>911</v>
      </c>
      <c r="K189" s="18"/>
      <c r="L189" s="17"/>
      <c r="M189" s="37"/>
      <c r="N189" s="27"/>
      <c r="O189" s="17" t="s">
        <v>912</v>
      </c>
      <c r="P189" s="21"/>
      <c r="Q189" s="21"/>
      <c r="R189" s="22"/>
      <c r="S189" s="17" t="str">
        <f>IFERROR(__xludf.DUMMYFUNCTION("IFERROR(REGEXEXTRACT(J189, ""(\d{1,3}[dD]\d{1,3})""), """")"),"")</f>
        <v/>
      </c>
      <c r="T189" s="17" t="str">
        <f>IFERROR(__xludf.DUMMYFUNCTION("IF(COUNTIF(ARRAYFORMULA(LOWER(Validations!$O$2:$O$100)), LOWER(REGEXEXTRACT(J189, ""\d{1,3}[dD]\d{1,3}\s+(\w+)"")))&gt;0, REGEXEXTRACT(J189, ""\d{1,3}[dD]\d{1,3}\s+(\w+)""), """")"),"")</f>
        <v/>
      </c>
      <c r="U189" s="17" t="str">
        <f>IFERROR(__xludf.DUMMYFUNCTION("IF(COUNTIF(ARRAYFORMULA(LOWER(Validations!$P$2:$P$100)), LOWER(REGEXEXTRACT(J189, ""\d{1,3}[dD]\d{1,3}\s+(\w+)"")))&gt;0, REGEXEXTRACT(J189, ""\d{1,3}[dD]\d{1,3}\s+(\w+)""), """")"),"")</f>
        <v/>
      </c>
      <c r="V189" s="12" t="str">
        <f>IFERROR(__xludf.DUMMYFUNCTION("TEXTJOIN("", "", TRUE, FILTER(Validations!$L$2:$L$100, ISNUMBER(SEARCH(Validations!$L$2:$L$100, J189))))"),"")</f>
        <v/>
      </c>
      <c r="W189" s="12" t="str">
        <f>IFERROR(__xludf.DUMMYFUNCTION("IFERROR(TEXTJOIN("", "", TRUE, FILTER(Validations!$M$2:$M$100, ISNUMBER(SEARCH(Validations!$M$2:$M$100 &amp; "" saving throw"", J189)))), """")"),"Wisdom")</f>
        <v>Wisdom</v>
      </c>
      <c r="X189" s="12"/>
      <c r="Y189" s="12"/>
      <c r="Z189" s="12" t="str">
        <f>IFERROR(__xludf.DUMMYFUNCTION("IFERROR(TEXTJOIN("", "", TRUE, FILTER(Validations!$N$2:$N$100, ISNUMBER(SEARCH(Validations!$N$2:$N$100 &amp; "" check"", J189)))), """")"),"")</f>
        <v/>
      </c>
      <c r="AA189" s="12" t="str">
        <f>IFERROR(__xludf.DUMMYFUNCTION("IFERROR(TEXTJOIN("", "", TRUE, FILTER(Validations!$N$2:$N$100, ISNUMBER(SEARCH(Validations!$N$2:$N$100 &amp; "" check"", W189)))), """")"),"")</f>
        <v/>
      </c>
      <c r="AB189" s="23" t="str">
        <f>IFERROR(__xludf.DUMMYFUNCTION("IFERROR(CONCATENATE(IF(ISNUMBER(SEARCH(Validations!$M$2:$M$100 &amp; "" spell save"", J189)),""Spell Save"",""""), REGEXEXTRACT(J189, ""DC (\d+)"")), """")"),"")</f>
        <v/>
      </c>
      <c r="AC189" s="24" t="b">
        <v>0</v>
      </c>
      <c r="AD189" s="24" t="b">
        <v>0</v>
      </c>
      <c r="AE189" s="12" t="s">
        <v>69</v>
      </c>
      <c r="AF189" s="25">
        <f>IFERROR(__xludf.DUMMYFUNCTION("IFERROR(VALUE(REGEXEXTRACT(AE189, ""\d+"")), 1)"),1.0)</f>
        <v>1</v>
      </c>
      <c r="AG189" s="12" t="str">
        <f>IFERROR(__xludf.DUMMYFUNCTION("IF(
  ISNUMBER(SEARCH(""Bonus Action"", AE189)),
  ""Bonus Action"",
  IF(
    ISNUMBER(SEARCH(""Reaction"", AE189)),
    ""Reaction"",
    IF(
      ISNUMBER(SEARCH(""Action"", AE189)),
      ""Action"",
      TEXTJOIN("", "", TRUE, FILTER(Validations!$S"&amp;"$2:$S$100, ISNUMBER(SEARCH(Validations!$S$2:$S$100, AE189))))
    )
  )
)"),"Action")</f>
        <v>Action</v>
      </c>
      <c r="AH189" s="12"/>
      <c r="AI189" s="20" t="s">
        <v>296</v>
      </c>
      <c r="AJ189" s="26" t="str">
        <f>IFERROR(__xludf.DUMMYFUNCTION("TEXTJOIN("", "", TRUE, FILTER(Validations!$T$2:$T$100, ISNUMBER(SEARCH(Validations!$T$2:$T$100, AI189))))"),"")</f>
        <v/>
      </c>
      <c r="AK189" s="26">
        <f>IFERROR(__xludf.DUMMYFUNCTION("IFERROR(VALUE(REGEXEXTRACT(AI189, ""\d+"")), """")"),1.0)</f>
        <v>1</v>
      </c>
      <c r="AL189" s="26" t="str">
        <f>IFERROR(__xludf.DUMMYFUNCTION("TEXTJOIN("", "", TRUE, FILTER(Validations!$U$2:$U$100, ISNUMBER(SEARCH(Validations!$U$2:$U$100, AI189))))"),"Hours")</f>
        <v>Hours</v>
      </c>
      <c r="AM189" s="24" t="b">
        <f t="shared" si="1"/>
        <v>0</v>
      </c>
      <c r="AN189" s="42" t="b">
        <v>1</v>
      </c>
      <c r="AO189" s="36" t="s">
        <v>546</v>
      </c>
      <c r="AP189" s="12" t="str">
        <f>IFERROR(__xludf.DUMMYFUNCTION("IF(TEXTJOIN("", "", TRUE, FILTER(Validations!$Q$2:$Q$100, ISNUMBER(SEARCH(Validations!$Q$2:$Q$100, AO189)))) = """", Validations!$Q$2, TEXTJOIN("", "", TRUE, FILTER(Validations!$Q$2:$Q$100, ISNUMBER(SEARCH(Validations!$Q$2:$Q$100, AO189)))))"),"Point")</f>
        <v>Point</v>
      </c>
      <c r="AQ189" s="12" t="str">
        <f>IFERROR(__xludf.DUMMYFUNCTION("IFERROR(VALUE(REGEXEXTRACT(AO189, ""\d+"")), """")"),"")</f>
        <v/>
      </c>
      <c r="AR189" s="12" t="str">
        <f>IFERROR(__xludf.DUMMYFUNCTION("TEXTJOIN("", "", TRUE, FILTER(Validations!$R$2:$R$100, ISNUMBER(SEARCH(Validations!$R$2:$R$100, AO189))))"),"Self")</f>
        <v>Self</v>
      </c>
      <c r="AS189" s="20" t="s">
        <v>913</v>
      </c>
      <c r="AT189" s="12" t="str">
        <f>IFERROR(__xludf.DUMMYFUNCTION("IFERROR(TEXTJOIN("", "", TRUE, FILTER(Validations!$I$2:$I$100, ISNUMBER(SEARCH(Validations!$I$2:$I$100, AS189)))), """")"),"")</f>
        <v/>
      </c>
      <c r="AU189" s="16" t="str">
        <f t="array" ref="AU189">IFERROR(INDEX(Validations!$J$2:$J$100, MATCH(TRUE, ISNUMBER(SEARCH(Validations!$I$2:$I$100, AT189)), 0)), "")</f>
        <v/>
      </c>
      <c r="AV189" s="12">
        <f>IFERROR(__xludf.DUMMYFUNCTION("IFERROR(VALUE(REGEXEXTRACT(AS189, ""\d+"")), """")"),30.0)</f>
        <v>30</v>
      </c>
      <c r="AW189" s="12" t="str">
        <f>IFERROR(__xludf.DUMMYFUNCTION("IFERROR(TEXTJOIN("", "", TRUE, FILTER(Validations!$Q$2:$Q$100, ISNUMBER(SEARCH(Validations!$Q$2:$Q$100, AS189)))), """")"),"Radius")</f>
        <v>Radius</v>
      </c>
      <c r="AX189" s="28" t="s">
        <v>94</v>
      </c>
      <c r="AY189" s="28" t="str">
        <f>IFERROR(__xludf.DUMMYFUNCTION("TEXTJOIN("", "", TRUE, FILTER(Validations!$Y$2:$Y$100, ISNUMBER(SEARCH(Validations!$X$2:$X$100, AX189))))"),"V, S, R")</f>
        <v>V, S, R</v>
      </c>
      <c r="AZ189" s="20" t="s">
        <v>914</v>
      </c>
      <c r="BA189" s="12"/>
      <c r="BB189" s="22"/>
      <c r="BC189" s="22"/>
      <c r="BD189" s="22"/>
      <c r="BE189" s="27"/>
      <c r="BF189" s="22"/>
      <c r="BG189" s="27"/>
      <c r="BH189" s="27"/>
      <c r="BI189" s="12" t="str">
        <f>IFERROR(__xludf.DUMMYFUNCTION("IFERROR(TEXTJOIN("", "", TRUE, FILTER(SRD!$A$2:$A$1000, EXACT(SRD!$A$2:$A$1000, J189))), """")"),"")</f>
        <v/>
      </c>
      <c r="BJ189" s="29"/>
      <c r="BK189" s="29"/>
    </row>
    <row r="190" ht="15.75" customHeight="1">
      <c r="A190" s="38" t="s">
        <v>915</v>
      </c>
      <c r="B190" s="12"/>
      <c r="C190" s="31"/>
      <c r="D190" s="31" t="s">
        <v>835</v>
      </c>
      <c r="E190" s="31"/>
      <c r="F190" s="14" t="s">
        <v>916</v>
      </c>
      <c r="G190" s="15" t="s">
        <v>672</v>
      </c>
      <c r="H190" s="31" t="s">
        <v>178</v>
      </c>
      <c r="I190" s="16" t="str">
        <f t="array" ref="I190">INDEX(Validations!$C$2:$C$100, MATCH(TRUE, ISNUMBER(SEARCH(Validations!$B$2:$B$100, H190)), 0))</f>
        <v>A</v>
      </c>
      <c r="J190" s="17" t="s">
        <v>917</v>
      </c>
      <c r="K190" s="51"/>
      <c r="L190" s="52"/>
      <c r="M190" s="52"/>
      <c r="N190" s="27"/>
      <c r="O190" s="17" t="s">
        <v>918</v>
      </c>
      <c r="P190" s="21"/>
      <c r="Q190" s="21"/>
      <c r="R190" s="36" t="s">
        <v>919</v>
      </c>
      <c r="S190" s="17" t="str">
        <f>IFERROR(__xludf.DUMMYFUNCTION("IFERROR(REGEXEXTRACT(J190, ""(\d{1,3}[dD]\d{1,3})""), """")"),"2d4")</f>
        <v>2d4</v>
      </c>
      <c r="T190" s="17" t="str">
        <f>IFERROR(__xludf.DUMMYFUNCTION("IF(COUNTIF(ARRAYFORMULA(LOWER(Validations!$O$2:$O$100)), LOWER(REGEXEXTRACT(J190, ""\d{1,3}[dD]\d{1,3}\s+(\w+)"")))&gt;0, REGEXEXTRACT(J190, ""\d{1,3}[dD]\d{1,3}\s+(\w+)""), """")"),"")</f>
        <v/>
      </c>
      <c r="U190" s="17" t="str">
        <f>IFERROR(__xludf.DUMMYFUNCTION("IF(COUNTIF(ARRAYFORMULA(LOWER(Validations!$P$2:$P$100)), LOWER(REGEXEXTRACT(J190, ""\d{1,3}[dD]\d{1,3}\s+(\w+)"")))&gt;0, REGEXEXTRACT(J190, ""\d{1,3}[dD]\d{1,3}\s+(\w+)""), """")"),"")</f>
        <v/>
      </c>
      <c r="V190" s="12" t="str">
        <f>IFERROR(__xludf.DUMMYFUNCTION("TEXTJOIN("", "", TRUE, FILTER(Validations!$L$2:$L$100, ISNUMBER(SEARCH(Validations!$L$2:$L$100, J190))))"),"Charmed")</f>
        <v>Charmed</v>
      </c>
      <c r="W190" s="12" t="str">
        <f>IFERROR(__xludf.DUMMYFUNCTION("IFERROR(TEXTJOIN("", "", TRUE, FILTER(Validations!$M$2:$M$100, ISNUMBER(SEARCH(Validations!$M$2:$M$100 &amp; "" saving throw"", J190)))), """")"),"")</f>
        <v/>
      </c>
      <c r="X190" s="12"/>
      <c r="Y190" s="12"/>
      <c r="Z190" s="12" t="str">
        <f>IFERROR(__xludf.DUMMYFUNCTION("IFERROR(TEXTJOIN("", "", TRUE, FILTER(Validations!$N$2:$N$100, ISNUMBER(SEARCH(Validations!$N$2:$N$100 &amp; "" check"", J190)))), """")"),"")</f>
        <v/>
      </c>
      <c r="AA190" s="12" t="str">
        <f>IFERROR(__xludf.DUMMYFUNCTION("IFERROR(TEXTJOIN("", "", TRUE, FILTER(Validations!$N$2:$N$100, ISNUMBER(SEARCH(Validations!$N$2:$N$100 &amp; "" check"", W190)))), """")"),"")</f>
        <v/>
      </c>
      <c r="AB190" s="23" t="str">
        <f>IFERROR(__xludf.DUMMYFUNCTION("IFERROR(CONCATENATE(IF(ISNUMBER(SEARCH(Validations!$M$2:$M$100 &amp; "" spell save"", J190)),""Spell Save"",""""), REGEXEXTRACT(J190, ""DC (\d+)"")), """")"),"")</f>
        <v/>
      </c>
      <c r="AC190" s="24" t="b">
        <v>0</v>
      </c>
      <c r="AD190" s="24" t="b">
        <v>0</v>
      </c>
      <c r="AE190" s="12" t="s">
        <v>69</v>
      </c>
      <c r="AF190" s="25">
        <f>IFERROR(__xludf.DUMMYFUNCTION("IFERROR(VALUE(REGEXEXTRACT(AE190, ""\d+"")), 1)"),1.0)</f>
        <v>1</v>
      </c>
      <c r="AG190" s="12" t="str">
        <f>IFERROR(__xludf.DUMMYFUNCTION("IF(
  ISNUMBER(SEARCH(""Bonus Action"", AE190)),
  ""Bonus Action"",
  IF(
    ISNUMBER(SEARCH(""Reaction"", AE190)),
    ""Reaction"",
    IF(
      ISNUMBER(SEARCH(""Action"", AE190)),
      ""Action"",
      TEXTJOIN("", "", TRUE, FILTER(Validations!$S"&amp;"$2:$S$100, ISNUMBER(SEARCH(Validations!$S$2:$S$100, AE190))))
    )
  )
)"),"Action")</f>
        <v>Action</v>
      </c>
      <c r="AH190" s="12"/>
      <c r="AI190" s="26" t="s">
        <v>920</v>
      </c>
      <c r="AJ190" s="26" t="str">
        <f>IFERROR(__xludf.DUMMYFUNCTION("TEXTJOIN("", "", TRUE, FILTER(Validations!$T$2:$T$100, ISNUMBER(SEARCH(Validations!$T$2:$T$100, AI190))))"),"Instantaneous")</f>
        <v>Instantaneous</v>
      </c>
      <c r="AK190" s="26" t="str">
        <f>IFERROR(__xludf.DUMMYFUNCTION("IFERROR(VALUE(REGEXEXTRACT(AI190, ""\d+"")), """")"),"")</f>
        <v/>
      </c>
      <c r="AL190" s="26" t="str">
        <f>IFERROR(__xludf.DUMMYFUNCTION("TEXTJOIN("", "", TRUE, FILTER(Validations!$U$2:$U$100, ISNUMBER(SEARCH(Validations!$U$2:$U$100, AI190))))"),"")</f>
        <v/>
      </c>
      <c r="AM190" s="24" t="b">
        <f t="shared" si="1"/>
        <v>0</v>
      </c>
      <c r="AN190" s="24" t="b">
        <v>0</v>
      </c>
      <c r="AO190" s="12" t="s">
        <v>71</v>
      </c>
      <c r="AP190" s="12" t="str">
        <f>IFERROR(__xludf.DUMMYFUNCTION("IF(TEXTJOIN("", "", TRUE, FILTER(Validations!$Q$2:$Q$100, ISNUMBER(SEARCH(Validations!$Q$2:$Q$100, AO190)))) = """", Validations!$Q$2, TEXTJOIN("", "", TRUE, FILTER(Validations!$Q$2:$Q$100, ISNUMBER(SEARCH(Validations!$Q$2:$Q$100, AO190)))))"),"Point")</f>
        <v>Point</v>
      </c>
      <c r="AQ190" s="12" t="str">
        <f>IFERROR(__xludf.DUMMYFUNCTION("IFERROR(VALUE(REGEXEXTRACT(AO190, ""\d+"")), """")"),"")</f>
        <v/>
      </c>
      <c r="AR190" s="12" t="str">
        <f>IFERROR(__xludf.DUMMYFUNCTION("TEXTJOIN("", "", TRUE, FILTER(Validations!$R$2:$R$100, ISNUMBER(SEARCH(Validations!$R$2:$R$100, AO190))))"),"Touch")</f>
        <v>Touch</v>
      </c>
      <c r="AS190" s="27"/>
      <c r="AT190" s="12" t="str">
        <f>IFERROR(__xludf.DUMMYFUNCTION("IFERROR(TEXTJOIN("", "", TRUE, FILTER(Validations!$I$2:$I$100, ISNUMBER(SEARCH(Validations!$I$2:$I$100, AS190)))), """")"),"")</f>
        <v/>
      </c>
      <c r="AU190" s="16" t="str">
        <f t="array" ref="AU190">IFERROR(INDEX(Validations!$J$2:$J$100, MATCH(TRUE, ISNUMBER(SEARCH(Validations!$I$2:$I$100, AT190)), 0)), "")</f>
        <v/>
      </c>
      <c r="AV190" s="12" t="str">
        <f>IFERROR(__xludf.DUMMYFUNCTION("IFERROR(VALUE(REGEXEXTRACT(AS190, ""\d+"")), """")"),"")</f>
        <v/>
      </c>
      <c r="AW190" s="12" t="str">
        <f>IFERROR(__xludf.DUMMYFUNCTION("IFERROR(TEXTJOIN("", "", TRUE, FILTER(Validations!$Q$2:$Q$100, ISNUMBER(SEARCH(Validations!$Q$2:$Q$100, AS190)))), """")"),"")</f>
        <v/>
      </c>
      <c r="AX190" s="36" t="s">
        <v>152</v>
      </c>
      <c r="AY190" s="28" t="str">
        <f>IFERROR(__xludf.DUMMYFUNCTION("TEXTJOIN("", "", TRUE, FILTER(Validations!$Y$2:$Y$100, ISNUMBER(SEARCH(Validations!$X$2:$X$100, AX190))))"),"V, S, R")</f>
        <v>V, S, R</v>
      </c>
      <c r="AZ190" s="26" t="s">
        <v>921</v>
      </c>
      <c r="BA190" s="12"/>
      <c r="BB190" s="22"/>
      <c r="BC190" s="22"/>
      <c r="BD190" s="22"/>
      <c r="BE190" s="27"/>
      <c r="BF190" s="22"/>
      <c r="BG190" s="27"/>
      <c r="BH190" s="27"/>
      <c r="BI190" s="12" t="str">
        <f>IFERROR(__xludf.DUMMYFUNCTION("IFERROR(TEXTJOIN("", "", TRUE, FILTER(SRD!$A$2:$A$1000, EXACT(SRD!$A$2:$A$1000, J190))), """")"),"")</f>
        <v/>
      </c>
      <c r="BJ190" s="29"/>
      <c r="BK190" s="29"/>
    </row>
    <row r="191" ht="15.75" customHeight="1">
      <c r="A191" s="38" t="s">
        <v>922</v>
      </c>
      <c r="B191" s="12"/>
      <c r="C191" s="31"/>
      <c r="D191" s="31" t="s">
        <v>923</v>
      </c>
      <c r="E191" s="31"/>
      <c r="F191" s="32" t="s">
        <v>924</v>
      </c>
      <c r="G191" s="15" t="s">
        <v>672</v>
      </c>
      <c r="H191" s="31" t="s">
        <v>140</v>
      </c>
      <c r="I191" s="16" t="str">
        <f t="array" ref="I191">INDEX(Validations!$C$2:$C$100, MATCH(TRUE, ISNUMBER(SEARCH(Validations!$B$2:$B$100, H191)), 0))</f>
        <v>N</v>
      </c>
      <c r="J191" s="17" t="s">
        <v>925</v>
      </c>
      <c r="K191" s="51"/>
      <c r="L191" s="52"/>
      <c r="M191" s="52"/>
      <c r="N191" s="27"/>
      <c r="O191" s="17" t="s">
        <v>926</v>
      </c>
      <c r="P191" s="21"/>
      <c r="Q191" s="21"/>
      <c r="R191" s="36" t="s">
        <v>927</v>
      </c>
      <c r="S191" s="17" t="str">
        <f>IFERROR(__xludf.DUMMYFUNCTION("IFERROR(REGEXEXTRACT(J191, ""(\d{1,3}[dD]\d{1,3})""), """")"),"")</f>
        <v/>
      </c>
      <c r="T191" s="17" t="str">
        <f>IFERROR(__xludf.DUMMYFUNCTION("IF(COUNTIF(ARRAYFORMULA(LOWER(Validations!$O$2:$O$100)), LOWER(REGEXEXTRACT(J191, ""\d{1,3}[dD]\d{1,3}\s+(\w+)"")))&gt;0, REGEXEXTRACT(J191, ""\d{1,3}[dD]\d{1,3}\s+(\w+)""), """")"),"")</f>
        <v/>
      </c>
      <c r="U191" s="17" t="str">
        <f>IFERROR(__xludf.DUMMYFUNCTION("IF(COUNTIF(ARRAYFORMULA(LOWER(Validations!$P$2:$P$100)), LOWER(REGEXEXTRACT(J191, ""\d{1,3}[dD]\d{1,3}\s+(\w+)"")))&gt;0, REGEXEXTRACT(J191, ""\d{1,3}[dD]\d{1,3}\s+(\w+)""), """")"),"")</f>
        <v/>
      </c>
      <c r="V191" s="12" t="str">
        <f>IFERROR(__xludf.DUMMYFUNCTION("TEXTJOIN("", "", TRUE, FILTER(Validations!$L$2:$L$100, ISNUMBER(SEARCH(Validations!$L$2:$L$100, J191))))"),"Charmed, Exhaustion")</f>
        <v>Charmed, Exhaustion</v>
      </c>
      <c r="W191" s="12" t="str">
        <f>IFERROR(__xludf.DUMMYFUNCTION("IFERROR(TEXTJOIN("", "", TRUE, FILTER(Validations!$M$2:$M$100, ISNUMBER(SEARCH(Validations!$M$2:$M$100 &amp; "" saving throw"", J191)))), """")"),"Constitution")</f>
        <v>Constitution</v>
      </c>
      <c r="X191" s="12"/>
      <c r="Y191" s="12"/>
      <c r="Z191" s="12" t="str">
        <f>IFERROR(__xludf.DUMMYFUNCTION("IFERROR(TEXTJOIN("", "", TRUE, FILTER(Validations!$N$2:$N$100, ISNUMBER(SEARCH(Validations!$N$2:$N$100 &amp; "" check"", J191)))), """")"),"")</f>
        <v/>
      </c>
      <c r="AA191" s="12" t="str">
        <f>IFERROR(__xludf.DUMMYFUNCTION("IFERROR(TEXTJOIN("", "", TRUE, FILTER(Validations!$N$2:$N$100, ISNUMBER(SEARCH(Validations!$N$2:$N$100 &amp; "" check"", W191)))), """")"),"")</f>
        <v/>
      </c>
      <c r="AB191" s="23" t="str">
        <f>IFERROR(__xludf.DUMMYFUNCTION("IFERROR(CONCATENATE(IF(ISNUMBER(SEARCH(Validations!$M$2:$M$100 &amp; "" spell save"", J191)),""Spell Save"",""""), REGEXEXTRACT(J191, ""DC (\d+)"")), """")"),"13")</f>
        <v>13</v>
      </c>
      <c r="AC191" s="42" t="b">
        <v>1</v>
      </c>
      <c r="AD191" s="42" t="b">
        <v>0</v>
      </c>
      <c r="AE191" s="36" t="s">
        <v>134</v>
      </c>
      <c r="AF191" s="25">
        <f>IFERROR(__xludf.DUMMYFUNCTION("IFERROR(VALUE(REGEXEXTRACT(AE191, ""\d+"")), 1)"),10.0)</f>
        <v>10</v>
      </c>
      <c r="AG191" s="12" t="str">
        <f>IFERROR(__xludf.DUMMYFUNCTION("IF(
  ISNUMBER(SEARCH(""Bonus Action"", AE191)),
  ""Bonus Action"",
  IF(
    ISNUMBER(SEARCH(""Reaction"", AE191)),
    ""Reaction"",
    IF(
      ISNUMBER(SEARCH(""Action"", AE191)),
      ""Action"",
      TEXTJOIN("", "", TRUE, FILTER(Validations!$S"&amp;"$2:$S$100, ISNUMBER(SEARCH(Validations!$S$2:$S$100, AE191))))
    )
  )
)"),"Minutes")</f>
        <v>Minutes</v>
      </c>
      <c r="AH191" s="36"/>
      <c r="AI191" s="20" t="s">
        <v>347</v>
      </c>
      <c r="AJ191" s="26" t="str">
        <f>IFERROR(__xludf.DUMMYFUNCTION("TEXTJOIN("", "", TRUE, FILTER(Validations!$T$2:$T$100, ISNUMBER(SEARCH(Validations!$T$2:$T$100, AI191))))"),"")</f>
        <v/>
      </c>
      <c r="AK191" s="26">
        <f>IFERROR(__xludf.DUMMYFUNCTION("IFERROR(VALUE(REGEXEXTRACT(AI191, ""\d+"")), """")"),24.0)</f>
        <v>24</v>
      </c>
      <c r="AL191" s="26" t="str">
        <f>IFERROR(__xludf.DUMMYFUNCTION("TEXTJOIN("", "", TRUE, FILTER(Validations!$U$2:$U$100, ISNUMBER(SEARCH(Validations!$U$2:$U$100, AI191))))"),"Hours")</f>
        <v>Hours</v>
      </c>
      <c r="AM191" s="24" t="b">
        <f t="shared" si="1"/>
        <v>0</v>
      </c>
      <c r="AN191" s="24" t="b">
        <v>0</v>
      </c>
      <c r="AO191" s="36" t="s">
        <v>440</v>
      </c>
      <c r="AP191" s="12" t="str">
        <f>IFERROR(__xludf.DUMMYFUNCTION("IF(TEXTJOIN("", "", TRUE, FILTER(Validations!$Q$2:$Q$100, ISNUMBER(SEARCH(Validations!$Q$2:$Q$100, AO191)))) = """", Validations!$Q$2, TEXTJOIN("", "", TRUE, FILTER(Validations!$Q$2:$Q$100, ISNUMBER(SEARCH(Validations!$Q$2:$Q$100, AO191)))))"),"Point")</f>
        <v>Point</v>
      </c>
      <c r="AQ191" s="12">
        <f>IFERROR(__xludf.DUMMYFUNCTION("IFERROR(VALUE(REGEXEXTRACT(AO191, ""\d+"")), """")"),60.0)</f>
        <v>60</v>
      </c>
      <c r="AR191" s="12" t="str">
        <f>IFERROR(__xludf.DUMMYFUNCTION("TEXTJOIN("", "", TRUE, FILTER(Validations!$R$2:$R$100, ISNUMBER(SEARCH(Validations!$R$2:$R$100, AO191))))"),"Feet")</f>
        <v>Feet</v>
      </c>
      <c r="AS191" s="27"/>
      <c r="AT191" s="12" t="str">
        <f>IFERROR(__xludf.DUMMYFUNCTION("IFERROR(TEXTJOIN("", "", TRUE, FILTER(Validations!$I$2:$I$100, ISNUMBER(SEARCH(Validations!$I$2:$I$100, AS191)))), """")"),"")</f>
        <v/>
      </c>
      <c r="AU191" s="16" t="str">
        <f t="array" ref="AU191">IFERROR(INDEX(Validations!$J$2:$J$100, MATCH(TRUE, ISNUMBER(SEARCH(Validations!$I$2:$I$100, AT191)), 0)), "")</f>
        <v/>
      </c>
      <c r="AV191" s="12" t="str">
        <f>IFERROR(__xludf.DUMMYFUNCTION("IFERROR(VALUE(REGEXEXTRACT(AS191, ""\d+"")), """")"),"")</f>
        <v/>
      </c>
      <c r="AW191" s="12" t="str">
        <f>IFERROR(__xludf.DUMMYFUNCTION("IFERROR(TEXTJOIN("", "", TRUE, FILTER(Validations!$Q$2:$Q$100, ISNUMBER(SEARCH(Validations!$Q$2:$Q$100, AS191)))), """")"),"")</f>
        <v/>
      </c>
      <c r="AX191" s="36" t="s">
        <v>80</v>
      </c>
      <c r="AY191" s="28" t="str">
        <f>IFERROR(__xludf.DUMMYFUNCTION("TEXTJOIN("", "", TRUE, FILTER(Validations!$Y$2:$Y$100, ISNUMBER(SEARCH(Validations!$X$2:$X$100, AX191))))"),"S, R")</f>
        <v>S, R</v>
      </c>
      <c r="AZ191" s="26" t="s">
        <v>928</v>
      </c>
      <c r="BA191" s="12"/>
      <c r="BB191" s="22"/>
      <c r="BC191" s="22"/>
      <c r="BD191" s="22"/>
      <c r="BE191" s="27"/>
      <c r="BF191" s="22"/>
      <c r="BG191" s="27"/>
      <c r="BH191" s="27"/>
      <c r="BI191" s="12" t="str">
        <f>IFERROR(__xludf.DUMMYFUNCTION("IFERROR(TEXTJOIN("", "", TRUE, FILTER(SRD!$A$2:$A$1000, EXACT(SRD!$A$2:$A$1000, J191))), """")"),"")</f>
        <v/>
      </c>
      <c r="BJ191" s="29"/>
      <c r="BK191" s="29"/>
    </row>
    <row r="192" ht="15.75" customHeight="1">
      <c r="A192" s="38" t="s">
        <v>929</v>
      </c>
      <c r="B192" s="12"/>
      <c r="C192" s="31"/>
      <c r="D192" s="31" t="s">
        <v>923</v>
      </c>
      <c r="E192" s="31"/>
      <c r="F192" s="32" t="s">
        <v>649</v>
      </c>
      <c r="G192" s="15" t="s">
        <v>672</v>
      </c>
      <c r="H192" s="31" t="s">
        <v>65</v>
      </c>
      <c r="I192" s="16" t="str">
        <f t="array" ref="I192">INDEX(Validations!$C$2:$C$100, MATCH(TRUE, ISNUMBER(SEARCH(Validations!$B$2:$B$100, H192)), 0))</f>
        <v>I</v>
      </c>
      <c r="J192" s="17" t="s">
        <v>930</v>
      </c>
      <c r="K192" s="51"/>
      <c r="L192" s="52"/>
      <c r="M192" s="52"/>
      <c r="N192" s="27"/>
      <c r="O192" s="17" t="s">
        <v>931</v>
      </c>
      <c r="P192" s="21"/>
      <c r="Q192" s="21"/>
      <c r="R192" s="36" t="s">
        <v>932</v>
      </c>
      <c r="S192" s="17" t="str">
        <f>IFERROR(__xludf.DUMMYFUNCTION("IFERROR(REGEXEXTRACT(J192, ""(\d{1,3}[dD]\d{1,3})""), """")"),"")</f>
        <v/>
      </c>
      <c r="T192" s="17" t="str">
        <f>IFERROR(__xludf.DUMMYFUNCTION("IF(COUNTIF(ARRAYFORMULA(LOWER(Validations!$O$2:$O$100)), LOWER(REGEXEXTRACT(J192, ""\d{1,3}[dD]\d{1,3}\s+(\w+)"")))&gt;0, REGEXEXTRACT(J192, ""\d{1,3}[dD]\d{1,3}\s+(\w+)""), """")"),"")</f>
        <v/>
      </c>
      <c r="U192" s="17" t="str">
        <f>IFERROR(__xludf.DUMMYFUNCTION("IF(COUNTIF(ARRAYFORMULA(LOWER(Validations!$P$2:$P$100)), LOWER(REGEXEXTRACT(J192, ""\d{1,3}[dD]\d{1,3}\s+(\w+)"")))&gt;0, REGEXEXTRACT(J192, ""\d{1,3}[dD]\d{1,3}\s+(\w+)""), """")"),"")</f>
        <v/>
      </c>
      <c r="V192" s="12" t="str">
        <f>IFERROR(__xludf.DUMMYFUNCTION("TEXTJOIN("", "", TRUE, FILTER(Validations!$L$2:$L$100, ISNUMBER(SEARCH(Validations!$L$2:$L$100, J192))))"),"")</f>
        <v/>
      </c>
      <c r="W192" s="12" t="str">
        <f>IFERROR(__xludf.DUMMYFUNCTION("IFERROR(TEXTJOIN("", "", TRUE, FILTER(Validations!$M$2:$M$100, ISNUMBER(SEARCH(Validations!$M$2:$M$100 &amp; "" saving throw"", J192)))), """")"),"")</f>
        <v/>
      </c>
      <c r="X192" s="12"/>
      <c r="Y192" s="12"/>
      <c r="Z192" s="12" t="str">
        <f>IFERROR(__xludf.DUMMYFUNCTION("IFERROR(TEXTJOIN("", "", TRUE, FILTER(Validations!$N$2:$N$100, ISNUMBER(SEARCH(Validations!$N$2:$N$100 &amp; "" check"", J192)))), """")"),"")</f>
        <v/>
      </c>
      <c r="AA192" s="12" t="str">
        <f>IFERROR(__xludf.DUMMYFUNCTION("IFERROR(TEXTJOIN("", "", TRUE, FILTER(Validations!$N$2:$N$100, ISNUMBER(SEARCH(Validations!$N$2:$N$100 &amp; "" check"", W192)))), """")"),"")</f>
        <v/>
      </c>
      <c r="AB192" s="23" t="str">
        <f>IFERROR(__xludf.DUMMYFUNCTION("IFERROR(CONCATENATE(IF(ISNUMBER(SEARCH(Validations!$M$2:$M$100 &amp; "" spell save"", J192)),""Spell Save"",""""), REGEXEXTRACT(J192, ""DC (\d+)"")), """")"),"")</f>
        <v/>
      </c>
      <c r="AC192" s="24" t="b">
        <v>0</v>
      </c>
      <c r="AD192" s="24" t="b">
        <v>0</v>
      </c>
      <c r="AE192" s="12" t="s">
        <v>69</v>
      </c>
      <c r="AF192" s="25">
        <f>IFERROR(__xludf.DUMMYFUNCTION("IFERROR(VALUE(REGEXEXTRACT(AE192, ""\d+"")), 1)"),1.0)</f>
        <v>1</v>
      </c>
      <c r="AG192" s="12" t="str">
        <f>IFERROR(__xludf.DUMMYFUNCTION("IF(
  ISNUMBER(SEARCH(""Bonus Action"", AE192)),
  ""Bonus Action"",
  IF(
    ISNUMBER(SEARCH(""Reaction"", AE192)),
    ""Reaction"",
    IF(
      ISNUMBER(SEARCH(""Action"", AE192)),
      ""Action"",
      TEXTJOIN("", "", TRUE, FILTER(Validations!$S"&amp;"$2:$S$100, ISNUMBER(SEARCH(Validations!$S$2:$S$100, AE192))))
    )
  )
)"),"Action")</f>
        <v>Action</v>
      </c>
      <c r="AH192" s="12"/>
      <c r="AI192" s="20" t="s">
        <v>70</v>
      </c>
      <c r="AJ192" s="26" t="str">
        <f>IFERROR(__xludf.DUMMYFUNCTION("TEXTJOIN("", "", TRUE, FILTER(Validations!$T$2:$T$100, ISNUMBER(SEARCH(Validations!$T$2:$T$100, AI192))))"),"Instantaneous")</f>
        <v>Instantaneous</v>
      </c>
      <c r="AK192" s="26" t="str">
        <f>IFERROR(__xludf.DUMMYFUNCTION("IFERROR(VALUE(REGEXEXTRACT(AI192, ""\d+"")), """")"),"")</f>
        <v/>
      </c>
      <c r="AL192" s="26" t="str">
        <f>IFERROR(__xludf.DUMMYFUNCTION("TEXTJOIN("", "", TRUE, FILTER(Validations!$U$2:$U$100, ISNUMBER(SEARCH(Validations!$U$2:$U$100, AI192))))"),"")</f>
        <v/>
      </c>
      <c r="AM192" s="24" t="b">
        <f t="shared" si="1"/>
        <v>0</v>
      </c>
      <c r="AN192" s="24" t="b">
        <v>0</v>
      </c>
      <c r="AO192" s="12" t="s">
        <v>78</v>
      </c>
      <c r="AP192" s="12" t="str">
        <f>IFERROR(__xludf.DUMMYFUNCTION("IF(TEXTJOIN("", "", TRUE, FILTER(Validations!$Q$2:$Q$100, ISNUMBER(SEARCH(Validations!$Q$2:$Q$100, AO192)))) = """", Validations!$Q$2, TEXTJOIN("", "", TRUE, FILTER(Validations!$Q$2:$Q$100, ISNUMBER(SEARCH(Validations!$Q$2:$Q$100, AO192)))))"),"Point")</f>
        <v>Point</v>
      </c>
      <c r="AQ192" s="12" t="str">
        <f>IFERROR(__xludf.DUMMYFUNCTION("IFERROR(VALUE(REGEXEXTRACT(AO192, ""\d+"")), """")"),"")</f>
        <v/>
      </c>
      <c r="AR192" s="12" t="str">
        <f>IFERROR(__xludf.DUMMYFUNCTION("TEXTJOIN("", "", TRUE, FILTER(Validations!$R$2:$R$100, ISNUMBER(SEARCH(Validations!$R$2:$R$100, AO192))))"),"Self")</f>
        <v>Self</v>
      </c>
      <c r="AS192" s="26" t="s">
        <v>933</v>
      </c>
      <c r="AT192" s="12" t="str">
        <f>IFERROR(__xludf.DUMMYFUNCTION("IFERROR(TEXTJOIN("", "", TRUE, FILTER(Validations!$I$2:$I$100, ISNUMBER(SEARCH(Validations!$I$2:$I$100, AS192)))), """")"),"Cube")</f>
        <v>Cube</v>
      </c>
      <c r="AU192" s="16" t="str">
        <f t="array" ref="AU192">IFERROR(INDEX(Validations!$J$2:$J$100, MATCH(TRUE, ISNUMBER(SEARCH(Validations!$I$2:$I$100, AT192)), 0)), "")</f>
        <v>C</v>
      </c>
      <c r="AV192" s="12">
        <f>IFERROR(__xludf.DUMMYFUNCTION("IFERROR(VALUE(REGEXEXTRACT(AS192, ""\d+"")), """")"),15.0)</f>
        <v>15</v>
      </c>
      <c r="AW192" s="12" t="str">
        <f>IFERROR(__xludf.DUMMYFUNCTION("IFERROR(TEXTJOIN("", "", TRUE, FILTER(Validations!$Q$2:$Q$100, ISNUMBER(SEARCH(Validations!$Q$2:$Q$100, AS192)))), """")"),"Cube")</f>
        <v>Cube</v>
      </c>
      <c r="AX192" s="36" t="s">
        <v>142</v>
      </c>
      <c r="AY192" s="28" t="str">
        <f>IFERROR(__xludf.DUMMYFUNCTION("TEXTJOIN("", "", TRUE, FILTER(Validations!$Y$2:$Y$100, ISNUMBER(SEARCH(Validations!$X$2:$X$100, AX192))))"),"V, S")</f>
        <v>V, S</v>
      </c>
      <c r="AZ192" s="27"/>
      <c r="BA192" s="22"/>
      <c r="BB192" s="22"/>
      <c r="BC192" s="22"/>
      <c r="BD192" s="22"/>
      <c r="BE192" s="27"/>
      <c r="BF192" s="22"/>
      <c r="BG192" s="27"/>
      <c r="BH192" s="27"/>
      <c r="BI192" s="12" t="str">
        <f>IFERROR(__xludf.DUMMYFUNCTION("IFERROR(TEXTJOIN("", "", TRUE, FILTER(SRD!$A$2:$A$1000, EXACT(SRD!$A$2:$A$1000, J192))), """")"),"")</f>
        <v/>
      </c>
      <c r="BJ192" s="29"/>
      <c r="BK192" s="29"/>
    </row>
    <row r="193" ht="15.75" customHeight="1">
      <c r="A193" s="55" t="s">
        <v>934</v>
      </c>
      <c r="B193" s="12"/>
      <c r="C193" s="56"/>
      <c r="D193" s="56"/>
      <c r="E193" s="56"/>
      <c r="F193" s="32" t="s">
        <v>570</v>
      </c>
      <c r="G193" s="57" t="s">
        <v>672</v>
      </c>
      <c r="H193" s="58" t="s">
        <v>178</v>
      </c>
      <c r="I193" s="16" t="str">
        <f t="array" ref="I193">INDEX(Validations!$C$2:$C$100, MATCH(TRUE, ISNUMBER(SEARCH(Validations!$B$2:$B$100, H193)), 0))</f>
        <v>A</v>
      </c>
      <c r="J193" s="36" t="s">
        <v>935</v>
      </c>
      <c r="K193" s="34"/>
      <c r="L193" s="12"/>
      <c r="M193" s="59"/>
      <c r="N193" s="27"/>
      <c r="O193" s="59"/>
      <c r="P193" s="60"/>
      <c r="Q193" s="60"/>
      <c r="R193" s="22"/>
      <c r="S193" s="59"/>
      <c r="T193" s="17"/>
      <c r="U193" s="17"/>
      <c r="V193" s="12"/>
      <c r="W193" s="12"/>
      <c r="X193" s="12"/>
      <c r="Y193" s="12"/>
      <c r="Z193" s="12"/>
      <c r="AA193" s="12"/>
      <c r="AB193" s="44"/>
      <c r="AC193" s="42" t="b">
        <v>0</v>
      </c>
      <c r="AD193" s="42" t="b">
        <v>0</v>
      </c>
      <c r="AE193" s="36" t="s">
        <v>69</v>
      </c>
      <c r="AF193" s="25">
        <f>IFERROR(__xludf.DUMMYFUNCTION("IFERROR(VALUE(REGEXEXTRACT(AE193, ""\d+"")), 1)"),1.0)</f>
        <v>1</v>
      </c>
      <c r="AG193" s="12" t="str">
        <f>IFERROR(__xludf.DUMMYFUNCTION("IF(
  ISNUMBER(SEARCH(""Bonus Action"", AE193)),
  ""Bonus Action"",
  IF(
    ISNUMBER(SEARCH(""Reaction"", AE193)),
    ""Reaction"",
    IF(
      ISNUMBER(SEARCH(""Action"", AE193)),
      ""Action"",
      TEXTJOIN("", "", TRUE, FILTER(Validations!$S"&amp;"$2:$S$100, ISNUMBER(SEARCH(Validations!$S$2:$S$100, AE193))))
    )
  )
)"),"Action")</f>
        <v>Action</v>
      </c>
      <c r="AH193" s="36"/>
      <c r="AI193" s="20" t="s">
        <v>936</v>
      </c>
      <c r="AJ193" s="26" t="str">
        <f>IFERROR(__xludf.DUMMYFUNCTION("TEXTJOIN("", "", TRUE, FILTER(Validations!$T$2:$T$100, ISNUMBER(SEARCH(Validations!$T$2:$T$100, AI193))))"),"")</f>
        <v/>
      </c>
      <c r="AK193" s="26">
        <f>IFERROR(__xludf.DUMMYFUNCTION("IFERROR(VALUE(REGEXEXTRACT(AI193, ""\d+"")), """")"),1.0)</f>
        <v>1</v>
      </c>
      <c r="AL193" s="26" t="str">
        <f>IFERROR(__xludf.DUMMYFUNCTION("TEXTJOIN("", "", TRUE, FILTER(Validations!$U$2:$U$100, ISNUMBER(SEARCH(Validations!$U$2:$U$100, AI193))))"),"Minutes")</f>
        <v>Minutes</v>
      </c>
      <c r="AM193" s="24" t="b">
        <f t="shared" si="1"/>
        <v>1</v>
      </c>
      <c r="AN193" s="42" t="b">
        <v>1</v>
      </c>
      <c r="AO193" s="36" t="s">
        <v>78</v>
      </c>
      <c r="AP193" s="12" t="str">
        <f>IFERROR(__xludf.DUMMYFUNCTION("IF(TEXTJOIN("", "", TRUE, FILTER(Validations!$Q$2:$Q$100, ISNUMBER(SEARCH(Validations!$Q$2:$Q$100, AO193)))) = """", Validations!$Q$2, TEXTJOIN("", "", TRUE, FILTER(Validations!$Q$2:$Q$100, ISNUMBER(SEARCH(Validations!$Q$2:$Q$100, AO193)))))"),"Point")</f>
        <v>Point</v>
      </c>
      <c r="AQ193" s="12" t="str">
        <f>IFERROR(__xludf.DUMMYFUNCTION("IFERROR(VALUE(REGEXEXTRACT(AO193, ""\d+"")), """")"),"")</f>
        <v/>
      </c>
      <c r="AR193" s="12" t="str">
        <f>IFERROR(__xludf.DUMMYFUNCTION("TEXTJOIN("", "", TRUE, FILTER(Validations!$R$2:$R$100, ISNUMBER(SEARCH(Validations!$R$2:$R$100, AO193))))"),"Self")</f>
        <v>Self</v>
      </c>
      <c r="AS193" s="20" t="s">
        <v>937</v>
      </c>
      <c r="AT193" s="12" t="str">
        <f>IFERROR(__xludf.DUMMYFUNCTION("IFERROR(TEXTJOIN("", "", TRUE, FILTER(Validations!$I$2:$I$100, ISNUMBER(SEARCH(Validations!$I$2:$I$100, AS193)))), """")"),"")</f>
        <v/>
      </c>
      <c r="AU193" s="16" t="str">
        <f t="array" ref="AU193">IFERROR(INDEX(Validations!$J$2:$J$100, MATCH(TRUE, ISNUMBER(SEARCH(Validations!$I$2:$I$100, AT193)), 0)), "")</f>
        <v/>
      </c>
      <c r="AV193" s="12">
        <f>IFERROR(__xludf.DUMMYFUNCTION("IFERROR(VALUE(REGEXEXTRACT(AS193, ""\d+"")), """")"),30.0)</f>
        <v>30</v>
      </c>
      <c r="AW193" s="12" t="str">
        <f>IFERROR(__xludf.DUMMYFUNCTION("IFERROR(TEXTJOIN("", "", TRUE, FILTER(Validations!$Q$2:$Q$100, ISNUMBER(SEARCH(Validations!$Q$2:$Q$100, AS193)))), """")"),"")</f>
        <v/>
      </c>
      <c r="AX193" s="28" t="s">
        <v>152</v>
      </c>
      <c r="AY193" s="28" t="str">
        <f>IFERROR(__xludf.DUMMYFUNCTION("TEXTJOIN("", "", TRUE, FILTER(Validations!$Y$2:$Y$100, ISNUMBER(SEARCH(Validations!$X$2:$X$100, AX193))))"),"V, S, R")</f>
        <v>V, S, R</v>
      </c>
      <c r="AZ193" s="20" t="s">
        <v>938</v>
      </c>
      <c r="BA193" s="59"/>
      <c r="BB193" s="22"/>
      <c r="BC193" s="22"/>
      <c r="BD193" s="22"/>
      <c r="BE193" s="27"/>
      <c r="BF193" s="22"/>
      <c r="BG193" s="27"/>
      <c r="BH193" s="27"/>
      <c r="BI193" s="12" t="str">
        <f>IFERROR(__xludf.DUMMYFUNCTION("IFERROR(TEXTJOIN("", "", TRUE, FILTER(SRD!$A$2:$A$1000, EXACT(SRD!$A$2:$A$1000, J193))), """")"),"")</f>
        <v/>
      </c>
      <c r="BJ193" s="29"/>
      <c r="BK193" s="29"/>
    </row>
    <row r="194" ht="15.75" customHeight="1">
      <c r="A194" s="55" t="s">
        <v>939</v>
      </c>
      <c r="B194" s="12"/>
      <c r="C194" s="56"/>
      <c r="D194" s="56"/>
      <c r="E194" s="56"/>
      <c r="F194" s="32" t="s">
        <v>570</v>
      </c>
      <c r="G194" s="57" t="s">
        <v>672</v>
      </c>
      <c r="H194" s="58" t="s">
        <v>178</v>
      </c>
      <c r="I194" s="16" t="str">
        <f t="array" ref="I194">INDEX(Validations!$C$2:$C$100, MATCH(TRUE, ISNUMBER(SEARCH(Validations!$B$2:$B$100, H194)), 0))</f>
        <v>A</v>
      </c>
      <c r="J194" s="36" t="s">
        <v>940</v>
      </c>
      <c r="K194" s="34"/>
      <c r="L194" s="12"/>
      <c r="M194" s="59"/>
      <c r="N194" s="27"/>
      <c r="O194" s="59"/>
      <c r="P194" s="60"/>
      <c r="Q194" s="60"/>
      <c r="R194" s="22"/>
      <c r="S194" s="59"/>
      <c r="T194" s="17"/>
      <c r="U194" s="17"/>
      <c r="V194" s="12"/>
      <c r="W194" s="12"/>
      <c r="X194" s="12"/>
      <c r="Y194" s="12"/>
      <c r="Z194" s="12"/>
      <c r="AA194" s="12"/>
      <c r="AB194" s="44"/>
      <c r="AC194" s="42" t="b">
        <v>0</v>
      </c>
      <c r="AD194" s="42" t="b">
        <v>0</v>
      </c>
      <c r="AE194" s="36" t="s">
        <v>69</v>
      </c>
      <c r="AF194" s="25">
        <f>IFERROR(__xludf.DUMMYFUNCTION("IFERROR(VALUE(REGEXEXTRACT(AE194, ""\d+"")), 1)"),1.0)</f>
        <v>1</v>
      </c>
      <c r="AG194" s="12" t="str">
        <f>IFERROR(__xludf.DUMMYFUNCTION("IF(
  ISNUMBER(SEARCH(""Bonus Action"", AE194)),
  ""Bonus Action"",
  IF(
    ISNUMBER(SEARCH(""Reaction"", AE194)),
    ""Reaction"",
    IF(
      ISNUMBER(SEARCH(""Action"", AE194)),
      ""Action"",
      TEXTJOIN("", "", TRUE, FILTER(Validations!$S"&amp;"$2:$S$100, ISNUMBER(SEARCH(Validations!$S$2:$S$100, AE194))))
    )
  )
)"),"Action")</f>
        <v>Action</v>
      </c>
      <c r="AH194" s="36"/>
      <c r="AI194" s="20" t="s">
        <v>134</v>
      </c>
      <c r="AJ194" s="26" t="str">
        <f>IFERROR(__xludf.DUMMYFUNCTION("TEXTJOIN("", "", TRUE, FILTER(Validations!$T$2:$T$100, ISNUMBER(SEARCH(Validations!$T$2:$T$100, AI194))))"),"")</f>
        <v/>
      </c>
      <c r="AK194" s="26">
        <f>IFERROR(__xludf.DUMMYFUNCTION("IFERROR(VALUE(REGEXEXTRACT(AI194, ""\d+"")), """")"),10.0)</f>
        <v>10</v>
      </c>
      <c r="AL194" s="26" t="str">
        <f>IFERROR(__xludf.DUMMYFUNCTION("TEXTJOIN("", "", TRUE, FILTER(Validations!$U$2:$U$100, ISNUMBER(SEARCH(Validations!$U$2:$U$100, AI194))))"),"Minutes")</f>
        <v>Minutes</v>
      </c>
      <c r="AM194" s="24" t="b">
        <f t="shared" si="1"/>
        <v>0</v>
      </c>
      <c r="AN194" s="42" t="b">
        <v>0</v>
      </c>
      <c r="AO194" s="36" t="s">
        <v>941</v>
      </c>
      <c r="AP194" s="12" t="str">
        <f>IFERROR(__xludf.DUMMYFUNCTION("IF(TEXTJOIN("", "", TRUE, FILTER(Validations!$Q$2:$Q$100, ISNUMBER(SEARCH(Validations!$Q$2:$Q$100, AO194)))) = """", Validations!$Q$2, TEXTJOIN("", "", TRUE, FILTER(Validations!$Q$2:$Q$100, ISNUMBER(SEARCH(Validations!$Q$2:$Q$100, AO194)))))"),"Radius")</f>
        <v>Radius</v>
      </c>
      <c r="AQ194" s="12">
        <f>IFERROR(__xludf.DUMMYFUNCTION("IFERROR(VALUE(REGEXEXTRACT(AO194, ""\d+"")), """")"),10.0)</f>
        <v>10</v>
      </c>
      <c r="AR194" s="12" t="str">
        <f>IFERROR(__xludf.DUMMYFUNCTION("TEXTJOIN("", "", TRUE, FILTER(Validations!$R$2:$R$100, ISNUMBER(SEARCH(Validations!$R$2:$R$100, AO194))))"),"Feet")</f>
        <v>Feet</v>
      </c>
      <c r="AS194" s="20"/>
      <c r="AT194" s="12" t="str">
        <f>IFERROR(__xludf.DUMMYFUNCTION("IFERROR(TEXTJOIN("", "", TRUE, FILTER(Validations!$I$2:$I$100, ISNUMBER(SEARCH(Validations!$I$2:$I$100, AS194)))), """")"),"")</f>
        <v/>
      </c>
      <c r="AU194" s="16" t="str">
        <f t="array" ref="AU194">IFERROR(INDEX(Validations!$J$2:$J$100, MATCH(TRUE, ISNUMBER(SEARCH(Validations!$I$2:$I$100, AT194)), 0)), "")</f>
        <v/>
      </c>
      <c r="AV194" s="12" t="str">
        <f>IFERROR(__xludf.DUMMYFUNCTION("IFERROR(VALUE(REGEXEXTRACT(AS194, ""\d+"")), """")"),"")</f>
        <v/>
      </c>
      <c r="AW194" s="12" t="str">
        <f>IFERROR(__xludf.DUMMYFUNCTION("IFERROR(TEXTJOIN("", "", TRUE, FILTER(Validations!$Q$2:$Q$100, ISNUMBER(SEARCH(Validations!$Q$2:$Q$100, AS194)))), """")"),"")</f>
        <v/>
      </c>
      <c r="AX194" s="28" t="s">
        <v>942</v>
      </c>
      <c r="AY194" s="28" t="str">
        <f>IFERROR(__xludf.DUMMYFUNCTION("TEXTJOIN("", "", TRUE, FILTER(Validations!$Y$2:$Y$100, ISNUMBER(SEARCH(Validations!$X$2:$X$100, AX194))))"),"V, S, T")</f>
        <v>V, S, T</v>
      </c>
      <c r="AZ194" s="20" t="s">
        <v>943</v>
      </c>
      <c r="BA194" s="59"/>
      <c r="BB194" s="22"/>
      <c r="BC194" s="22"/>
      <c r="BD194" s="22"/>
      <c r="BE194" s="27"/>
      <c r="BF194" s="22"/>
      <c r="BG194" s="27"/>
      <c r="BH194" s="27"/>
      <c r="BI194" s="12" t="str">
        <f>IFERROR(__xludf.DUMMYFUNCTION("IFERROR(TEXTJOIN("", "", TRUE, FILTER(SRD!$A$2:$A$1000, EXACT(SRD!$A$2:$A$1000, J194))), """")"),"")</f>
        <v/>
      </c>
      <c r="BJ194" s="29"/>
      <c r="BK194" s="29"/>
    </row>
    <row r="195" ht="15.75" customHeight="1">
      <c r="A195" s="30" t="s">
        <v>944</v>
      </c>
      <c r="B195" s="22"/>
      <c r="C195" s="16"/>
      <c r="D195" s="16" t="s">
        <v>538</v>
      </c>
      <c r="E195" s="16"/>
      <c r="F195" s="32" t="s">
        <v>506</v>
      </c>
      <c r="G195" s="50" t="s">
        <v>945</v>
      </c>
      <c r="H195" s="31" t="s">
        <v>76</v>
      </c>
      <c r="I195" s="16" t="str">
        <f t="array" ref="I195">INDEX(Validations!$C$2:$C$100, MATCH(TRUE, ISNUMBER(SEARCH(Validations!$B$2:$B$100, H195)), 0))</f>
        <v>V</v>
      </c>
      <c r="J195" s="17" t="s">
        <v>946</v>
      </c>
      <c r="K195" s="18"/>
      <c r="L195" s="17"/>
      <c r="M195" s="17"/>
      <c r="N195" s="20" t="s">
        <v>947</v>
      </c>
      <c r="O195" s="17"/>
      <c r="P195" s="21"/>
      <c r="Q195" s="21"/>
      <c r="R195" s="22"/>
      <c r="S195" s="17" t="str">
        <f>IFERROR(__xludf.DUMMYFUNCTION("IFERROR(REGEXEXTRACT(J195, ""(\d{1,3}[dD]\d{1,3})""), """")"),"6d8")</f>
        <v>6d8</v>
      </c>
      <c r="T195" s="17" t="str">
        <f>IFERROR(__xludf.DUMMYFUNCTION("IF(COUNTIF(ARRAYFORMULA(LOWER(Validations!$O$2:$O$100)), LOWER(REGEXEXTRACT(J195, ""\d{1,3}[dD]\d{1,3}\s+(\w+)"")))&gt;0, REGEXEXTRACT(J195, ""\d{1,3}[dD]\d{1,3}\s+(\w+)""), """")"),"impact")</f>
        <v>impact</v>
      </c>
      <c r="U195" s="17" t="str">
        <f>IFERROR(__xludf.DUMMYFUNCTION("IF(COUNTIF(ARRAYFORMULA(LOWER(Validations!$P$2:$P$100)), LOWER(REGEXEXTRACT(J195, ""\d{1,3}[dD]\d{1,3}\s+(\w+)"")))&gt;0, REGEXEXTRACT(J195, ""\d{1,3}[dD]\d{1,3}\s+(\w+)""), """")"),"")</f>
        <v/>
      </c>
      <c r="V195" s="12" t="str">
        <f>IFERROR(__xludf.DUMMYFUNCTION("TEXTJOIN("", "", TRUE, FILTER(Validations!$L$2:$L$100, ISNUMBER(SEARCH(Validations!$L$2:$L$100, J195))))"),"Altered")</f>
        <v>Altered</v>
      </c>
      <c r="W195" s="12" t="str">
        <f>IFERROR(__xludf.DUMMYFUNCTION("IFERROR(TEXTJOIN("", "", TRUE, FILTER(Validations!$M$2:$M$100, ISNUMBER(SEARCH(Validations!$M$2:$M$100 &amp; "" saving throw"", J195)))), """")"),"Charisma")</f>
        <v>Charisma</v>
      </c>
      <c r="X195" s="12"/>
      <c r="Y195" s="12"/>
      <c r="Z195" s="12" t="str">
        <f>IFERROR(__xludf.DUMMYFUNCTION("IFERROR(TEXTJOIN("", "", TRUE, FILTER(Validations!$N$2:$N$100, ISNUMBER(SEARCH(Validations!$N$2:$N$100 &amp; "" check"", J195)))), """")"),"")</f>
        <v/>
      </c>
      <c r="AA195" s="12" t="str">
        <f>IFERROR(__xludf.DUMMYFUNCTION("IFERROR(TEXTJOIN("", "", TRUE, FILTER(Validations!$N$2:$N$100, ISNUMBER(SEARCH(Validations!$N$2:$N$100 &amp; "" check"", W195)))), """")"),"")</f>
        <v/>
      </c>
      <c r="AB195" s="23" t="str">
        <f>IFERROR(__xludf.DUMMYFUNCTION("IFERROR(CONCATENATE(IF(ISNUMBER(SEARCH(Validations!$M$2:$M$100 &amp; "" spell save"", J195)),""Spell Save"",""""), REGEXEXTRACT(J195, ""DC (\d+)"")), """")"),"")</f>
        <v/>
      </c>
      <c r="AC195" s="24" t="b">
        <v>0</v>
      </c>
      <c r="AD195" s="24" t="b">
        <v>0</v>
      </c>
      <c r="AE195" s="36" t="s">
        <v>69</v>
      </c>
      <c r="AF195" s="25">
        <f>IFERROR(__xludf.DUMMYFUNCTION("IFERROR(VALUE(REGEXEXTRACT(AE195, ""\d+"")), 1)"),1.0)</f>
        <v>1</v>
      </c>
      <c r="AG195" s="12" t="str">
        <f>IFERROR(__xludf.DUMMYFUNCTION("IF(
  ISNUMBER(SEARCH(""Bonus Action"", AE195)),
  ""Bonus Action"",
  IF(
    ISNUMBER(SEARCH(""Reaction"", AE195)),
    ""Reaction"",
    IF(
      ISNUMBER(SEARCH(""Action"", AE195)),
      ""Action"",
      TEXTJOIN("", "", TRUE, FILTER(Validations!$S"&amp;"$2:$S$100, ISNUMBER(SEARCH(Validations!$S$2:$S$100, AE195))))
    )
  )
)"),"Action")</f>
        <v>Action</v>
      </c>
      <c r="AH195" s="36"/>
      <c r="AI195" s="27" t="s">
        <v>70</v>
      </c>
      <c r="AJ195" s="26" t="str">
        <f>IFERROR(__xludf.DUMMYFUNCTION("TEXTJOIN("", "", TRUE, FILTER(Validations!$T$2:$T$100, ISNUMBER(SEARCH(Validations!$T$2:$T$100, AI195))))"),"Instantaneous")</f>
        <v>Instantaneous</v>
      </c>
      <c r="AK195" s="26" t="str">
        <f>IFERROR(__xludf.DUMMYFUNCTION("IFERROR(VALUE(REGEXEXTRACT(AI195, ""\d+"")), """")"),"")</f>
        <v/>
      </c>
      <c r="AL195" s="26" t="str">
        <f>IFERROR(__xludf.DUMMYFUNCTION("TEXTJOIN("", "", TRUE, FILTER(Validations!$U$2:$U$100, ISNUMBER(SEARCH(Validations!$U$2:$U$100, AI195))))"),"")</f>
        <v/>
      </c>
      <c r="AM195" s="24" t="b">
        <f t="shared" si="1"/>
        <v>0</v>
      </c>
      <c r="AN195" s="24" t="b">
        <v>0</v>
      </c>
      <c r="AO195" s="22" t="s">
        <v>112</v>
      </c>
      <c r="AP195" s="12" t="str">
        <f>IFERROR(__xludf.DUMMYFUNCTION("IF(TEXTJOIN("", "", TRUE, FILTER(Validations!$Q$2:$Q$100, ISNUMBER(SEARCH(Validations!$Q$2:$Q$100, AO195)))) = """", Validations!$Q$2, TEXTJOIN("", "", TRUE, FILTER(Validations!$Q$2:$Q$100, ISNUMBER(SEARCH(Validations!$Q$2:$Q$100, AO195)))))"),"Point")</f>
        <v>Point</v>
      </c>
      <c r="AQ195" s="12">
        <f>IFERROR(__xludf.DUMMYFUNCTION("IFERROR(VALUE(REGEXEXTRACT(AO195, ""\d+"")), """")"),30.0)</f>
        <v>30</v>
      </c>
      <c r="AR195" s="12" t="str">
        <f>IFERROR(__xludf.DUMMYFUNCTION("TEXTJOIN("", "", TRUE, FILTER(Validations!$R$2:$R$100, ISNUMBER(SEARCH(Validations!$R$2:$R$100, AO195))))"),"Feet")</f>
        <v>Feet</v>
      </c>
      <c r="AS195" s="27"/>
      <c r="AT195" s="12" t="str">
        <f>IFERROR(__xludf.DUMMYFUNCTION("IFERROR(TEXTJOIN("", "", TRUE, FILTER(Validations!$I$2:$I$100, ISNUMBER(SEARCH(Validations!$I$2:$I$100, AS195)))), """")"),"")</f>
        <v/>
      </c>
      <c r="AU195" s="16" t="str">
        <f t="array" ref="AU195">IFERROR(INDEX(Validations!$J$2:$J$100, MATCH(TRUE, ISNUMBER(SEARCH(Validations!$I$2:$I$100, AT195)), 0)), "")</f>
        <v/>
      </c>
      <c r="AV195" s="12" t="str">
        <f>IFERROR(__xludf.DUMMYFUNCTION("IFERROR(VALUE(REGEXEXTRACT(AS195, ""\d+"")), """")"),"")</f>
        <v/>
      </c>
      <c r="AW195" s="12" t="str">
        <f>IFERROR(__xludf.DUMMYFUNCTION("IFERROR(TEXTJOIN("", "", TRUE, FILTER(Validations!$Q$2:$Q$100, ISNUMBER(SEARCH(Validations!$Q$2:$Q$100, AS195)))), """")"),"")</f>
        <v/>
      </c>
      <c r="AX195" s="28" t="s">
        <v>152</v>
      </c>
      <c r="AY195" s="28" t="str">
        <f>IFERROR(__xludf.DUMMYFUNCTION("TEXTJOIN("", "", TRUE, FILTER(Validations!$Y$2:$Y$100, ISNUMBER(SEARCH(Validations!$X$2:$X$100, AX195))))"),"V, S, R")</f>
        <v>V, S, R</v>
      </c>
      <c r="AZ195" s="20" t="s">
        <v>948</v>
      </c>
      <c r="BA195" s="22"/>
      <c r="BB195" s="22"/>
      <c r="BC195" s="22"/>
      <c r="BD195" s="36" t="s">
        <v>949</v>
      </c>
      <c r="BE195" s="27"/>
      <c r="BF195" s="22"/>
      <c r="BG195" s="27"/>
      <c r="BH195" s="27"/>
      <c r="BI195" s="12" t="str">
        <f>IFERROR(__xludf.DUMMYFUNCTION("IFERROR(TEXTJOIN("", "", TRUE, FILTER(SRD!$A$2:$A$1000, EXACT(SRD!$A$2:$A$1000, J195))), """")"),"")</f>
        <v/>
      </c>
      <c r="BJ195" s="29"/>
      <c r="BK195" s="29"/>
    </row>
    <row r="196" ht="15.75" customHeight="1">
      <c r="A196" s="30" t="s">
        <v>950</v>
      </c>
      <c r="B196" s="22"/>
      <c r="C196" s="16"/>
      <c r="D196" s="16" t="s">
        <v>951</v>
      </c>
      <c r="E196" s="16"/>
      <c r="F196" s="32" t="s">
        <v>952</v>
      </c>
      <c r="G196" s="50" t="s">
        <v>945</v>
      </c>
      <c r="H196" s="31" t="s">
        <v>178</v>
      </c>
      <c r="I196" s="16" t="str">
        <f t="array" ref="I196">INDEX(Validations!$C$2:$C$100, MATCH(TRUE, ISNUMBER(SEARCH(Validations!$B$2:$B$100, H196)), 0))</f>
        <v>A</v>
      </c>
      <c r="J196" s="17" t="s">
        <v>953</v>
      </c>
      <c r="K196" s="18"/>
      <c r="L196" s="17"/>
      <c r="M196" s="17"/>
      <c r="N196" s="20" t="s">
        <v>954</v>
      </c>
      <c r="O196" s="17"/>
      <c r="P196" s="21"/>
      <c r="Q196" s="21"/>
      <c r="R196" s="22"/>
      <c r="S196" s="17" t="str">
        <f>IFERROR(__xludf.DUMMYFUNCTION("IFERROR(REGEXEXTRACT(J196, ""(\d{1,3}[dD]\d{1,3})""), """")"),"")</f>
        <v/>
      </c>
      <c r="T196" s="17" t="str">
        <f>IFERROR(__xludf.DUMMYFUNCTION("IF(COUNTIF(ARRAYFORMULA(LOWER(Validations!$O$2:$O$100)), LOWER(REGEXEXTRACT(J196, ""\d{1,3}[dD]\d{1,3}\s+(\w+)"")))&gt;0, REGEXEXTRACT(J196, ""\d{1,3}[dD]\d{1,3}\s+(\w+)""), """")"),"")</f>
        <v/>
      </c>
      <c r="U196" s="17" t="str">
        <f>IFERROR(__xludf.DUMMYFUNCTION("IF(COUNTIF(ARRAYFORMULA(LOWER(Validations!$P$2:$P$100)), LOWER(REGEXEXTRACT(J196, ""\d{1,3}[dD]\d{1,3}\s+(\w+)"")))&gt;0, REGEXEXTRACT(J196, ""\d{1,3}[dD]\d{1,3}\s+(\w+)""), """")"),"")</f>
        <v/>
      </c>
      <c r="V196" s="12" t="str">
        <f>IFERROR(__xludf.DUMMYFUNCTION("TEXTJOIN("", "", TRUE, FILTER(Validations!$L$2:$L$100, ISNUMBER(SEARCH(Validations!$L$2:$L$100, J196))))"),"Invisible")</f>
        <v>Invisible</v>
      </c>
      <c r="W196" s="12" t="str">
        <f>IFERROR(__xludf.DUMMYFUNCTION("IFERROR(TEXTJOIN("", "", TRUE, FILTER(Validations!$M$2:$M$100, ISNUMBER(SEARCH(Validations!$M$2:$M$100 &amp; "" saving throw"", J196)))), """")"),"Strength, Wisdom, Charisma")</f>
        <v>Strength, Wisdom, Charisma</v>
      </c>
      <c r="X196" s="12"/>
      <c r="Y196" s="12"/>
      <c r="Z196" s="12" t="str">
        <f>IFERROR(__xludf.DUMMYFUNCTION("IFERROR(TEXTJOIN("", "", TRUE, FILTER(Validations!$N$2:$N$100, ISNUMBER(SEARCH(Validations!$N$2:$N$100 &amp; "" check"", J196)))), """")"),"")</f>
        <v/>
      </c>
      <c r="AA196" s="12" t="str">
        <f>IFERROR(__xludf.DUMMYFUNCTION("IFERROR(TEXTJOIN("", "", TRUE, FILTER(Validations!$N$2:$N$100, ISNUMBER(SEARCH(Validations!$N$2:$N$100 &amp; "" check"", W196)))), """")"),"")</f>
        <v/>
      </c>
      <c r="AB196" s="23" t="str">
        <f>IFERROR(__xludf.DUMMYFUNCTION("IFERROR(CONCATENATE(IF(ISNUMBER(SEARCH(Validations!$M$2:$M$100 &amp; "" spell save"", J196)),""Spell Save"",""""), REGEXEXTRACT(J196, ""DC (\d+)"")), """")"),"")</f>
        <v/>
      </c>
      <c r="AC196" s="24" t="b">
        <v>0</v>
      </c>
      <c r="AD196" s="24" t="b">
        <v>0</v>
      </c>
      <c r="AE196" s="36" t="s">
        <v>69</v>
      </c>
      <c r="AF196" s="25">
        <f>IFERROR(__xludf.DUMMYFUNCTION("IFERROR(VALUE(REGEXEXTRACT(AE196, ""\d+"")), 1)"),1.0)</f>
        <v>1</v>
      </c>
      <c r="AG196" s="12" t="str">
        <f>IFERROR(__xludf.DUMMYFUNCTION("IF(
  ISNUMBER(SEARCH(""Bonus Action"", AE196)),
  ""Bonus Action"",
  IF(
    ISNUMBER(SEARCH(""Reaction"", AE196)),
    ""Reaction"",
    IF(
      ISNUMBER(SEARCH(""Action"", AE196)),
      ""Action"",
      TEXTJOIN("", "", TRUE, FILTER(Validations!$S"&amp;"$2:$S$100, ISNUMBER(SEARCH(Validations!$S$2:$S$100, AE196))))
    )
  )
)"),"Action")</f>
        <v>Action</v>
      </c>
      <c r="AH196" s="36"/>
      <c r="AI196" s="20" t="s">
        <v>92</v>
      </c>
      <c r="AJ196" s="26" t="str">
        <f>IFERROR(__xludf.DUMMYFUNCTION("TEXTJOIN("", "", TRUE, FILTER(Validations!$T$2:$T$100, ISNUMBER(SEARCH(Validations!$T$2:$T$100, AI196))))"),"")</f>
        <v/>
      </c>
      <c r="AK196" s="26">
        <f>IFERROR(__xludf.DUMMYFUNCTION("IFERROR(VALUE(REGEXEXTRACT(AI196, ""\d+"")), """")"),1.0)</f>
        <v>1</v>
      </c>
      <c r="AL196" s="26" t="str">
        <f>IFERROR(__xludf.DUMMYFUNCTION("TEXTJOIN("", "", TRUE, FILTER(Validations!$U$2:$U$100, ISNUMBER(SEARCH(Validations!$U$2:$U$100, AI196))))"),"Minutes")</f>
        <v>Minutes</v>
      </c>
      <c r="AM196" s="24" t="b">
        <f t="shared" si="1"/>
        <v>0</v>
      </c>
      <c r="AN196" s="24" t="b">
        <v>1</v>
      </c>
      <c r="AO196" s="22" t="s">
        <v>112</v>
      </c>
      <c r="AP196" s="12" t="str">
        <f>IFERROR(__xludf.DUMMYFUNCTION("IF(TEXTJOIN("", "", TRUE, FILTER(Validations!$Q$2:$Q$100, ISNUMBER(SEARCH(Validations!$Q$2:$Q$100, AO196)))) = """", Validations!$Q$2, TEXTJOIN("", "", TRUE, FILTER(Validations!$Q$2:$Q$100, ISNUMBER(SEARCH(Validations!$Q$2:$Q$100, AO196)))))"),"Point")</f>
        <v>Point</v>
      </c>
      <c r="AQ196" s="12">
        <f>IFERROR(__xludf.DUMMYFUNCTION("IFERROR(VALUE(REGEXEXTRACT(AO196, ""\d+"")), """")"),30.0)</f>
        <v>30</v>
      </c>
      <c r="AR196" s="12" t="str">
        <f>IFERROR(__xludf.DUMMYFUNCTION("TEXTJOIN("", "", TRUE, FILTER(Validations!$R$2:$R$100, ISNUMBER(SEARCH(Validations!$R$2:$R$100, AO196))))"),"Feet")</f>
        <v>Feet</v>
      </c>
      <c r="AS196" s="27"/>
      <c r="AT196" s="12" t="str">
        <f>IFERROR(__xludf.DUMMYFUNCTION("IFERROR(TEXTJOIN("", "", TRUE, FILTER(Validations!$I$2:$I$100, ISNUMBER(SEARCH(Validations!$I$2:$I$100, AS196)))), """")"),"")</f>
        <v/>
      </c>
      <c r="AU196" s="16" t="str">
        <f t="array" ref="AU196">IFERROR(INDEX(Validations!$J$2:$J$100, MATCH(TRUE, ISNUMBER(SEARCH(Validations!$I$2:$I$100, AT196)), 0)), "")</f>
        <v/>
      </c>
      <c r="AV196" s="12" t="str">
        <f>IFERROR(__xludf.DUMMYFUNCTION("IFERROR(VALUE(REGEXEXTRACT(AS196, ""\d+"")), """")"),"")</f>
        <v/>
      </c>
      <c r="AW196" s="12" t="str">
        <f>IFERROR(__xludf.DUMMYFUNCTION("IFERROR(TEXTJOIN("", "", TRUE, FILTER(Validations!$Q$2:$Q$100, ISNUMBER(SEARCH(Validations!$Q$2:$Q$100, AS196)))), """")"),"")</f>
        <v/>
      </c>
      <c r="AX196" s="28" t="s">
        <v>152</v>
      </c>
      <c r="AY196" s="28" t="str">
        <f>IFERROR(__xludf.DUMMYFUNCTION("TEXTJOIN("", "", TRUE, FILTER(Validations!$Y$2:$Y$100, ISNUMBER(SEARCH(Validations!$X$2:$X$100, AX196))))"),"V, S, R")</f>
        <v>V, S, R</v>
      </c>
      <c r="AZ196" s="20" t="s">
        <v>955</v>
      </c>
      <c r="BA196" s="22"/>
      <c r="BB196" s="22"/>
      <c r="BC196" s="22"/>
      <c r="BD196" s="36" t="s">
        <v>956</v>
      </c>
      <c r="BE196" s="27"/>
      <c r="BF196" s="22"/>
      <c r="BG196" s="27"/>
      <c r="BH196" s="27"/>
      <c r="BI196" s="12" t="str">
        <f>IFERROR(__xludf.DUMMYFUNCTION("IFERROR(TEXTJOIN("", "", TRUE, FILTER(SRD!$A$2:$A$1000, EXACT(SRD!$A$2:$A$1000, J196))), """")"),"")</f>
        <v/>
      </c>
      <c r="BJ196" s="29"/>
      <c r="BK196" s="29"/>
    </row>
    <row r="197" ht="15.75" customHeight="1">
      <c r="A197" s="30" t="s">
        <v>957</v>
      </c>
      <c r="B197" s="22"/>
      <c r="C197" s="31"/>
      <c r="D197" s="31" t="s">
        <v>74</v>
      </c>
      <c r="E197" s="31"/>
      <c r="F197" s="32" t="s">
        <v>102</v>
      </c>
      <c r="G197" s="50" t="s">
        <v>945</v>
      </c>
      <c r="H197" s="31" t="s">
        <v>183</v>
      </c>
      <c r="I197" s="16" t="str">
        <f t="array" ref="I197">INDEX(Validations!$C$2:$C$100, MATCH(TRUE, ISNUMBER(SEARCH(Validations!$B$2:$B$100, H197)), 0))</f>
        <v>E</v>
      </c>
      <c r="J197" s="17" t="s">
        <v>958</v>
      </c>
      <c r="K197" s="18"/>
      <c r="L197" s="17"/>
      <c r="M197" s="17"/>
      <c r="N197" s="27"/>
      <c r="O197" s="17"/>
      <c r="P197" s="21"/>
      <c r="Q197" s="21"/>
      <c r="R197" s="36" t="s">
        <v>959</v>
      </c>
      <c r="S197" s="17" t="str">
        <f>IFERROR(__xludf.DUMMYFUNCTION("IFERROR(REGEXEXTRACT(J197, ""(\d{1,3}[dD]\d{1,3})""), """")"),"")</f>
        <v/>
      </c>
      <c r="T197" s="17" t="str">
        <f>IFERROR(__xludf.DUMMYFUNCTION("IF(COUNTIF(ARRAYFORMULA(LOWER(Validations!$O$2:$O$100)), LOWER(REGEXEXTRACT(J197, ""\d{1,3}[dD]\d{1,3}\s+(\w+)"")))&gt;0, REGEXEXTRACT(J197, ""\d{1,3}[dD]\d{1,3}\s+(\w+)""), """")"),"")</f>
        <v/>
      </c>
      <c r="U197" s="17" t="str">
        <f>IFERROR(__xludf.DUMMYFUNCTION("IF(COUNTIF(ARRAYFORMULA(LOWER(Validations!$P$2:$P$100)), LOWER(REGEXEXTRACT(J197, ""\d{1,3}[dD]\d{1,3}\s+(\w+)"")))&gt;0, REGEXEXTRACT(J197, ""\d{1,3}[dD]\d{1,3}\s+(\w+)""), """")"),"")</f>
        <v/>
      </c>
      <c r="V197" s="12" t="str">
        <f>IFERROR(__xludf.DUMMYFUNCTION("TEXTJOIN("", "", TRUE, FILTER(Validations!$L$2:$L$100, ISNUMBER(SEARCH(Validations!$L$2:$L$100, J197))))"),"")</f>
        <v/>
      </c>
      <c r="W197" s="12" t="str">
        <f>IFERROR(__xludf.DUMMYFUNCTION("IFERROR(TEXTJOIN("", "", TRUE, FILTER(Validations!$M$2:$M$100, ISNUMBER(SEARCH(Validations!$M$2:$M$100 &amp; "" saving throw"", J197)))), """")"),"Wisdom, Charisma")</f>
        <v>Wisdom, Charisma</v>
      </c>
      <c r="X197" s="12"/>
      <c r="Y197" s="12"/>
      <c r="Z197" s="12" t="str">
        <f>IFERROR(__xludf.DUMMYFUNCTION("IFERROR(TEXTJOIN("", "", TRUE, FILTER(Validations!$N$2:$N$100, ISNUMBER(SEARCH(Validations!$N$2:$N$100 &amp; "" check"", J197)))), """")"),"")</f>
        <v/>
      </c>
      <c r="AA197" s="12" t="str">
        <f>IFERROR(__xludf.DUMMYFUNCTION("IFERROR(TEXTJOIN("", "", TRUE, FILTER(Validations!$N$2:$N$100, ISNUMBER(SEARCH(Validations!$N$2:$N$100 &amp; "" check"", W197)))), """")"),"")</f>
        <v/>
      </c>
      <c r="AB197" s="23" t="str">
        <f>IFERROR(__xludf.DUMMYFUNCTION("IFERROR(CONCATENATE(IF(ISNUMBER(SEARCH(Validations!$M$2:$M$100 &amp; "" spell save"", J197)),""Spell Save"",""""), REGEXEXTRACT(J197, ""DC (\d+)"")), """")"),"")</f>
        <v/>
      </c>
      <c r="AC197" s="24" t="b">
        <v>0</v>
      </c>
      <c r="AD197" s="24" t="b">
        <v>0</v>
      </c>
      <c r="AE197" s="36" t="s">
        <v>69</v>
      </c>
      <c r="AF197" s="25">
        <f>IFERROR(__xludf.DUMMYFUNCTION("IFERROR(VALUE(REGEXEXTRACT(AE197, ""\d+"")), 1)"),1.0)</f>
        <v>1</v>
      </c>
      <c r="AG197" s="12" t="str">
        <f>IFERROR(__xludf.DUMMYFUNCTION("IF(
  ISNUMBER(SEARCH(""Bonus Action"", AE197)),
  ""Bonus Action"",
  IF(
    ISNUMBER(SEARCH(""Reaction"", AE197)),
    ""Reaction"",
    IF(
      ISNUMBER(SEARCH(""Action"", AE197)),
      ""Action"",
      TEXTJOIN("", "", TRUE, FILTER(Validations!$S"&amp;"$2:$S$100, ISNUMBER(SEARCH(Validations!$S$2:$S$100, AE197))))
    )
  )
)"),"Action")</f>
        <v>Action</v>
      </c>
      <c r="AH197" s="36"/>
      <c r="AI197" s="20" t="s">
        <v>92</v>
      </c>
      <c r="AJ197" s="26" t="str">
        <f>IFERROR(__xludf.DUMMYFUNCTION("TEXTJOIN("", "", TRUE, FILTER(Validations!$T$2:$T$100, ISNUMBER(SEARCH(Validations!$T$2:$T$100, AI197))))"),"")</f>
        <v/>
      </c>
      <c r="AK197" s="26">
        <f>IFERROR(__xludf.DUMMYFUNCTION("IFERROR(VALUE(REGEXEXTRACT(AI197, ""\d+"")), """")"),1.0)</f>
        <v>1</v>
      </c>
      <c r="AL197" s="26" t="str">
        <f>IFERROR(__xludf.DUMMYFUNCTION("TEXTJOIN("", "", TRUE, FILTER(Validations!$U$2:$U$100, ISNUMBER(SEARCH(Validations!$U$2:$U$100, AI197))))"),"Minutes")</f>
        <v>Minutes</v>
      </c>
      <c r="AM197" s="24" t="b">
        <f t="shared" si="1"/>
        <v>0</v>
      </c>
      <c r="AN197" s="24" t="b">
        <v>1</v>
      </c>
      <c r="AO197" s="22" t="s">
        <v>112</v>
      </c>
      <c r="AP197" s="12" t="str">
        <f>IFERROR(__xludf.DUMMYFUNCTION("IF(TEXTJOIN("", "", TRUE, FILTER(Validations!$Q$2:$Q$100, ISNUMBER(SEARCH(Validations!$Q$2:$Q$100, AO197)))) = """", Validations!$Q$2, TEXTJOIN("", "", TRUE, FILTER(Validations!$Q$2:$Q$100, ISNUMBER(SEARCH(Validations!$Q$2:$Q$100, AO197)))))"),"Point")</f>
        <v>Point</v>
      </c>
      <c r="AQ197" s="12">
        <f>IFERROR(__xludf.DUMMYFUNCTION("IFERROR(VALUE(REGEXEXTRACT(AO197, ""\d+"")), """")"),30.0)</f>
        <v>30</v>
      </c>
      <c r="AR197" s="12" t="str">
        <f>IFERROR(__xludf.DUMMYFUNCTION("TEXTJOIN("", "", TRUE, FILTER(Validations!$R$2:$R$100, ISNUMBER(SEARCH(Validations!$R$2:$R$100, AO197))))"),"Feet")</f>
        <v>Feet</v>
      </c>
      <c r="AS197" s="27"/>
      <c r="AT197" s="12" t="str">
        <f>IFERROR(__xludf.DUMMYFUNCTION("IFERROR(TEXTJOIN("", "", TRUE, FILTER(Validations!$I$2:$I$100, ISNUMBER(SEARCH(Validations!$I$2:$I$100, AS197)))), """")"),"")</f>
        <v/>
      </c>
      <c r="AU197" s="16" t="str">
        <f t="array" ref="AU197">IFERROR(INDEX(Validations!$J$2:$J$100, MATCH(TRUE, ISNUMBER(SEARCH(Validations!$I$2:$I$100, AT197)), 0)), "")</f>
        <v/>
      </c>
      <c r="AV197" s="12" t="str">
        <f>IFERROR(__xludf.DUMMYFUNCTION("IFERROR(VALUE(REGEXEXTRACT(AS197, ""\d+"")), """")"),"")</f>
        <v/>
      </c>
      <c r="AW197" s="12" t="str">
        <f>IFERROR(__xludf.DUMMYFUNCTION("IFERROR(TEXTJOIN("", "", TRUE, FILTER(Validations!$Q$2:$Q$100, ISNUMBER(SEARCH(Validations!$Q$2:$Q$100, AS197)))), """")"),"")</f>
        <v/>
      </c>
      <c r="AX197" s="28" t="s">
        <v>152</v>
      </c>
      <c r="AY197" s="28" t="str">
        <f>IFERROR(__xludf.DUMMYFUNCTION("TEXTJOIN("", "", TRUE, FILTER(Validations!$Y$2:$Y$100, ISNUMBER(SEARCH(Validations!$X$2:$X$100, AX197))))"),"V, S, R")</f>
        <v>V, S, R</v>
      </c>
      <c r="AZ197" s="20" t="s">
        <v>960</v>
      </c>
      <c r="BA197" s="22"/>
      <c r="BB197" s="22"/>
      <c r="BC197" s="22"/>
      <c r="BD197" s="22"/>
      <c r="BE197" s="27"/>
      <c r="BF197" s="22"/>
      <c r="BG197" s="27"/>
      <c r="BH197" s="27"/>
      <c r="BI197" s="12" t="str">
        <f>IFERROR(__xludf.DUMMYFUNCTION("IFERROR(TEXTJOIN("", "", TRUE, FILTER(SRD!$A$2:$A$1000, EXACT(SRD!$A$2:$A$1000, J197))), """")"),"")</f>
        <v/>
      </c>
      <c r="BJ197" s="29"/>
      <c r="BK197" s="29"/>
    </row>
    <row r="198" ht="15.75" customHeight="1">
      <c r="A198" s="30" t="s">
        <v>961</v>
      </c>
      <c r="B198" s="22"/>
      <c r="C198" s="31"/>
      <c r="D198" s="31" t="s">
        <v>18</v>
      </c>
      <c r="E198" s="31"/>
      <c r="F198" s="32" t="s">
        <v>769</v>
      </c>
      <c r="G198" s="50" t="s">
        <v>945</v>
      </c>
      <c r="H198" s="31" t="s">
        <v>178</v>
      </c>
      <c r="I198" s="16" t="str">
        <f t="array" ref="I198">INDEX(Validations!$C$2:$C$100, MATCH(TRUE, ISNUMBER(SEARCH(Validations!$B$2:$B$100, H198)), 0))</f>
        <v>A</v>
      </c>
      <c r="J198" s="17" t="s">
        <v>962</v>
      </c>
      <c r="K198" s="18"/>
      <c r="L198" s="17"/>
      <c r="M198" s="17"/>
      <c r="N198" s="27"/>
      <c r="O198" s="17"/>
      <c r="P198" s="21"/>
      <c r="Q198" s="21"/>
      <c r="R198" s="22"/>
      <c r="S198" s="17" t="str">
        <f>IFERROR(__xludf.DUMMYFUNCTION("IFERROR(REGEXEXTRACT(J198, ""(\d{1,3}[dD]\d{1,3})""), """")"),"")</f>
        <v/>
      </c>
      <c r="T198" s="17" t="str">
        <f>IFERROR(__xludf.DUMMYFUNCTION("IF(COUNTIF(ARRAYFORMULA(LOWER(Validations!$O$2:$O$100)), LOWER(REGEXEXTRACT(J198, ""\d{1,3}[dD]\d{1,3}\s+(\w+)"")))&gt;0, REGEXEXTRACT(J198, ""\d{1,3}[dD]\d{1,3}\s+(\w+)""), """")"),"")</f>
        <v/>
      </c>
      <c r="U198" s="17" t="str">
        <f>IFERROR(__xludf.DUMMYFUNCTION("IF(COUNTIF(ARRAYFORMULA(LOWER(Validations!$P$2:$P$100)), LOWER(REGEXEXTRACT(J198, ""\d{1,3}[dD]\d{1,3}\s+(\w+)"")))&gt;0, REGEXEXTRACT(J198, ""\d{1,3}[dD]\d{1,3}\s+(\w+)""), """")"),"")</f>
        <v/>
      </c>
      <c r="V198" s="12" t="str">
        <f>IFERROR(__xludf.DUMMYFUNCTION("TEXTJOIN("", "", TRUE, FILTER(Validations!$L$2:$L$100, ISNUMBER(SEARCH(Validations!$L$2:$L$100, J198))))"),"")</f>
        <v/>
      </c>
      <c r="W198" s="12" t="str">
        <f>IFERROR(__xludf.DUMMYFUNCTION("IFERROR(TEXTJOIN("", "", TRUE, FILTER(Validations!$M$2:$M$100, ISNUMBER(SEARCH(Validations!$M$2:$M$100 &amp; "" saving throw"", J198)))), """")"),"")</f>
        <v/>
      </c>
      <c r="X198" s="12"/>
      <c r="Y198" s="12"/>
      <c r="Z198" s="12" t="str">
        <f>IFERROR(__xludf.DUMMYFUNCTION("IFERROR(TEXTJOIN("", "", TRUE, FILTER(Validations!$N$2:$N$100, ISNUMBER(SEARCH(Validations!$N$2:$N$100 &amp; "" check"", J198)))), """")"),"")</f>
        <v/>
      </c>
      <c r="AA198" s="12" t="str">
        <f>IFERROR(__xludf.DUMMYFUNCTION("IFERROR(TEXTJOIN("", "", TRUE, FILTER(Validations!$N$2:$N$100, ISNUMBER(SEARCH(Validations!$N$2:$N$100 &amp; "" check"", W198)))), """")"),"")</f>
        <v/>
      </c>
      <c r="AB198" s="23" t="str">
        <f>IFERROR(__xludf.DUMMYFUNCTION("IFERROR(CONCATENATE(IF(ISNUMBER(SEARCH(Validations!$M$2:$M$100 &amp; "" spell save"", J198)),""Spell Save"",""""), REGEXEXTRACT(J198, ""DC (\d+)"")), """")"),"")</f>
        <v/>
      </c>
      <c r="AC198" s="24" t="b">
        <v>0</v>
      </c>
      <c r="AD198" s="24" t="b">
        <v>0</v>
      </c>
      <c r="AE198" s="36" t="s">
        <v>69</v>
      </c>
      <c r="AF198" s="25">
        <f>IFERROR(__xludf.DUMMYFUNCTION("IFERROR(VALUE(REGEXEXTRACT(AE198, ""\d+"")), 1)"),1.0)</f>
        <v>1</v>
      </c>
      <c r="AG198" s="12" t="str">
        <f>IFERROR(__xludf.DUMMYFUNCTION("IF(
  ISNUMBER(SEARCH(""Bonus Action"", AE198)),
  ""Bonus Action"",
  IF(
    ISNUMBER(SEARCH(""Reaction"", AE198)),
    ""Reaction"",
    IF(
      ISNUMBER(SEARCH(""Action"", AE198)),
      ""Action"",
      TEXTJOIN("", "", TRUE, FILTER(Validations!$S"&amp;"$2:$S$100, ISNUMBER(SEARCH(Validations!$S$2:$S$100, AE198))))
    )
  )
)"),"Action")</f>
        <v>Action</v>
      </c>
      <c r="AH198" s="36"/>
      <c r="AI198" s="20" t="s">
        <v>134</v>
      </c>
      <c r="AJ198" s="26" t="str">
        <f>IFERROR(__xludf.DUMMYFUNCTION("TEXTJOIN("", "", TRUE, FILTER(Validations!$T$2:$T$100, ISNUMBER(SEARCH(Validations!$T$2:$T$100, AI198))))"),"")</f>
        <v/>
      </c>
      <c r="AK198" s="26">
        <f>IFERROR(__xludf.DUMMYFUNCTION("IFERROR(VALUE(REGEXEXTRACT(AI198, ""\d+"")), """")"),10.0)</f>
        <v>10</v>
      </c>
      <c r="AL198" s="26" t="str">
        <f>IFERROR(__xludf.DUMMYFUNCTION("TEXTJOIN("", "", TRUE, FILTER(Validations!$U$2:$U$100, ISNUMBER(SEARCH(Validations!$U$2:$U$100, AI198))))"),"Minutes")</f>
        <v>Minutes</v>
      </c>
      <c r="AM198" s="24" t="b">
        <f t="shared" si="1"/>
        <v>0</v>
      </c>
      <c r="AN198" s="24" t="b">
        <v>0</v>
      </c>
      <c r="AO198" s="22" t="s">
        <v>71</v>
      </c>
      <c r="AP198" s="12" t="str">
        <f>IFERROR(__xludf.DUMMYFUNCTION("IF(TEXTJOIN("", "", TRUE, FILTER(Validations!$Q$2:$Q$100, ISNUMBER(SEARCH(Validations!$Q$2:$Q$100, AO198)))) = """", Validations!$Q$2, TEXTJOIN("", "", TRUE, FILTER(Validations!$Q$2:$Q$100, ISNUMBER(SEARCH(Validations!$Q$2:$Q$100, AO198)))))"),"Point")</f>
        <v>Point</v>
      </c>
      <c r="AQ198" s="12" t="str">
        <f>IFERROR(__xludf.DUMMYFUNCTION("IFERROR(VALUE(REGEXEXTRACT(AO198, ""\d+"")), """")"),"")</f>
        <v/>
      </c>
      <c r="AR198" s="12" t="str">
        <f>IFERROR(__xludf.DUMMYFUNCTION("TEXTJOIN("", "", TRUE, FILTER(Validations!$R$2:$R$100, ISNUMBER(SEARCH(Validations!$R$2:$R$100, AO198))))"),"Touch")</f>
        <v>Touch</v>
      </c>
      <c r="AS198" s="27"/>
      <c r="AT198" s="12" t="str">
        <f>IFERROR(__xludf.DUMMYFUNCTION("IFERROR(TEXTJOIN("", "", TRUE, FILTER(Validations!$I$2:$I$100, ISNUMBER(SEARCH(Validations!$I$2:$I$100, AS198)))), """")"),"")</f>
        <v/>
      </c>
      <c r="AU198" s="16" t="str">
        <f t="array" ref="AU198">IFERROR(INDEX(Validations!$J$2:$J$100, MATCH(TRUE, ISNUMBER(SEARCH(Validations!$I$2:$I$100, AT198)), 0)), "")</f>
        <v/>
      </c>
      <c r="AV198" s="12" t="str">
        <f>IFERROR(__xludf.DUMMYFUNCTION("IFERROR(VALUE(REGEXEXTRACT(AS198, ""\d+"")), """")"),"")</f>
        <v/>
      </c>
      <c r="AW198" s="12" t="str">
        <f>IFERROR(__xludf.DUMMYFUNCTION("IFERROR(TEXTJOIN("", "", TRUE, FILTER(Validations!$Q$2:$Q$100, ISNUMBER(SEARCH(Validations!$Q$2:$Q$100, AS198)))), """")"),"")</f>
        <v/>
      </c>
      <c r="AX198" s="28" t="s">
        <v>152</v>
      </c>
      <c r="AY198" s="28" t="str">
        <f>IFERROR(__xludf.DUMMYFUNCTION("TEXTJOIN("", "", TRUE, FILTER(Validations!$Y$2:$Y$100, ISNUMBER(SEARCH(Validations!$X$2:$X$100, AX198))))"),"V, S, R")</f>
        <v>V, S, R</v>
      </c>
      <c r="AZ198" s="20" t="s">
        <v>963</v>
      </c>
      <c r="BA198" s="22"/>
      <c r="BB198" s="22"/>
      <c r="BC198" s="22"/>
      <c r="BD198" s="22"/>
      <c r="BE198" s="27"/>
      <c r="BF198" s="22"/>
      <c r="BG198" s="27"/>
      <c r="BH198" s="27"/>
      <c r="BI198" s="12" t="str">
        <f>IFERROR(__xludf.DUMMYFUNCTION("IFERROR(TEXTJOIN("", "", TRUE, FILTER(SRD!$A$2:$A$1000, EXACT(SRD!$A$2:$A$1000, J198))), """")"),"")</f>
        <v/>
      </c>
      <c r="BJ198" s="29"/>
      <c r="BK198" s="29"/>
    </row>
    <row r="199" ht="15.75" customHeight="1">
      <c r="A199" s="30" t="s">
        <v>964</v>
      </c>
      <c r="B199" s="22"/>
      <c r="C199" s="16"/>
      <c r="D199" s="16" t="s">
        <v>302</v>
      </c>
      <c r="E199" s="16"/>
      <c r="F199" s="32" t="s">
        <v>965</v>
      </c>
      <c r="G199" s="50" t="s">
        <v>945</v>
      </c>
      <c r="H199" s="31" t="s">
        <v>178</v>
      </c>
      <c r="I199" s="16" t="str">
        <f t="array" ref="I199">INDEX(Validations!$C$2:$C$100, MATCH(TRUE, ISNUMBER(SEARCH(Validations!$B$2:$B$100, H199)), 0))</f>
        <v>A</v>
      </c>
      <c r="J199" s="17" t="s">
        <v>966</v>
      </c>
      <c r="K199" s="18"/>
      <c r="L199" s="17"/>
      <c r="M199" s="17"/>
      <c r="N199" s="27"/>
      <c r="O199" s="17"/>
      <c r="P199" s="21"/>
      <c r="Q199" s="21"/>
      <c r="R199" s="22"/>
      <c r="S199" s="17" t="str">
        <f>IFERROR(__xludf.DUMMYFUNCTION("IFERROR(REGEXEXTRACT(J199, ""(\d{1,3}[dD]\d{1,3})""), """")"),"3d8")</f>
        <v>3d8</v>
      </c>
      <c r="T199" s="17" t="str">
        <f>IFERROR(__xludf.DUMMYFUNCTION("IF(COUNTIF(ARRAYFORMULA(LOWER(Validations!$O$2:$O$100)), LOWER(REGEXEXTRACT(J199, ""\d{1,3}[dD]\d{1,3}\s+(\w+)"")))&gt;0, REGEXEXTRACT(J199, ""\d{1,3}[dD]\d{1,3}\s+(\w+)""), """")"),"")</f>
        <v/>
      </c>
      <c r="U199" s="17" t="str">
        <f>IFERROR(__xludf.DUMMYFUNCTION("IF(COUNTIF(ARRAYFORMULA(LOWER(Validations!$P$2:$P$100)), LOWER(REGEXEXTRACT(J199, ""\d{1,3}[dD]\d{1,3}\s+(\w+)"")))&gt;0, REGEXEXTRACT(J199, ""\d{1,3}[dD]\d{1,3}\s+(\w+)""), """")"),"")</f>
        <v/>
      </c>
      <c r="V199" s="12" t="str">
        <f>IFERROR(__xludf.DUMMYFUNCTION("TEXTJOIN("", "", TRUE, FILTER(Validations!$L$2:$L$100, ISNUMBER(SEARCH(Validations!$L$2:$L$100, J199))))"),"Exhaustion")</f>
        <v>Exhaustion</v>
      </c>
      <c r="W199" s="12" t="str">
        <f>IFERROR(__xludf.DUMMYFUNCTION("IFERROR(TEXTJOIN("", "", TRUE, FILTER(Validations!$M$2:$M$100, ISNUMBER(SEARCH(Validations!$M$2:$M$100 &amp; "" saving throw"", J199)))), """")"),"Constitution")</f>
        <v>Constitution</v>
      </c>
      <c r="X199" s="12"/>
      <c r="Y199" s="12"/>
      <c r="Z199" s="12" t="str">
        <f>IFERROR(__xludf.DUMMYFUNCTION("IFERROR(TEXTJOIN("", "", TRUE, FILTER(Validations!$N$2:$N$100, ISNUMBER(SEARCH(Validations!$N$2:$N$100 &amp; "" check"", J199)))), """")"),"")</f>
        <v/>
      </c>
      <c r="AA199" s="12" t="str">
        <f>IFERROR(__xludf.DUMMYFUNCTION("IFERROR(TEXTJOIN("", "", TRUE, FILTER(Validations!$N$2:$N$100, ISNUMBER(SEARCH(Validations!$N$2:$N$100 &amp; "" check"", W199)))), """")"),"")</f>
        <v/>
      </c>
      <c r="AB199" s="23" t="str">
        <f>IFERROR(__xludf.DUMMYFUNCTION("IFERROR(CONCATENATE(IF(ISNUMBER(SEARCH(Validations!$M$2:$M$100 &amp; "" spell save"", J199)),""Spell Save"",""""), REGEXEXTRACT(J199, ""DC (\d+)"")), """")"),"")</f>
        <v/>
      </c>
      <c r="AC199" s="24" t="b">
        <v>0</v>
      </c>
      <c r="AD199" s="24" t="b">
        <v>0</v>
      </c>
      <c r="AE199" s="36" t="s">
        <v>69</v>
      </c>
      <c r="AF199" s="25">
        <f>IFERROR(__xludf.DUMMYFUNCTION("IFERROR(VALUE(REGEXEXTRACT(AE199, ""\d+"")), 1)"),1.0)</f>
        <v>1</v>
      </c>
      <c r="AG199" s="12" t="str">
        <f>IFERROR(__xludf.DUMMYFUNCTION("IF(
  ISNUMBER(SEARCH(""Bonus Action"", AE199)),
  ""Bonus Action"",
  IF(
    ISNUMBER(SEARCH(""Reaction"", AE199)),
    ""Reaction"",
    IF(
      ISNUMBER(SEARCH(""Action"", AE199)),
      ""Action"",
      TEXTJOIN("", "", TRUE, FILTER(Validations!$S"&amp;"$2:$S$100, ISNUMBER(SEARCH(Validations!$S$2:$S$100, AE199))))
    )
  )
)"),"Action")</f>
        <v>Action</v>
      </c>
      <c r="AH199" s="36"/>
      <c r="AI199" s="20" t="s">
        <v>134</v>
      </c>
      <c r="AJ199" s="26" t="str">
        <f>IFERROR(__xludf.DUMMYFUNCTION("TEXTJOIN("", "", TRUE, FILTER(Validations!$T$2:$T$100, ISNUMBER(SEARCH(Validations!$T$2:$T$100, AI199))))"),"")</f>
        <v/>
      </c>
      <c r="AK199" s="26">
        <f>IFERROR(__xludf.DUMMYFUNCTION("IFERROR(VALUE(REGEXEXTRACT(AI199, ""\d+"")), """")"),10.0)</f>
        <v>10</v>
      </c>
      <c r="AL199" s="26" t="str">
        <f>IFERROR(__xludf.DUMMYFUNCTION("TEXTJOIN("", "", TRUE, FILTER(Validations!$U$2:$U$100, ISNUMBER(SEARCH(Validations!$U$2:$U$100, AI199))))"),"Minutes")</f>
        <v>Minutes</v>
      </c>
      <c r="AM199" s="24" t="b">
        <f t="shared" si="1"/>
        <v>0</v>
      </c>
      <c r="AN199" s="24" t="b">
        <v>0</v>
      </c>
      <c r="AO199" s="22" t="s">
        <v>112</v>
      </c>
      <c r="AP199" s="12" t="str">
        <f>IFERROR(__xludf.DUMMYFUNCTION("IF(TEXTJOIN("", "", TRUE, FILTER(Validations!$Q$2:$Q$100, ISNUMBER(SEARCH(Validations!$Q$2:$Q$100, AO199)))) = """", Validations!$Q$2, TEXTJOIN("", "", TRUE, FILTER(Validations!$Q$2:$Q$100, ISNUMBER(SEARCH(Validations!$Q$2:$Q$100, AO199)))))"),"Point")</f>
        <v>Point</v>
      </c>
      <c r="AQ199" s="12">
        <f>IFERROR(__xludf.DUMMYFUNCTION("IFERROR(VALUE(REGEXEXTRACT(AO199, ""\d+"")), """")"),30.0)</f>
        <v>30</v>
      </c>
      <c r="AR199" s="12" t="str">
        <f>IFERROR(__xludf.DUMMYFUNCTION("TEXTJOIN("", "", TRUE, FILTER(Validations!$R$2:$R$100, ISNUMBER(SEARCH(Validations!$R$2:$R$100, AO199))))"),"Feet")</f>
        <v>Feet</v>
      </c>
      <c r="AS199" s="27"/>
      <c r="AT199" s="12" t="str">
        <f>IFERROR(__xludf.DUMMYFUNCTION("IFERROR(TEXTJOIN("", "", TRUE, FILTER(Validations!$I$2:$I$100, ISNUMBER(SEARCH(Validations!$I$2:$I$100, AS199)))), """")"),"")</f>
        <v/>
      </c>
      <c r="AU199" s="16" t="str">
        <f t="array" ref="AU199">IFERROR(INDEX(Validations!$J$2:$J$100, MATCH(TRUE, ISNUMBER(SEARCH(Validations!$I$2:$I$100, AT199)), 0)), "")</f>
        <v/>
      </c>
      <c r="AV199" s="12" t="str">
        <f>IFERROR(__xludf.DUMMYFUNCTION("IFERROR(VALUE(REGEXEXTRACT(AS199, ""\d+"")), """")"),"")</f>
        <v/>
      </c>
      <c r="AW199" s="12" t="str">
        <f>IFERROR(__xludf.DUMMYFUNCTION("IFERROR(TEXTJOIN("", "", TRUE, FILTER(Validations!$Q$2:$Q$100, ISNUMBER(SEARCH(Validations!$Q$2:$Q$100, AS199)))), """")"),"")</f>
        <v/>
      </c>
      <c r="AX199" s="28" t="s">
        <v>152</v>
      </c>
      <c r="AY199" s="28" t="str">
        <f>IFERROR(__xludf.DUMMYFUNCTION("TEXTJOIN("", "", TRUE, FILTER(Validations!$Y$2:$Y$100, ISNUMBER(SEARCH(Validations!$X$2:$X$100, AX199))))"),"V, S, R")</f>
        <v>V, S, R</v>
      </c>
      <c r="AZ199" s="20" t="s">
        <v>967</v>
      </c>
      <c r="BA199" s="22"/>
      <c r="BB199" s="22"/>
      <c r="BC199" s="22"/>
      <c r="BD199" s="22"/>
      <c r="BE199" s="27"/>
      <c r="BF199" s="22"/>
      <c r="BG199" s="27"/>
      <c r="BH199" s="27"/>
      <c r="BI199" s="12" t="str">
        <f>IFERROR(__xludf.DUMMYFUNCTION("IFERROR(TEXTJOIN("", "", TRUE, FILTER(SRD!$A$2:$A$1000, EXACT(SRD!$A$2:$A$1000, J199))), """")"),"")</f>
        <v/>
      </c>
      <c r="BJ199" s="29"/>
      <c r="BK199" s="29"/>
    </row>
    <row r="200" ht="15.75" customHeight="1">
      <c r="A200" s="30" t="s">
        <v>968</v>
      </c>
      <c r="B200" s="22"/>
      <c r="C200" s="31"/>
      <c r="D200" s="31" t="s">
        <v>74</v>
      </c>
      <c r="E200" s="31"/>
      <c r="F200" s="32" t="s">
        <v>102</v>
      </c>
      <c r="G200" s="50" t="s">
        <v>945</v>
      </c>
      <c r="H200" s="31" t="s">
        <v>178</v>
      </c>
      <c r="I200" s="16" t="str">
        <f t="array" ref="I200">INDEX(Validations!$C$2:$C$100, MATCH(TRUE, ISNUMBER(SEARCH(Validations!$B$2:$B$100, H200)), 0))</f>
        <v>A</v>
      </c>
      <c r="J200" s="17" t="s">
        <v>969</v>
      </c>
      <c r="K200" s="18"/>
      <c r="L200" s="17"/>
      <c r="M200" s="17"/>
      <c r="N200" s="27"/>
      <c r="O200" s="17"/>
      <c r="P200" s="21"/>
      <c r="Q200" s="21"/>
      <c r="R200" s="22"/>
      <c r="S200" s="17" t="str">
        <f>IFERROR(__xludf.DUMMYFUNCTION("IFERROR(REGEXEXTRACT(J200, ""(\d{1,3}[dD]\d{1,3})""), """")"),"")</f>
        <v/>
      </c>
      <c r="T200" s="17" t="str">
        <f>IFERROR(__xludf.DUMMYFUNCTION("IF(COUNTIF(ARRAYFORMULA(LOWER(Validations!$O$2:$O$100)), LOWER(REGEXEXTRACT(J200, ""\d{1,3}[dD]\d{1,3}\s+(\w+)"")))&gt;0, REGEXEXTRACT(J200, ""\d{1,3}[dD]\d{1,3}\s+(\w+)""), """")"),"")</f>
        <v/>
      </c>
      <c r="U200" s="17" t="str">
        <f>IFERROR(__xludf.DUMMYFUNCTION("IF(COUNTIF(ARRAYFORMULA(LOWER(Validations!$P$2:$P$100)), LOWER(REGEXEXTRACT(J200, ""\d{1,3}[dD]\d{1,3}\s+(\w+)"")))&gt;0, REGEXEXTRACT(J200, ""\d{1,3}[dD]\d{1,3}\s+(\w+)""), """")"),"")</f>
        <v/>
      </c>
      <c r="V200" s="12" t="str">
        <f>IFERROR(__xludf.DUMMYFUNCTION("TEXTJOIN("", "", TRUE, FILTER(Validations!$L$2:$L$100, ISNUMBER(SEARCH(Validations!$L$2:$L$100, J200))))"),"")</f>
        <v/>
      </c>
      <c r="W200" s="12" t="str">
        <f>IFERROR(__xludf.DUMMYFUNCTION("IFERROR(TEXTJOIN("", "", TRUE, FILTER(Validations!$M$2:$M$100, ISNUMBER(SEARCH(Validations!$M$2:$M$100 &amp; "" saving throw"", J200)))), """")"),"Intelligence")</f>
        <v>Intelligence</v>
      </c>
      <c r="X200" s="12"/>
      <c r="Y200" s="12"/>
      <c r="Z200" s="12" t="str">
        <f>IFERROR(__xludf.DUMMYFUNCTION("IFERROR(TEXTJOIN("", "", TRUE, FILTER(Validations!$N$2:$N$100, ISNUMBER(SEARCH(Validations!$N$2:$N$100 &amp; "" check"", J200)))), """")"),"")</f>
        <v/>
      </c>
      <c r="AA200" s="12" t="str">
        <f>IFERROR(__xludf.DUMMYFUNCTION("IFERROR(TEXTJOIN("", "", TRUE, FILTER(Validations!$N$2:$N$100, ISNUMBER(SEARCH(Validations!$N$2:$N$100 &amp; "" check"", W200)))), """")"),"")</f>
        <v/>
      </c>
      <c r="AB200" s="23" t="str">
        <f>IFERROR(__xludf.DUMMYFUNCTION("IFERROR(CONCATENATE(IF(ISNUMBER(SEARCH(Validations!$M$2:$M$100 &amp; "" spell save"", J200)),""Spell Save"",""""), REGEXEXTRACT(J200, ""DC (\d+)"")), """")"),"")</f>
        <v/>
      </c>
      <c r="AC200" s="24" t="b">
        <v>0</v>
      </c>
      <c r="AD200" s="24" t="b">
        <v>0</v>
      </c>
      <c r="AE200" s="36" t="s">
        <v>208</v>
      </c>
      <c r="AF200" s="25">
        <f>IFERROR(__xludf.DUMMYFUNCTION("IFERROR(VALUE(REGEXEXTRACT(AE200, ""\d+"")), 1)"),1.0)</f>
        <v>1</v>
      </c>
      <c r="AG200" s="12" t="str">
        <f>IFERROR(__xludf.DUMMYFUNCTION("IF(
  ISNUMBER(SEARCH(""Bonus Action"", AE200)),
  ""Bonus Action"",
  IF(
    ISNUMBER(SEARCH(""Reaction"", AE200)),
    ""Reaction"",
    IF(
      ISNUMBER(SEARCH(""Action"", AE200)),
      ""Action"",
      TEXTJOIN("", "", TRUE, FILTER(Validations!$S"&amp;"$2:$S$100, ISNUMBER(SEARCH(Validations!$S$2:$S$100, AE200))))
    )
  )
)"),"Reaction")</f>
        <v>Reaction</v>
      </c>
      <c r="AH200" s="36" t="s">
        <v>970</v>
      </c>
      <c r="AI200" s="20" t="s">
        <v>92</v>
      </c>
      <c r="AJ200" s="26" t="str">
        <f>IFERROR(__xludf.DUMMYFUNCTION("TEXTJOIN("", "", TRUE, FILTER(Validations!$T$2:$T$100, ISNUMBER(SEARCH(Validations!$T$2:$T$100, AI200))))"),"")</f>
        <v/>
      </c>
      <c r="AK200" s="26">
        <f>IFERROR(__xludf.DUMMYFUNCTION("IFERROR(VALUE(REGEXEXTRACT(AI200, ""\d+"")), """")"),1.0)</f>
        <v>1</v>
      </c>
      <c r="AL200" s="26" t="str">
        <f>IFERROR(__xludf.DUMMYFUNCTION("TEXTJOIN("", "", TRUE, FILTER(Validations!$U$2:$U$100, ISNUMBER(SEARCH(Validations!$U$2:$U$100, AI200))))"),"Minutes")</f>
        <v>Minutes</v>
      </c>
      <c r="AM200" s="24" t="b">
        <f t="shared" si="1"/>
        <v>0</v>
      </c>
      <c r="AN200" s="24" t="b">
        <v>0</v>
      </c>
      <c r="AO200" s="22" t="s">
        <v>78</v>
      </c>
      <c r="AP200" s="12" t="str">
        <f>IFERROR(__xludf.DUMMYFUNCTION("IF(TEXTJOIN("", "", TRUE, FILTER(Validations!$Q$2:$Q$100, ISNUMBER(SEARCH(Validations!$Q$2:$Q$100, AO200)))) = """", Validations!$Q$2, TEXTJOIN("", "", TRUE, FILTER(Validations!$Q$2:$Q$100, ISNUMBER(SEARCH(Validations!$Q$2:$Q$100, AO200)))))"),"Point")</f>
        <v>Point</v>
      </c>
      <c r="AQ200" s="12" t="str">
        <f>IFERROR(__xludf.DUMMYFUNCTION("IFERROR(VALUE(REGEXEXTRACT(AO200, ""\d+"")), """")"),"")</f>
        <v/>
      </c>
      <c r="AR200" s="12" t="str">
        <f>IFERROR(__xludf.DUMMYFUNCTION("TEXTJOIN("", "", TRUE, FILTER(Validations!$R$2:$R$100, ISNUMBER(SEARCH(Validations!$R$2:$R$100, AO200))))"),"Self")</f>
        <v>Self</v>
      </c>
      <c r="AS200" s="27"/>
      <c r="AT200" s="12" t="str">
        <f>IFERROR(__xludf.DUMMYFUNCTION("IFERROR(TEXTJOIN("", "", TRUE, FILTER(Validations!$I$2:$I$100, ISNUMBER(SEARCH(Validations!$I$2:$I$100, AS200)))), """")"),"")</f>
        <v/>
      </c>
      <c r="AU200" s="16" t="str">
        <f t="array" ref="AU200">IFERROR(INDEX(Validations!$J$2:$J$100, MATCH(TRUE, ISNUMBER(SEARCH(Validations!$I$2:$I$100, AT200)), 0)), "")</f>
        <v/>
      </c>
      <c r="AV200" s="12" t="str">
        <f>IFERROR(__xludf.DUMMYFUNCTION("IFERROR(VALUE(REGEXEXTRACT(AS200, ""\d+"")), """")"),"")</f>
        <v/>
      </c>
      <c r="AW200" s="12" t="str">
        <f>IFERROR(__xludf.DUMMYFUNCTION("IFERROR(TEXTJOIN("", "", TRUE, FILTER(Validations!$Q$2:$Q$100, ISNUMBER(SEARCH(Validations!$Q$2:$Q$100, AS200)))), """")"),"")</f>
        <v/>
      </c>
      <c r="AX200" s="28" t="s">
        <v>142</v>
      </c>
      <c r="AY200" s="28" t="str">
        <f>IFERROR(__xludf.DUMMYFUNCTION("TEXTJOIN("", "", TRUE, FILTER(Validations!$Y$2:$Y$100, ISNUMBER(SEARCH(Validations!$X$2:$X$100, AX200))))"),"V, S")</f>
        <v>V, S</v>
      </c>
      <c r="AZ200" s="27"/>
      <c r="BA200" s="22"/>
      <c r="BB200" s="22"/>
      <c r="BC200" s="22"/>
      <c r="BD200" s="22"/>
      <c r="BE200" s="27"/>
      <c r="BF200" s="22"/>
      <c r="BG200" s="27"/>
      <c r="BH200" s="27"/>
      <c r="BI200" s="12" t="str">
        <f>IFERROR(__xludf.DUMMYFUNCTION("IFERROR(TEXTJOIN("", "", TRUE, FILTER(SRD!$A$2:$A$1000, EXACT(SRD!$A$2:$A$1000, J200))), """")"),"")</f>
        <v/>
      </c>
      <c r="BJ200" s="29"/>
      <c r="BK200" s="29"/>
    </row>
    <row r="201" ht="15.75" customHeight="1">
      <c r="A201" s="30" t="s">
        <v>971</v>
      </c>
      <c r="B201" s="22"/>
      <c r="C201" s="31"/>
      <c r="D201" s="31" t="s">
        <v>74</v>
      </c>
      <c r="E201" s="31"/>
      <c r="F201" s="32" t="s">
        <v>102</v>
      </c>
      <c r="G201" s="50" t="s">
        <v>945</v>
      </c>
      <c r="H201" s="31" t="s">
        <v>183</v>
      </c>
      <c r="I201" s="16" t="str">
        <f t="array" ref="I201">INDEX(Validations!$C$2:$C$100, MATCH(TRUE, ISNUMBER(SEARCH(Validations!$B$2:$B$100, H201)), 0))</f>
        <v>E</v>
      </c>
      <c r="J201" s="17" t="s">
        <v>972</v>
      </c>
      <c r="K201" s="18"/>
      <c r="L201" s="17"/>
      <c r="M201" s="17"/>
      <c r="N201" s="27"/>
      <c r="O201" s="17"/>
      <c r="P201" s="21"/>
      <c r="Q201" s="21"/>
      <c r="R201" s="22"/>
      <c r="S201" s="17" t="str">
        <f>IFERROR(__xludf.DUMMYFUNCTION("IFERROR(REGEXEXTRACT(J201, ""(\d{1,3}[dD]\d{1,3})""), """")"),"")</f>
        <v/>
      </c>
      <c r="T201" s="17" t="str">
        <f>IFERROR(__xludf.DUMMYFUNCTION("IF(COUNTIF(ARRAYFORMULA(LOWER(Validations!$O$2:$O$100)), LOWER(REGEXEXTRACT(J201, ""\d{1,3}[dD]\d{1,3}\s+(\w+)"")))&gt;0, REGEXEXTRACT(J201, ""\d{1,3}[dD]\d{1,3}\s+(\w+)""), """")"),"")</f>
        <v/>
      </c>
      <c r="U201" s="17" t="str">
        <f>IFERROR(__xludf.DUMMYFUNCTION("IF(COUNTIF(ARRAYFORMULA(LOWER(Validations!$P$2:$P$100)), LOWER(REGEXEXTRACT(J201, ""\d{1,3}[dD]\d{1,3}\s+(\w+)"")))&gt;0, REGEXEXTRACT(J201, ""\d{1,3}[dD]\d{1,3}\s+(\w+)""), """")"),"")</f>
        <v/>
      </c>
      <c r="V201" s="12" t="str">
        <f>IFERROR(__xludf.DUMMYFUNCTION("TEXTJOIN("", "", TRUE, FILTER(Validations!$L$2:$L$100, ISNUMBER(SEARCH(Validations!$L$2:$L$100, J201))))"),"")</f>
        <v/>
      </c>
      <c r="W201" s="12" t="str">
        <f>IFERROR(__xludf.DUMMYFUNCTION("IFERROR(TEXTJOIN("", "", TRUE, FILTER(Validations!$M$2:$M$100, ISNUMBER(SEARCH(Validations!$M$2:$M$100 &amp; "" saving throw"", J201)))), """")"),"Intelligence")</f>
        <v>Intelligence</v>
      </c>
      <c r="X201" s="12"/>
      <c r="Y201" s="12"/>
      <c r="Z201" s="12" t="str">
        <f>IFERROR(__xludf.DUMMYFUNCTION("IFERROR(TEXTJOIN("", "", TRUE, FILTER(Validations!$N$2:$N$100, ISNUMBER(SEARCH(Validations!$N$2:$N$100 &amp; "" check"", J201)))), """")"),"")</f>
        <v/>
      </c>
      <c r="AA201" s="12" t="str">
        <f>IFERROR(__xludf.DUMMYFUNCTION("IFERROR(TEXTJOIN("", "", TRUE, FILTER(Validations!$N$2:$N$100, ISNUMBER(SEARCH(Validations!$N$2:$N$100 &amp; "" check"", W201)))), """")"),"")</f>
        <v/>
      </c>
      <c r="AB201" s="23" t="str">
        <f>IFERROR(__xludf.DUMMYFUNCTION("IFERROR(CONCATENATE(IF(ISNUMBER(SEARCH(Validations!$M$2:$M$100 &amp; "" spell save"", J201)),""Spell Save"",""""), REGEXEXTRACT(J201, ""DC (\d+)"")), """")"),"")</f>
        <v/>
      </c>
      <c r="AC201" s="24" t="b">
        <v>0</v>
      </c>
      <c r="AD201" s="24" t="b">
        <v>0</v>
      </c>
      <c r="AE201" s="36" t="s">
        <v>69</v>
      </c>
      <c r="AF201" s="25">
        <f>IFERROR(__xludf.DUMMYFUNCTION("IFERROR(VALUE(REGEXEXTRACT(AE201, ""\d+"")), 1)"),1.0)</f>
        <v>1</v>
      </c>
      <c r="AG201" s="12" t="str">
        <f>IFERROR(__xludf.DUMMYFUNCTION("IF(
  ISNUMBER(SEARCH(""Bonus Action"", AE201)),
  ""Bonus Action"",
  IF(
    ISNUMBER(SEARCH(""Reaction"", AE201)),
    ""Reaction"",
    IF(
      ISNUMBER(SEARCH(""Action"", AE201)),
      ""Action"",
      TEXTJOIN("", "", TRUE, FILTER(Validations!$S"&amp;"$2:$S$100, ISNUMBER(SEARCH(Validations!$S$2:$S$100, AE201))))
    )
  )
)"),"Action")</f>
        <v>Action</v>
      </c>
      <c r="AH201" s="36"/>
      <c r="AI201" s="20" t="s">
        <v>92</v>
      </c>
      <c r="AJ201" s="26" t="str">
        <f>IFERROR(__xludf.DUMMYFUNCTION("TEXTJOIN("", "", TRUE, FILTER(Validations!$T$2:$T$100, ISNUMBER(SEARCH(Validations!$T$2:$T$100, AI201))))"),"")</f>
        <v/>
      </c>
      <c r="AK201" s="26">
        <f>IFERROR(__xludf.DUMMYFUNCTION("IFERROR(VALUE(REGEXEXTRACT(AI201, ""\d+"")), """")"),1.0)</f>
        <v>1</v>
      </c>
      <c r="AL201" s="26" t="str">
        <f>IFERROR(__xludf.DUMMYFUNCTION("TEXTJOIN("", "", TRUE, FILTER(Validations!$U$2:$U$100, ISNUMBER(SEARCH(Validations!$U$2:$U$100, AI201))))"),"Minutes")</f>
        <v>Minutes</v>
      </c>
      <c r="AM201" s="24" t="b">
        <f t="shared" si="1"/>
        <v>0</v>
      </c>
      <c r="AN201" s="24" t="b">
        <v>0</v>
      </c>
      <c r="AO201" s="22" t="s">
        <v>112</v>
      </c>
      <c r="AP201" s="12" t="str">
        <f>IFERROR(__xludf.DUMMYFUNCTION("IF(TEXTJOIN("", "", TRUE, FILTER(Validations!$Q$2:$Q$100, ISNUMBER(SEARCH(Validations!$Q$2:$Q$100, AO201)))) = """", Validations!$Q$2, TEXTJOIN("", "", TRUE, FILTER(Validations!$Q$2:$Q$100, ISNUMBER(SEARCH(Validations!$Q$2:$Q$100, AO201)))))"),"Point")</f>
        <v>Point</v>
      </c>
      <c r="AQ201" s="12">
        <f>IFERROR(__xludf.DUMMYFUNCTION("IFERROR(VALUE(REGEXEXTRACT(AO201, ""\d+"")), """")"),30.0)</f>
        <v>30</v>
      </c>
      <c r="AR201" s="12" t="str">
        <f>IFERROR(__xludf.DUMMYFUNCTION("TEXTJOIN("", "", TRUE, FILTER(Validations!$R$2:$R$100, ISNUMBER(SEARCH(Validations!$R$2:$R$100, AO201))))"),"Feet")</f>
        <v>Feet</v>
      </c>
      <c r="AS201" s="27"/>
      <c r="AT201" s="12" t="str">
        <f>IFERROR(__xludf.DUMMYFUNCTION("IFERROR(TEXTJOIN("", "", TRUE, FILTER(Validations!$I$2:$I$100, ISNUMBER(SEARCH(Validations!$I$2:$I$100, AS201)))), """")"),"")</f>
        <v/>
      </c>
      <c r="AU201" s="16" t="str">
        <f t="array" ref="AU201">IFERROR(INDEX(Validations!$J$2:$J$100, MATCH(TRUE, ISNUMBER(SEARCH(Validations!$I$2:$I$100, AT201)), 0)), "")</f>
        <v/>
      </c>
      <c r="AV201" s="12" t="str">
        <f>IFERROR(__xludf.DUMMYFUNCTION("IFERROR(VALUE(REGEXEXTRACT(AS201, ""\d+"")), """")"),"")</f>
        <v/>
      </c>
      <c r="AW201" s="12" t="str">
        <f>IFERROR(__xludf.DUMMYFUNCTION("IFERROR(TEXTJOIN("", "", TRUE, FILTER(Validations!$Q$2:$Q$100, ISNUMBER(SEARCH(Validations!$Q$2:$Q$100, AS201)))), """")"),"")</f>
        <v/>
      </c>
      <c r="AX201" s="28" t="s">
        <v>142</v>
      </c>
      <c r="AY201" s="28" t="str">
        <f>IFERROR(__xludf.DUMMYFUNCTION("TEXTJOIN("", "", TRUE, FILTER(Validations!$Y$2:$Y$100, ISNUMBER(SEARCH(Validations!$X$2:$X$100, AX201))))"),"V, S")</f>
        <v>V, S</v>
      </c>
      <c r="AZ201" s="27"/>
      <c r="BA201" s="22"/>
      <c r="BB201" s="22"/>
      <c r="BC201" s="22"/>
      <c r="BD201" s="22"/>
      <c r="BE201" s="27"/>
      <c r="BF201" s="22"/>
      <c r="BG201" s="27"/>
      <c r="BH201" s="27"/>
      <c r="BI201" s="12" t="str">
        <f>IFERROR(__xludf.DUMMYFUNCTION("IFERROR(TEXTJOIN("", "", TRUE, FILTER(SRD!$A$2:$A$1000, EXACT(SRD!$A$2:$A$1000, J201))), """")"),"")</f>
        <v/>
      </c>
      <c r="BJ201" s="29"/>
      <c r="BK201" s="29"/>
    </row>
    <row r="202" ht="15.75" customHeight="1">
      <c r="A202" s="11" t="s">
        <v>973</v>
      </c>
      <c r="B202" s="12"/>
      <c r="C202" s="16"/>
      <c r="D202" s="16" t="s">
        <v>974</v>
      </c>
      <c r="E202" s="16"/>
      <c r="F202" s="32" t="s">
        <v>123</v>
      </c>
      <c r="G202" s="50" t="s">
        <v>945</v>
      </c>
      <c r="H202" s="31" t="s">
        <v>183</v>
      </c>
      <c r="I202" s="16" t="str">
        <f t="array" ref="I202">INDEX(Validations!$C$2:$C$100, MATCH(TRUE, ISNUMBER(SEARCH(Validations!$B$2:$B$100, H202)), 0))</f>
        <v>E</v>
      </c>
      <c r="J202" s="17" t="s">
        <v>975</v>
      </c>
      <c r="K202" s="18"/>
      <c r="L202" s="17"/>
      <c r="M202" s="17"/>
      <c r="N202" s="27"/>
      <c r="O202" s="17" t="s">
        <v>976</v>
      </c>
      <c r="P202" s="21"/>
      <c r="Q202" s="21"/>
      <c r="R202" s="22"/>
      <c r="S202" s="17" t="str">
        <f>IFERROR(__xludf.DUMMYFUNCTION("IFERROR(REGEXEXTRACT(J202, ""(\d{1,3}[dD]\d{1,3})""), """")"),"")</f>
        <v/>
      </c>
      <c r="T202" s="17" t="str">
        <f>IFERROR(__xludf.DUMMYFUNCTION("IF(COUNTIF(ARRAYFORMULA(LOWER(Validations!$O$2:$O$100)), LOWER(REGEXEXTRACT(J202, ""\d{1,3}[dD]\d{1,3}\s+(\w+)"")))&gt;0, REGEXEXTRACT(J202, ""\d{1,3}[dD]\d{1,3}\s+(\w+)""), """")"),"")</f>
        <v/>
      </c>
      <c r="U202" s="17" t="str">
        <f>IFERROR(__xludf.DUMMYFUNCTION("IF(COUNTIF(ARRAYFORMULA(LOWER(Validations!$P$2:$P$100)), LOWER(REGEXEXTRACT(J202, ""\d{1,3}[dD]\d{1,3}\s+(\w+)"")))&gt;0, REGEXEXTRACT(J202, ""\d{1,3}[dD]\d{1,3}\s+(\w+)""), """")"),"")</f>
        <v/>
      </c>
      <c r="V202" s="12" t="str">
        <f>IFERROR(__xludf.DUMMYFUNCTION("TEXTJOIN("", "", TRUE, FILTER(Validations!$L$2:$L$100, ISNUMBER(SEARCH(Validations!$L$2:$L$100, J202))))"),"Charmed")</f>
        <v>Charmed</v>
      </c>
      <c r="W202" s="12" t="str">
        <f>IFERROR(__xludf.DUMMYFUNCTION("IFERROR(TEXTJOIN("", "", TRUE, FILTER(Validations!$M$2:$M$100, ISNUMBER(SEARCH(Validations!$M$2:$M$100 &amp; "" saving throw"", J202)))), """")"),"Wisdom")</f>
        <v>Wisdom</v>
      </c>
      <c r="X202" s="12"/>
      <c r="Y202" s="12"/>
      <c r="Z202" s="12" t="str">
        <f>IFERROR(__xludf.DUMMYFUNCTION("IFERROR(TEXTJOIN("", "", TRUE, FILTER(Validations!$N$2:$N$100, ISNUMBER(SEARCH(Validations!$N$2:$N$100 &amp; "" check"", J202)))), """")"),"")</f>
        <v/>
      </c>
      <c r="AA202" s="12" t="str">
        <f>IFERROR(__xludf.DUMMYFUNCTION("IFERROR(TEXTJOIN("", "", TRUE, FILTER(Validations!$N$2:$N$100, ISNUMBER(SEARCH(Validations!$N$2:$N$100 &amp; "" check"", W202)))), """")"),"")</f>
        <v/>
      </c>
      <c r="AB202" s="23" t="str">
        <f>IFERROR(__xludf.DUMMYFUNCTION("IFERROR(CONCATENATE(IF(ISNUMBER(SEARCH(Validations!$M$2:$M$100 &amp; "" spell save"", J202)),""Spell Save"",""""), REGEXEXTRACT(J202, ""DC (\d+)"")), """")"),"")</f>
        <v/>
      </c>
      <c r="AC202" s="24" t="b">
        <v>0</v>
      </c>
      <c r="AD202" s="24" t="b">
        <v>0</v>
      </c>
      <c r="AE202" s="22" t="s">
        <v>977</v>
      </c>
      <c r="AF202" s="25">
        <f>IFERROR(__xludf.DUMMYFUNCTION("IFERROR(VALUE(REGEXEXTRACT(AE202, ""\d+"")), 1)"),1.0)</f>
        <v>1</v>
      </c>
      <c r="AG202" s="36" t="s">
        <v>69</v>
      </c>
      <c r="AH202" s="22"/>
      <c r="AI202" s="27" t="s">
        <v>789</v>
      </c>
      <c r="AJ202" s="26" t="str">
        <f>IFERROR(__xludf.DUMMYFUNCTION("TEXTJOIN("", "", TRUE, FILTER(Validations!$T$2:$T$100, ISNUMBER(SEARCH(Validations!$T$2:$T$100, AI202))))"),"Special")</f>
        <v>Special</v>
      </c>
      <c r="AK202" s="26" t="str">
        <f>IFERROR(__xludf.DUMMYFUNCTION("IFERROR(VALUE(REGEXEXTRACT(AI202, ""\d+"")), """")"),"")</f>
        <v/>
      </c>
      <c r="AL202" s="26" t="str">
        <f>IFERROR(__xludf.DUMMYFUNCTION("TEXTJOIN("", "", TRUE, FILTER(Validations!$U$2:$U$100, ISNUMBER(SEARCH(Validations!$U$2:$U$100, AI202))))"),"")</f>
        <v/>
      </c>
      <c r="AM202" s="24" t="b">
        <f t="shared" si="1"/>
        <v>0</v>
      </c>
      <c r="AN202" s="24" t="b">
        <v>0</v>
      </c>
      <c r="AO202" s="22" t="s">
        <v>348</v>
      </c>
      <c r="AP202" s="12" t="str">
        <f>IFERROR(__xludf.DUMMYFUNCTION("IF(TEXTJOIN("", "", TRUE, FILTER(Validations!$Q$2:$Q$100, ISNUMBER(SEARCH(Validations!$Q$2:$Q$100, AO202)))) = """", Validations!$Q$2, TEXTJOIN("", "", TRUE, FILTER(Validations!$Q$2:$Q$100, ISNUMBER(SEARCH(Validations!$Q$2:$Q$100, AO202)))))"),"Point")</f>
        <v>Point</v>
      </c>
      <c r="AQ202" s="12">
        <f>IFERROR(__xludf.DUMMYFUNCTION("IFERROR(VALUE(REGEXEXTRACT(AO202, ""\d+"")), """")"),10.0)</f>
        <v>10</v>
      </c>
      <c r="AR202" s="12" t="str">
        <f>IFERROR(__xludf.DUMMYFUNCTION("TEXTJOIN("", "", TRUE, FILTER(Validations!$R$2:$R$100, ISNUMBER(SEARCH(Validations!$R$2:$R$100, AO202))))"),"Yards")</f>
        <v>Yards</v>
      </c>
      <c r="AS202" s="27"/>
      <c r="AT202" s="12" t="str">
        <f>IFERROR(__xludf.DUMMYFUNCTION("IFERROR(TEXTJOIN("", "", TRUE, FILTER(Validations!$I$2:$I$100, ISNUMBER(SEARCH(Validations!$I$2:$I$100, AS202)))), """")"),"")</f>
        <v/>
      </c>
      <c r="AU202" s="16" t="str">
        <f t="array" ref="AU202">IFERROR(INDEX(Validations!$J$2:$J$100, MATCH(TRUE, ISNUMBER(SEARCH(Validations!$I$2:$I$100, AT202)), 0)), "")</f>
        <v/>
      </c>
      <c r="AV202" s="12" t="str">
        <f>IFERROR(__xludf.DUMMYFUNCTION("IFERROR(VALUE(REGEXEXTRACT(AS202, ""\d+"")), """")"),"")</f>
        <v/>
      </c>
      <c r="AW202" s="12" t="str">
        <f>IFERROR(__xludf.DUMMYFUNCTION("IFERROR(TEXTJOIN("", "", TRUE, FILTER(Validations!$Q$2:$Q$100, ISNUMBER(SEARCH(Validations!$Q$2:$Q$100, AS202)))), """")"),"")</f>
        <v/>
      </c>
      <c r="AX202" s="28" t="s">
        <v>80</v>
      </c>
      <c r="AY202" s="28" t="str">
        <f>IFERROR(__xludf.DUMMYFUNCTION("TEXTJOIN("", "", TRUE, FILTER(Validations!$Y$2:$Y$100, ISNUMBER(SEARCH(Validations!$X$2:$X$100, AX202))))"),"S, R")</f>
        <v>S, R</v>
      </c>
      <c r="AZ202" s="20" t="s">
        <v>978</v>
      </c>
      <c r="BA202" s="22"/>
      <c r="BB202" s="36"/>
      <c r="BC202" s="36"/>
      <c r="BD202" s="22"/>
      <c r="BE202" s="27"/>
      <c r="BF202" s="28" t="s">
        <v>463</v>
      </c>
      <c r="BG202" s="27"/>
      <c r="BH202" s="27"/>
      <c r="BI202" s="12" t="str">
        <f>IFERROR(__xludf.DUMMYFUNCTION("IFERROR(TEXTJOIN("", "", TRUE, FILTER(SRD!$A$2:$A$1000, EXACT(SRD!$A$2:$A$1000, J202))), """")"),"")</f>
        <v/>
      </c>
      <c r="BJ202" s="29"/>
      <c r="BK202" s="29"/>
    </row>
    <row r="203" ht="15.75" customHeight="1">
      <c r="A203" s="30" t="s">
        <v>979</v>
      </c>
      <c r="B203" s="22"/>
      <c r="C203" s="31"/>
      <c r="D203" s="31" t="s">
        <v>74</v>
      </c>
      <c r="E203" s="31"/>
      <c r="F203" s="32" t="s">
        <v>980</v>
      </c>
      <c r="G203" s="50" t="s">
        <v>945</v>
      </c>
      <c r="H203" s="31" t="s">
        <v>85</v>
      </c>
      <c r="I203" s="16" t="str">
        <f t="array" ref="I203">INDEX(Validations!$C$2:$C$100, MATCH(TRUE, ISNUMBER(SEARCH(Validations!$B$2:$B$100, H203)), 0))</f>
        <v>T</v>
      </c>
      <c r="J203" s="17" t="s">
        <v>981</v>
      </c>
      <c r="K203" s="18"/>
      <c r="L203" s="17"/>
      <c r="M203" s="17"/>
      <c r="N203" s="27"/>
      <c r="O203" s="17"/>
      <c r="P203" s="21"/>
      <c r="Q203" s="21"/>
      <c r="R203" s="22"/>
      <c r="S203" s="17" t="str">
        <f>IFERROR(__xludf.DUMMYFUNCTION("IFERROR(REGEXEXTRACT(J203, ""(\d{1,3}[dD]\d{1,3})""), """")"),"")</f>
        <v/>
      </c>
      <c r="T203" s="17" t="str">
        <f>IFERROR(__xludf.DUMMYFUNCTION("IF(COUNTIF(ARRAYFORMULA(LOWER(Validations!$O$2:$O$100)), LOWER(REGEXEXTRACT(J203, ""\d{1,3}[dD]\d{1,3}\s+(\w+)"")))&gt;0, REGEXEXTRACT(J203, ""\d{1,3}[dD]\d{1,3}\s+(\w+)""), """")"),"")</f>
        <v/>
      </c>
      <c r="U203" s="17" t="str">
        <f>IFERROR(__xludf.DUMMYFUNCTION("IF(COUNTIF(ARRAYFORMULA(LOWER(Validations!$P$2:$P$100)), LOWER(REGEXEXTRACT(J203, ""\d{1,3}[dD]\d{1,3}\s+(\w+)"")))&gt;0, REGEXEXTRACT(J203, ""\d{1,3}[dD]\d{1,3}\s+(\w+)""), """")"),"")</f>
        <v/>
      </c>
      <c r="V203" s="12" t="str">
        <f>IFERROR(__xludf.DUMMYFUNCTION("TEXTJOIN("", "", TRUE, FILTER(Validations!$L$2:$L$100, ISNUMBER(SEARCH(Validations!$L$2:$L$100, J203))))"),"Altered")</f>
        <v>Altered</v>
      </c>
      <c r="W203" s="12" t="str">
        <f>IFERROR(__xludf.DUMMYFUNCTION("IFERROR(TEXTJOIN("", "", TRUE, FILTER(Validations!$M$2:$M$100, ISNUMBER(SEARCH(Validations!$M$2:$M$100 &amp; "" saving throw"", J203)))), """")"),"")</f>
        <v/>
      </c>
      <c r="X203" s="12"/>
      <c r="Y203" s="12"/>
      <c r="Z203" s="12" t="str">
        <f>IFERROR(__xludf.DUMMYFUNCTION("IFERROR(TEXTJOIN("", "", TRUE, FILTER(Validations!$N$2:$N$100, ISNUMBER(SEARCH(Validations!$N$2:$N$100 &amp; "" check"", J203)))), """")"),"")</f>
        <v/>
      </c>
      <c r="AA203" s="12" t="str">
        <f>IFERROR(__xludf.DUMMYFUNCTION("IFERROR(TEXTJOIN("", "", TRUE, FILTER(Validations!$N$2:$N$100, ISNUMBER(SEARCH(Validations!$N$2:$N$100 &amp; "" check"", W203)))), """")"),"")</f>
        <v/>
      </c>
      <c r="AB203" s="23" t="str">
        <f>IFERROR(__xludf.DUMMYFUNCTION("IFERROR(CONCATENATE(IF(ISNUMBER(SEARCH(Validations!$M$2:$M$100 &amp; "" spell save"", J203)),""Spell Save"",""""), REGEXEXTRACT(J203, ""DC (\d+)"")), """")"),"")</f>
        <v/>
      </c>
      <c r="AC203" s="24" t="b">
        <v>0</v>
      </c>
      <c r="AD203" s="24" t="b">
        <v>0</v>
      </c>
      <c r="AE203" s="36" t="s">
        <v>69</v>
      </c>
      <c r="AF203" s="25">
        <f>IFERROR(__xludf.DUMMYFUNCTION("IFERROR(VALUE(REGEXEXTRACT(AE203, ""\d+"")), 1)"),1.0)</f>
        <v>1</v>
      </c>
      <c r="AG203" s="12" t="str">
        <f>IFERROR(__xludf.DUMMYFUNCTION("IF(
  ISNUMBER(SEARCH(""Bonus Action"", AE203)),
  ""Bonus Action"",
  IF(
    ISNUMBER(SEARCH(""Reaction"", AE203)),
    ""Reaction"",
    IF(
      ISNUMBER(SEARCH(""Action"", AE203)),
      ""Action"",
      TEXTJOIN("", "", TRUE, FILTER(Validations!$S"&amp;"$2:$S$100, ISNUMBER(SEARCH(Validations!$S$2:$S$100, AE203))))
    )
  )
)"),"Action")</f>
        <v>Action</v>
      </c>
      <c r="AH203" s="36"/>
      <c r="AI203" s="27" t="s">
        <v>255</v>
      </c>
      <c r="AJ203" s="26" t="str">
        <f>IFERROR(__xludf.DUMMYFUNCTION("TEXTJOIN("", "", TRUE, FILTER(Validations!$T$2:$T$100, ISNUMBER(SEARCH(Validations!$T$2:$T$100, AI203))))"),"Permanent")</f>
        <v>Permanent</v>
      </c>
      <c r="AK203" s="26" t="str">
        <f>IFERROR(__xludf.DUMMYFUNCTION("IFERROR(VALUE(REGEXEXTRACT(AI203, ""\d+"")), """")"),"")</f>
        <v/>
      </c>
      <c r="AL203" s="26" t="str">
        <f>IFERROR(__xludf.DUMMYFUNCTION("TEXTJOIN("", "", TRUE, FILTER(Validations!$U$2:$U$100, ISNUMBER(SEARCH(Validations!$U$2:$U$100, AI203))))"),"")</f>
        <v/>
      </c>
      <c r="AM203" s="24" t="b">
        <f t="shared" si="1"/>
        <v>0</v>
      </c>
      <c r="AN203" s="24" t="b">
        <v>0</v>
      </c>
      <c r="AO203" s="22" t="s">
        <v>440</v>
      </c>
      <c r="AP203" s="12" t="str">
        <f>IFERROR(__xludf.DUMMYFUNCTION("IF(TEXTJOIN("", "", TRUE, FILTER(Validations!$Q$2:$Q$100, ISNUMBER(SEARCH(Validations!$Q$2:$Q$100, AO203)))) = """", Validations!$Q$2, TEXTJOIN("", "", TRUE, FILTER(Validations!$Q$2:$Q$100, ISNUMBER(SEARCH(Validations!$Q$2:$Q$100, AO203)))))"),"Point")</f>
        <v>Point</v>
      </c>
      <c r="AQ203" s="12">
        <f>IFERROR(__xludf.DUMMYFUNCTION("IFERROR(VALUE(REGEXEXTRACT(AO203, ""\d+"")), """")"),60.0)</f>
        <v>60</v>
      </c>
      <c r="AR203" s="12" t="str">
        <f>IFERROR(__xludf.DUMMYFUNCTION("TEXTJOIN("", "", TRUE, FILTER(Validations!$R$2:$R$100, ISNUMBER(SEARCH(Validations!$R$2:$R$100, AO203))))"),"Feet")</f>
        <v>Feet</v>
      </c>
      <c r="AS203" s="27"/>
      <c r="AT203" s="12" t="str">
        <f>IFERROR(__xludf.DUMMYFUNCTION("IFERROR(TEXTJOIN("", "", TRUE, FILTER(Validations!$I$2:$I$100, ISNUMBER(SEARCH(Validations!$I$2:$I$100, AS203)))), """")"),"")</f>
        <v/>
      </c>
      <c r="AU203" s="16" t="str">
        <f t="array" ref="AU203">IFERROR(INDEX(Validations!$J$2:$J$100, MATCH(TRUE, ISNUMBER(SEARCH(Validations!$I$2:$I$100, AT203)), 0)), "")</f>
        <v/>
      </c>
      <c r="AV203" s="12" t="str">
        <f>IFERROR(__xludf.DUMMYFUNCTION("IFERROR(VALUE(REGEXEXTRACT(AS203, ""\d+"")), """")"),"")</f>
        <v/>
      </c>
      <c r="AW203" s="12" t="str">
        <f>IFERROR(__xludf.DUMMYFUNCTION("IFERROR(TEXTJOIN("", "", TRUE, FILTER(Validations!$Q$2:$Q$100, ISNUMBER(SEARCH(Validations!$Q$2:$Q$100, AS203)))), """")"),"")</f>
        <v/>
      </c>
      <c r="AX203" s="28" t="s">
        <v>152</v>
      </c>
      <c r="AY203" s="28" t="str">
        <f>IFERROR(__xludf.DUMMYFUNCTION("TEXTJOIN("", "", TRUE, FILTER(Validations!$Y$2:$Y$100, ISNUMBER(SEARCH(Validations!$X$2:$X$100, AX203))))"),"V, S, R")</f>
        <v>V, S, R</v>
      </c>
      <c r="AZ203" s="20" t="s">
        <v>982</v>
      </c>
      <c r="BA203" s="22"/>
      <c r="BB203" s="22"/>
      <c r="BC203" s="22"/>
      <c r="BD203" s="36" t="s">
        <v>983</v>
      </c>
      <c r="BE203" s="27"/>
      <c r="BF203" s="22"/>
      <c r="BG203" s="27"/>
      <c r="BH203" s="27"/>
      <c r="BI203" s="12" t="str">
        <f>IFERROR(__xludf.DUMMYFUNCTION("IFERROR(TEXTJOIN("", "", TRUE, FILTER(SRD!$A$2:$A$1000, EXACT(SRD!$A$2:$A$1000, J203))), """")"),"")</f>
        <v/>
      </c>
      <c r="BJ203" s="29"/>
      <c r="BK203" s="29"/>
    </row>
    <row r="204" ht="15.75" customHeight="1">
      <c r="A204" s="30" t="s">
        <v>984</v>
      </c>
      <c r="B204" s="22"/>
      <c r="C204" s="16"/>
      <c r="D204" s="16" t="s">
        <v>302</v>
      </c>
      <c r="E204" s="16"/>
      <c r="F204" s="32" t="s">
        <v>985</v>
      </c>
      <c r="G204" s="50" t="s">
        <v>945</v>
      </c>
      <c r="H204" s="31" t="s">
        <v>144</v>
      </c>
      <c r="I204" s="16" t="str">
        <f t="array" ref="I204">INDEX(Validations!$C$2:$C$100, MATCH(TRUE, ISNUMBER(SEARCH(Validations!$B$2:$B$100, H204)), 0))</f>
        <v>D</v>
      </c>
      <c r="J204" s="17" t="s">
        <v>986</v>
      </c>
      <c r="K204" s="18"/>
      <c r="L204" s="17"/>
      <c r="M204" s="17"/>
      <c r="N204" s="27"/>
      <c r="O204" s="17"/>
      <c r="P204" s="21"/>
      <c r="Q204" s="21"/>
      <c r="R204" s="22"/>
      <c r="S204" s="17" t="str">
        <f>IFERROR(__xludf.DUMMYFUNCTION("IFERROR(REGEXEXTRACT(J204, ""(\d{1,3}[dD]\d{1,3})""), """")"),"")</f>
        <v/>
      </c>
      <c r="T204" s="17" t="str">
        <f>IFERROR(__xludf.DUMMYFUNCTION("IF(COUNTIF(ARRAYFORMULA(LOWER(Validations!$O$2:$O$100)), LOWER(REGEXEXTRACT(J204, ""\d{1,3}[dD]\d{1,3}\s+(\w+)"")))&gt;0, REGEXEXTRACT(J204, ""\d{1,3}[dD]\d{1,3}\s+(\w+)""), """")"),"")</f>
        <v/>
      </c>
      <c r="U204" s="17" t="str">
        <f>IFERROR(__xludf.DUMMYFUNCTION("IF(COUNTIF(ARRAYFORMULA(LOWER(Validations!$P$2:$P$100)), LOWER(REGEXEXTRACT(J204, ""\d{1,3}[dD]\d{1,3}\s+(\w+)"")))&gt;0, REGEXEXTRACT(J204, ""\d{1,3}[dD]\d{1,3}\s+(\w+)""), """")"),"")</f>
        <v/>
      </c>
      <c r="V204" s="12" t="str">
        <f>IFERROR(__xludf.DUMMYFUNCTION("TEXTJOIN("", "", TRUE, FILTER(Validations!$L$2:$L$100, ISNUMBER(SEARCH(Validations!$L$2:$L$100, J204))))"),"Compelled")</f>
        <v>Compelled</v>
      </c>
      <c r="W204" s="12" t="str">
        <f>IFERROR(__xludf.DUMMYFUNCTION("IFERROR(TEXTJOIN("", "", TRUE, FILTER(Validations!$M$2:$M$100, ISNUMBER(SEARCH(Validations!$M$2:$M$100 &amp; "" saving throw"", J204)))), """")"),"Wisdom")</f>
        <v>Wisdom</v>
      </c>
      <c r="X204" s="12"/>
      <c r="Y204" s="12"/>
      <c r="Z204" s="12" t="str">
        <f>IFERROR(__xludf.DUMMYFUNCTION("IFERROR(TEXTJOIN("", "", TRUE, FILTER(Validations!$N$2:$N$100, ISNUMBER(SEARCH(Validations!$N$2:$N$100 &amp; "" check"", J204)))), """")"),"")</f>
        <v/>
      </c>
      <c r="AA204" s="12" t="str">
        <f>IFERROR(__xludf.DUMMYFUNCTION("IFERROR(TEXTJOIN("", "", TRUE, FILTER(Validations!$N$2:$N$100, ISNUMBER(SEARCH(Validations!$N$2:$N$100 &amp; "" check"", W204)))), """")"),"")</f>
        <v/>
      </c>
      <c r="AB204" s="23" t="str">
        <f>IFERROR(__xludf.DUMMYFUNCTION("IFERROR(CONCATENATE(IF(ISNUMBER(SEARCH(Validations!$M$2:$M$100 &amp; "" spell save"", J204)),""Spell Save"",""""), REGEXEXTRACT(J204, ""DC (\d+)"")), """")"),"")</f>
        <v/>
      </c>
      <c r="AC204" s="24" t="b">
        <v>0</v>
      </c>
      <c r="AD204" s="24" t="b">
        <v>0</v>
      </c>
      <c r="AE204" s="36" t="s">
        <v>69</v>
      </c>
      <c r="AF204" s="25">
        <f>IFERROR(__xludf.DUMMYFUNCTION("IFERROR(VALUE(REGEXEXTRACT(AE204, ""\d+"")), 1)"),1.0)</f>
        <v>1</v>
      </c>
      <c r="AG204" s="12" t="str">
        <f>IFERROR(__xludf.DUMMYFUNCTION("IF(
  ISNUMBER(SEARCH(""Bonus Action"", AE204)),
  ""Bonus Action"",
  IF(
    ISNUMBER(SEARCH(""Reaction"", AE204)),
    ""Reaction"",
    IF(
      ISNUMBER(SEARCH(""Action"", AE204)),
      ""Action"",
      TEXTJOIN("", "", TRUE, FILTER(Validations!$S"&amp;"$2:$S$100, ISNUMBER(SEARCH(Validations!$S$2:$S$100, AE204))))
    )
  )
)"),"Action")</f>
        <v>Action</v>
      </c>
      <c r="AH204" s="36"/>
      <c r="AI204" s="20" t="s">
        <v>92</v>
      </c>
      <c r="AJ204" s="26" t="str">
        <f>IFERROR(__xludf.DUMMYFUNCTION("TEXTJOIN("", "", TRUE, FILTER(Validations!$T$2:$T$100, ISNUMBER(SEARCH(Validations!$T$2:$T$100, AI204))))"),"")</f>
        <v/>
      </c>
      <c r="AK204" s="26">
        <f>IFERROR(__xludf.DUMMYFUNCTION("IFERROR(VALUE(REGEXEXTRACT(AI204, ""\d+"")), """")"),1.0)</f>
        <v>1</v>
      </c>
      <c r="AL204" s="26" t="str">
        <f>IFERROR(__xludf.DUMMYFUNCTION("TEXTJOIN("", "", TRUE, FILTER(Validations!$U$2:$U$100, ISNUMBER(SEARCH(Validations!$U$2:$U$100, AI204))))"),"Minutes")</f>
        <v>Minutes</v>
      </c>
      <c r="AM204" s="24" t="b">
        <f t="shared" si="1"/>
        <v>0</v>
      </c>
      <c r="AN204" s="24" t="b">
        <v>0</v>
      </c>
      <c r="AO204" s="22" t="s">
        <v>71</v>
      </c>
      <c r="AP204" s="12" t="str">
        <f>IFERROR(__xludf.DUMMYFUNCTION("IF(TEXTJOIN("", "", TRUE, FILTER(Validations!$Q$2:$Q$100, ISNUMBER(SEARCH(Validations!$Q$2:$Q$100, AO204)))) = """", Validations!$Q$2, TEXTJOIN("", "", TRUE, FILTER(Validations!$Q$2:$Q$100, ISNUMBER(SEARCH(Validations!$Q$2:$Q$100, AO204)))))"),"Point")</f>
        <v>Point</v>
      </c>
      <c r="AQ204" s="12" t="str">
        <f>IFERROR(__xludf.DUMMYFUNCTION("IFERROR(VALUE(REGEXEXTRACT(AO204, ""\d+"")), """")"),"")</f>
        <v/>
      </c>
      <c r="AR204" s="12" t="str">
        <f>IFERROR(__xludf.DUMMYFUNCTION("TEXTJOIN("", "", TRUE, FILTER(Validations!$R$2:$R$100, ISNUMBER(SEARCH(Validations!$R$2:$R$100, AO204))))"),"Touch")</f>
        <v>Touch</v>
      </c>
      <c r="AS204" s="27"/>
      <c r="AT204" s="12" t="str">
        <f>IFERROR(__xludf.DUMMYFUNCTION("IFERROR(TEXTJOIN("", "", TRUE, FILTER(Validations!$I$2:$I$100, ISNUMBER(SEARCH(Validations!$I$2:$I$100, AS204)))), """")"),"")</f>
        <v/>
      </c>
      <c r="AU204" s="16" t="str">
        <f t="array" ref="AU204">IFERROR(INDEX(Validations!$J$2:$J$100, MATCH(TRUE, ISNUMBER(SEARCH(Validations!$I$2:$I$100, AT204)), 0)), "")</f>
        <v/>
      </c>
      <c r="AV204" s="12" t="str">
        <f>IFERROR(__xludf.DUMMYFUNCTION("IFERROR(VALUE(REGEXEXTRACT(AS204, ""\d+"")), """")"),"")</f>
        <v/>
      </c>
      <c r="AW204" s="12" t="str">
        <f>IFERROR(__xludf.DUMMYFUNCTION("IFERROR(TEXTJOIN("", "", TRUE, FILTER(Validations!$Q$2:$Q$100, ISNUMBER(SEARCH(Validations!$Q$2:$Q$100, AS204)))), """")"),"")</f>
        <v/>
      </c>
      <c r="AX204" s="28" t="s">
        <v>152</v>
      </c>
      <c r="AY204" s="28" t="str">
        <f>IFERROR(__xludf.DUMMYFUNCTION("TEXTJOIN("", "", TRUE, FILTER(Validations!$Y$2:$Y$100, ISNUMBER(SEARCH(Validations!$X$2:$X$100, AX204))))"),"V, S, R")</f>
        <v>V, S, R</v>
      </c>
      <c r="AZ204" s="20" t="s">
        <v>987</v>
      </c>
      <c r="BA204" s="22"/>
      <c r="BB204" s="22"/>
      <c r="BC204" s="22"/>
      <c r="BD204" s="36" t="s">
        <v>988</v>
      </c>
      <c r="BE204" s="27"/>
      <c r="BF204" s="22"/>
      <c r="BG204" s="27"/>
      <c r="BH204" s="27"/>
      <c r="BI204" s="12" t="str">
        <f>IFERROR(__xludf.DUMMYFUNCTION("IFERROR(TEXTJOIN("", "", TRUE, FILTER(SRD!$A$2:$A$1000, EXACT(SRD!$A$2:$A$1000, J204))), """")"),"")</f>
        <v/>
      </c>
      <c r="BJ204" s="29"/>
      <c r="BK204" s="29"/>
    </row>
    <row r="205" ht="15.75" customHeight="1">
      <c r="A205" s="11" t="s">
        <v>989</v>
      </c>
      <c r="B205" s="12"/>
      <c r="C205" s="13"/>
      <c r="D205" s="13" t="s">
        <v>990</v>
      </c>
      <c r="E205" s="13"/>
      <c r="F205" s="14" t="s">
        <v>991</v>
      </c>
      <c r="G205" s="50" t="s">
        <v>945</v>
      </c>
      <c r="H205" s="16" t="s">
        <v>183</v>
      </c>
      <c r="I205" s="16" t="str">
        <f t="array" ref="I205">INDEX(Validations!$C$2:$C$100, MATCH(TRUE, ISNUMBER(SEARCH(Validations!$B$2:$B$100, H205)), 0))</f>
        <v>E</v>
      </c>
      <c r="J205" s="17" t="s">
        <v>992</v>
      </c>
      <c r="K205" s="18"/>
      <c r="L205" s="17"/>
      <c r="M205" s="37"/>
      <c r="N205" s="20" t="s">
        <v>993</v>
      </c>
      <c r="O205" s="17" t="s">
        <v>994</v>
      </c>
      <c r="P205" s="21"/>
      <c r="Q205" s="21"/>
      <c r="R205" s="22"/>
      <c r="S205" s="17" t="str">
        <f>IFERROR(__xludf.DUMMYFUNCTION("IFERROR(REGEXEXTRACT(J205, ""(\d{1,3}[dD]\d{1,3})""), """")"),"")</f>
        <v/>
      </c>
      <c r="T205" s="17" t="str">
        <f>IFERROR(__xludf.DUMMYFUNCTION("IF(COUNTIF(ARRAYFORMULA(LOWER(Validations!$O$2:$O$100)), LOWER(REGEXEXTRACT(J205, ""\d{1,3}[dD]\d{1,3}\s+(\w+)"")))&gt;0, REGEXEXTRACT(J205, ""\d{1,3}[dD]\d{1,3}\s+(\w+)""), """")"),"")</f>
        <v/>
      </c>
      <c r="U205" s="17" t="str">
        <f>IFERROR(__xludf.DUMMYFUNCTION("IF(COUNTIF(ARRAYFORMULA(LOWER(Validations!$P$2:$P$100)), LOWER(REGEXEXTRACT(J205, ""\d{1,3}[dD]\d{1,3}\s+(\w+)"")))&gt;0, REGEXEXTRACT(J205, ""\d{1,3}[dD]\d{1,3}\s+(\w+)""), """")"),"")</f>
        <v/>
      </c>
      <c r="V205" s="12" t="str">
        <f>IFERROR(__xludf.DUMMYFUNCTION("TEXTJOIN("", "", TRUE, FILTER(Validations!$L$2:$L$100, ISNUMBER(SEARCH(Validations!$L$2:$L$100, J205))))"),"Unconscious")</f>
        <v>Unconscious</v>
      </c>
      <c r="W205" s="12" t="str">
        <f>IFERROR(__xludf.DUMMYFUNCTION("IFERROR(TEXTJOIN("", "", TRUE, FILTER(Validations!$M$2:$M$100, ISNUMBER(SEARCH(Validations!$M$2:$M$100 &amp; "" saving throw"", J205)))), """")"),"Wisdom")</f>
        <v>Wisdom</v>
      </c>
      <c r="X205" s="12"/>
      <c r="Y205" s="12"/>
      <c r="Z205" s="12" t="str">
        <f>IFERROR(__xludf.DUMMYFUNCTION("IFERROR(TEXTJOIN("", "", TRUE, FILTER(Validations!$N$2:$N$100, ISNUMBER(SEARCH(Validations!$N$2:$N$100 &amp; "" check"", J205)))), """")"),"Insight")</f>
        <v>Insight</v>
      </c>
      <c r="AA205" s="12" t="str">
        <f>IFERROR(__xludf.DUMMYFUNCTION("IFERROR(TEXTJOIN("", "", TRUE, FILTER(Validations!$N$2:$N$100, ISNUMBER(SEARCH(Validations!$N$2:$N$100 &amp; "" check"", W205)))), """")"),"")</f>
        <v/>
      </c>
      <c r="AB205" s="23" t="str">
        <f>IFERROR(__xludf.DUMMYFUNCTION("IFERROR(CONCATENATE(IF(ISNUMBER(SEARCH(Validations!$M$2:$M$100 &amp; "" spell save"", J205)),""Spell Save"",""""), REGEXEXTRACT(J205, ""DC (\d+)"")), """")"),"")</f>
        <v/>
      </c>
      <c r="AC205" s="24" t="b">
        <v>0</v>
      </c>
      <c r="AD205" s="24" t="b">
        <v>0</v>
      </c>
      <c r="AE205" s="36" t="s">
        <v>208</v>
      </c>
      <c r="AF205" s="25">
        <f>IFERROR(__xludf.DUMMYFUNCTION("IFERROR(VALUE(REGEXEXTRACT(AE205, ""\d+"")), 1)"),1.0)</f>
        <v>1</v>
      </c>
      <c r="AG205" s="12" t="str">
        <f>IFERROR(__xludf.DUMMYFUNCTION("IF(
  ISNUMBER(SEARCH(""Bonus Action"", AE205)),
  ""Bonus Action"",
  IF(
    ISNUMBER(SEARCH(""Reaction"", AE205)),
    ""Reaction"",
    IF(
      ISNUMBER(SEARCH(""Action"", AE205)),
      ""Action"",
      TEXTJOIN("", "", TRUE, FILTER(Validations!$S"&amp;"$2:$S$100, ISNUMBER(SEARCH(Validations!$S$2:$S$100, AE205))))
    )
  )
)"),"Reaction")</f>
        <v>Reaction</v>
      </c>
      <c r="AH205" s="36" t="s">
        <v>995</v>
      </c>
      <c r="AI205" s="20" t="s">
        <v>92</v>
      </c>
      <c r="AJ205" s="26" t="str">
        <f>IFERROR(__xludf.DUMMYFUNCTION("TEXTJOIN("", "", TRUE, FILTER(Validations!$T$2:$T$100, ISNUMBER(SEARCH(Validations!$T$2:$T$100, AI205))))"),"")</f>
        <v/>
      </c>
      <c r="AK205" s="26">
        <f>IFERROR(__xludf.DUMMYFUNCTION("IFERROR(VALUE(REGEXEXTRACT(AI205, ""\d+"")), """")"),1.0)</f>
        <v>1</v>
      </c>
      <c r="AL205" s="26" t="str">
        <f>IFERROR(__xludf.DUMMYFUNCTION("TEXTJOIN("", "", TRUE, FILTER(Validations!$U$2:$U$100, ISNUMBER(SEARCH(Validations!$U$2:$U$100, AI205))))"),"Minutes")</f>
        <v>Minutes</v>
      </c>
      <c r="AM205" s="24" t="b">
        <f t="shared" si="1"/>
        <v>0</v>
      </c>
      <c r="AN205" s="24" t="b">
        <v>0</v>
      </c>
      <c r="AO205" s="36" t="s">
        <v>502</v>
      </c>
      <c r="AP205" s="12" t="str">
        <f>IFERROR(__xludf.DUMMYFUNCTION("IF(TEXTJOIN("", "", TRUE, FILTER(Validations!$Q$2:$Q$100, ISNUMBER(SEARCH(Validations!$Q$2:$Q$100, AO205)))) = """", Validations!$Q$2, TEXTJOIN("", "", TRUE, FILTER(Validations!$Q$2:$Q$100, ISNUMBER(SEARCH(Validations!$Q$2:$Q$100, AO205)))))"),"Point")</f>
        <v>Point</v>
      </c>
      <c r="AQ205" s="12">
        <f>IFERROR(__xludf.DUMMYFUNCTION("IFERROR(VALUE(REGEXEXTRACT(AO205, ""\d+"")), """")"),120.0)</f>
        <v>120</v>
      </c>
      <c r="AR205" s="12" t="str">
        <f>IFERROR(__xludf.DUMMYFUNCTION("TEXTJOIN("", "", TRUE, FILTER(Validations!$R$2:$R$100, ISNUMBER(SEARCH(Validations!$R$2:$R$100, AO205))))"),"Feet")</f>
        <v>Feet</v>
      </c>
      <c r="AS205" s="27"/>
      <c r="AT205" s="12" t="str">
        <f>IFERROR(__xludf.DUMMYFUNCTION("IFERROR(TEXTJOIN("", "", TRUE, FILTER(Validations!$I$2:$I$100, ISNUMBER(SEARCH(Validations!$I$2:$I$100, AS205)))), """")"),"")</f>
        <v/>
      </c>
      <c r="AU205" s="16" t="str">
        <f t="array" ref="AU205">IFERROR(INDEX(Validations!$J$2:$J$100, MATCH(TRUE, ISNUMBER(SEARCH(Validations!$I$2:$I$100, AT205)), 0)), "")</f>
        <v/>
      </c>
      <c r="AV205" s="12" t="str">
        <f>IFERROR(__xludf.DUMMYFUNCTION("IFERROR(VALUE(REGEXEXTRACT(AS205, ""\d+"")), """")"),"")</f>
        <v/>
      </c>
      <c r="AW205" s="12" t="str">
        <f>IFERROR(__xludf.DUMMYFUNCTION("IFERROR(TEXTJOIN("", "", TRUE, FILTER(Validations!$Q$2:$Q$100, ISNUMBER(SEARCH(Validations!$Q$2:$Q$100, AS205)))), """")"),"")</f>
        <v/>
      </c>
      <c r="AX205" s="28" t="s">
        <v>106</v>
      </c>
      <c r="AY205" s="28" t="str">
        <f>IFERROR(__xludf.DUMMYFUNCTION("TEXTJOIN("", "", TRUE, FILTER(Validations!$Y$2:$Y$100, ISNUMBER(SEARCH(Validations!$X$2:$X$100, AX205))))"),"S")</f>
        <v>S</v>
      </c>
      <c r="AZ205" s="26"/>
      <c r="BA205" s="12"/>
      <c r="BB205" s="22"/>
      <c r="BC205" s="22"/>
      <c r="BD205" s="22"/>
      <c r="BE205" s="27"/>
      <c r="BF205" s="22"/>
      <c r="BG205" s="27"/>
      <c r="BH205" s="27"/>
      <c r="BI205" s="12" t="str">
        <f>IFERROR(__xludf.DUMMYFUNCTION("IFERROR(TEXTJOIN("", "", TRUE, FILTER(SRD!$A$2:$A$1000, EXACT(SRD!$A$2:$A$1000, J205))), """")"),"")</f>
        <v/>
      </c>
      <c r="BJ205" s="29"/>
      <c r="BK205" s="29"/>
    </row>
    <row r="206" ht="15.75" customHeight="1">
      <c r="A206" s="11" t="s">
        <v>996</v>
      </c>
      <c r="B206" s="12"/>
      <c r="C206" s="13"/>
      <c r="D206" s="13" t="s">
        <v>997</v>
      </c>
      <c r="E206" s="13"/>
      <c r="F206" s="39" t="s">
        <v>828</v>
      </c>
      <c r="G206" s="50" t="s">
        <v>945</v>
      </c>
      <c r="H206" s="31" t="s">
        <v>144</v>
      </c>
      <c r="I206" s="16" t="str">
        <f t="array" ref="I206">INDEX(Validations!$C$2:$C$100, MATCH(TRUE, ISNUMBER(SEARCH(Validations!$B$2:$B$100, H206)), 0))</f>
        <v>D</v>
      </c>
      <c r="J206" s="17" t="s">
        <v>998</v>
      </c>
      <c r="K206" s="18"/>
      <c r="L206" s="17"/>
      <c r="M206" s="37"/>
      <c r="N206" s="20" t="s">
        <v>999</v>
      </c>
      <c r="O206" s="17" t="s">
        <v>1000</v>
      </c>
      <c r="P206" s="21"/>
      <c r="Q206" s="21"/>
      <c r="R206" s="22"/>
      <c r="S206" s="17" t="str">
        <f>IFERROR(__xludf.DUMMYFUNCTION("IFERROR(REGEXEXTRACT(J206, ""(\d{1,3}[dD]\d{1,3})""), """")"),"")</f>
        <v/>
      </c>
      <c r="T206" s="17" t="str">
        <f>IFERROR(__xludf.DUMMYFUNCTION("IF(COUNTIF(ARRAYFORMULA(LOWER(Validations!$O$2:$O$100)), LOWER(REGEXEXTRACT(J206, ""\d{1,3}[dD]\d{1,3}\s+(\w+)"")))&gt;0, REGEXEXTRACT(J206, ""\d{1,3}[dD]\d{1,3}\s+(\w+)""), """")"),"")</f>
        <v/>
      </c>
      <c r="U206" s="17" t="str">
        <f>IFERROR(__xludf.DUMMYFUNCTION("IF(COUNTIF(ARRAYFORMULA(LOWER(Validations!$P$2:$P$100)), LOWER(REGEXEXTRACT(J206, ""\d{1,3}[dD]\d{1,3}\s+(\w+)"")))&gt;0, REGEXEXTRACT(J206, ""\d{1,3}[dD]\d{1,3}\s+(\w+)""), """")"),"")</f>
        <v/>
      </c>
      <c r="V206" s="12" t="str">
        <f>IFERROR(__xludf.DUMMYFUNCTION("TEXTJOIN("", "", TRUE, FILTER(Validations!$L$2:$L$100, ISNUMBER(SEARCH(Validations!$L$2:$L$100, J206))))"),"Invisible")</f>
        <v>Invisible</v>
      </c>
      <c r="W206" s="12" t="str">
        <f>IFERROR(__xludf.DUMMYFUNCTION("IFERROR(TEXTJOIN("", "", TRUE, FILTER(Validations!$M$2:$M$100, ISNUMBER(SEARCH(Validations!$M$2:$M$100 &amp; "" saving throw"", J206)))), """")"),"")</f>
        <v/>
      </c>
      <c r="X206" s="12"/>
      <c r="Y206" s="12"/>
      <c r="Z206" s="12" t="str">
        <f>IFERROR(__xludf.DUMMYFUNCTION("IFERROR(TEXTJOIN("", "", TRUE, FILTER(Validations!$N$2:$N$100, ISNUMBER(SEARCH(Validations!$N$2:$N$100 &amp; "" check"", J206)))), """")"),"")</f>
        <v/>
      </c>
      <c r="AA206" s="12" t="str">
        <f>IFERROR(__xludf.DUMMYFUNCTION("IFERROR(TEXTJOIN("", "", TRUE, FILTER(Validations!$N$2:$N$100, ISNUMBER(SEARCH(Validations!$N$2:$N$100 &amp; "" check"", W206)))), """")"),"")</f>
        <v/>
      </c>
      <c r="AB206" s="23" t="str">
        <f>IFERROR(__xludf.DUMMYFUNCTION("IFERROR(CONCATENATE(IF(ISNUMBER(SEARCH(Validations!$M$2:$M$100 &amp; "" spell save"", J206)),""Spell Save"",""""), REGEXEXTRACT(J206, ""DC (\d+)"")), """")"),"")</f>
        <v/>
      </c>
      <c r="AC206" s="24" t="b">
        <v>0</v>
      </c>
      <c r="AD206" s="24" t="b">
        <v>0</v>
      </c>
      <c r="AE206" s="36" t="s">
        <v>208</v>
      </c>
      <c r="AF206" s="25">
        <f>IFERROR(__xludf.DUMMYFUNCTION("IFERROR(VALUE(REGEXEXTRACT(AE206, ""\d+"")), 1)"),1.0)</f>
        <v>1</v>
      </c>
      <c r="AG206" s="12" t="str">
        <f>IFERROR(__xludf.DUMMYFUNCTION("IF(
  ISNUMBER(SEARCH(""Bonus Action"", AE206)),
  ""Bonus Action"",
  IF(
    ISNUMBER(SEARCH(""Reaction"", AE206)),
    ""Reaction"",
    IF(
      ISNUMBER(SEARCH(""Action"", AE206)),
      ""Action"",
      TEXTJOIN("", "", TRUE, FILTER(Validations!$S"&amp;"$2:$S$100, ISNUMBER(SEARCH(Validations!$S$2:$S$100, AE206))))
    )
  )
)"),"Reaction")</f>
        <v>Reaction</v>
      </c>
      <c r="AH206" s="36" t="s">
        <v>1001</v>
      </c>
      <c r="AI206" s="20" t="s">
        <v>615</v>
      </c>
      <c r="AJ206" s="26" t="str">
        <f>IFERROR(__xludf.DUMMYFUNCTION("TEXTJOIN("", "", TRUE, FILTER(Validations!$T$2:$T$100, ISNUMBER(SEARCH(Validations!$T$2:$T$100, AI206))))"),"")</f>
        <v/>
      </c>
      <c r="AK206" s="26">
        <f>IFERROR(__xludf.DUMMYFUNCTION("IFERROR(VALUE(REGEXEXTRACT(AI206, ""\d+"")), """")"),30.0)</f>
        <v>30</v>
      </c>
      <c r="AL206" s="26" t="str">
        <f>IFERROR(__xludf.DUMMYFUNCTION("TEXTJOIN("", "", TRUE, FILTER(Validations!$U$2:$U$100, ISNUMBER(SEARCH(Validations!$U$2:$U$100, AI206))))"),"Minutes")</f>
        <v>Minutes</v>
      </c>
      <c r="AM206" s="24" t="b">
        <f t="shared" si="1"/>
        <v>0</v>
      </c>
      <c r="AN206" s="24" t="b">
        <v>0</v>
      </c>
      <c r="AO206" s="12" t="s">
        <v>71</v>
      </c>
      <c r="AP206" s="12" t="str">
        <f>IFERROR(__xludf.DUMMYFUNCTION("IF(TEXTJOIN("", "", TRUE, FILTER(Validations!$Q$2:$Q$100, ISNUMBER(SEARCH(Validations!$Q$2:$Q$100, AO206)))) = """", Validations!$Q$2, TEXTJOIN("", "", TRUE, FILTER(Validations!$Q$2:$Q$100, ISNUMBER(SEARCH(Validations!$Q$2:$Q$100, AO206)))))"),"Point")</f>
        <v>Point</v>
      </c>
      <c r="AQ206" s="12" t="str">
        <f>IFERROR(__xludf.DUMMYFUNCTION("IFERROR(VALUE(REGEXEXTRACT(AO206, ""\d+"")), """")"),"")</f>
        <v/>
      </c>
      <c r="AR206" s="12" t="str">
        <f>IFERROR(__xludf.DUMMYFUNCTION("TEXTJOIN("", "", TRUE, FILTER(Validations!$R$2:$R$100, ISNUMBER(SEARCH(Validations!$R$2:$R$100, AO206))))"),"Touch")</f>
        <v>Touch</v>
      </c>
      <c r="AS206" s="27"/>
      <c r="AT206" s="12" t="str">
        <f>IFERROR(__xludf.DUMMYFUNCTION("IFERROR(TEXTJOIN("", "", TRUE, FILTER(Validations!$I$2:$I$100, ISNUMBER(SEARCH(Validations!$I$2:$I$100, AS206)))), """")"),"")</f>
        <v/>
      </c>
      <c r="AU206" s="16" t="str">
        <f t="array" ref="AU206">IFERROR(INDEX(Validations!$J$2:$J$100, MATCH(TRUE, ISNUMBER(SEARCH(Validations!$I$2:$I$100, AT206)), 0)), "")</f>
        <v/>
      </c>
      <c r="AV206" s="12" t="str">
        <f>IFERROR(__xludf.DUMMYFUNCTION("IFERROR(VALUE(REGEXEXTRACT(AS206, ""\d+"")), """")"),"")</f>
        <v/>
      </c>
      <c r="AW206" s="12" t="str">
        <f>IFERROR(__xludf.DUMMYFUNCTION("IFERROR(TEXTJOIN("", "", TRUE, FILTER(Validations!$Q$2:$Q$100, ISNUMBER(SEARCH(Validations!$Q$2:$Q$100, AS206)))), """")"),"")</f>
        <v/>
      </c>
      <c r="AX206" s="28" t="s">
        <v>72</v>
      </c>
      <c r="AY206" s="28" t="str">
        <f>IFERROR(__xludf.DUMMYFUNCTION("TEXTJOIN("", "", TRUE, FILTER(Validations!$Y$2:$Y$100, ISNUMBER(SEARCH(Validations!$X$2:$X$100, AX206))))"),"V, S")</f>
        <v>V, S</v>
      </c>
      <c r="AZ206" s="26"/>
      <c r="BA206" s="12"/>
      <c r="BB206" s="22"/>
      <c r="BC206" s="22"/>
      <c r="BD206" s="22"/>
      <c r="BE206" s="27"/>
      <c r="BF206" s="22"/>
      <c r="BG206" s="27"/>
      <c r="BH206" s="27"/>
      <c r="BI206" s="12" t="str">
        <f>IFERROR(__xludf.DUMMYFUNCTION("IFERROR(TEXTJOIN("", "", TRUE, FILTER(SRD!$A$2:$A$1000, EXACT(SRD!$A$2:$A$1000, J206))), """")"),"")</f>
        <v/>
      </c>
      <c r="BJ206" s="29"/>
      <c r="BK206" s="29"/>
    </row>
    <row r="207" ht="15.75" customHeight="1">
      <c r="A207" s="30" t="s">
        <v>1002</v>
      </c>
      <c r="B207" s="22"/>
      <c r="C207" s="31"/>
      <c r="D207" s="31" t="s">
        <v>1003</v>
      </c>
      <c r="E207" s="31"/>
      <c r="F207" s="32" t="s">
        <v>199</v>
      </c>
      <c r="G207" s="50" t="s">
        <v>945</v>
      </c>
      <c r="H207" s="31" t="s">
        <v>85</v>
      </c>
      <c r="I207" s="16" t="str">
        <f t="array" ref="I207">INDEX(Validations!$C$2:$C$100, MATCH(TRUE, ISNUMBER(SEARCH(Validations!$B$2:$B$100, H207)), 0))</f>
        <v>T</v>
      </c>
      <c r="J207" s="17" t="s">
        <v>1004</v>
      </c>
      <c r="K207" s="18"/>
      <c r="L207" s="17"/>
      <c r="M207" s="17"/>
      <c r="N207" s="27"/>
      <c r="O207" s="17"/>
      <c r="P207" s="21"/>
      <c r="Q207" s="21"/>
      <c r="R207" s="22"/>
      <c r="S207" s="17" t="str">
        <f>IFERROR(__xludf.DUMMYFUNCTION("IFERROR(REGEXEXTRACT(J207, ""(\d{1,3}[dD]\d{1,3})""), """")"),"")</f>
        <v/>
      </c>
      <c r="T207" s="17" t="str">
        <f>IFERROR(__xludf.DUMMYFUNCTION("IF(COUNTIF(ARRAYFORMULA(LOWER(Validations!$O$2:$O$100)), LOWER(REGEXEXTRACT(J207, ""\d{1,3}[dD]\d{1,3}\s+(\w+)"")))&gt;0, REGEXEXTRACT(J207, ""\d{1,3}[dD]\d{1,3}\s+(\w+)""), """")"),"")</f>
        <v/>
      </c>
      <c r="U207" s="17" t="str">
        <f>IFERROR(__xludf.DUMMYFUNCTION("IF(COUNTIF(ARRAYFORMULA(LOWER(Validations!$P$2:$P$100)), LOWER(REGEXEXTRACT(J207, ""\d{1,3}[dD]\d{1,3}\s+(\w+)"")))&gt;0, REGEXEXTRACT(J207, ""\d{1,3}[dD]\d{1,3}\s+(\w+)""), """")"),"")</f>
        <v/>
      </c>
      <c r="V207" s="12" t="str">
        <f>IFERROR(__xludf.DUMMYFUNCTION("TEXTJOIN("", "", TRUE, FILTER(Validations!$L$2:$L$100, ISNUMBER(SEARCH(Validations!$L$2:$L$100, J207))))"),"")</f>
        <v/>
      </c>
      <c r="W207" s="12" t="str">
        <f>IFERROR(__xludf.DUMMYFUNCTION("IFERROR(TEXTJOIN("", "", TRUE, FILTER(Validations!$M$2:$M$100, ISNUMBER(SEARCH(Validations!$M$2:$M$100 &amp; "" saving throw"", J207)))), """")"),"")</f>
        <v/>
      </c>
      <c r="X207" s="12"/>
      <c r="Y207" s="12"/>
      <c r="Z207" s="12" t="str">
        <f>IFERROR(__xludf.DUMMYFUNCTION("IFERROR(TEXTJOIN("", "", TRUE, FILTER(Validations!$N$2:$N$100, ISNUMBER(SEARCH(Validations!$N$2:$N$100 &amp; "" check"", J207)))), """")"),"")</f>
        <v/>
      </c>
      <c r="AA207" s="12" t="str">
        <f>IFERROR(__xludf.DUMMYFUNCTION("IFERROR(TEXTJOIN("", "", TRUE, FILTER(Validations!$N$2:$N$100, ISNUMBER(SEARCH(Validations!$N$2:$N$100 &amp; "" check"", W207)))), """")"),"")</f>
        <v/>
      </c>
      <c r="AB207" s="23" t="str">
        <f>IFERROR(__xludf.DUMMYFUNCTION("IFERROR(CONCATENATE(IF(ISNUMBER(SEARCH(Validations!$M$2:$M$100 &amp; "" spell save"", J207)),""Spell Save"",""""), REGEXEXTRACT(J207, ""DC (\d+)"")), """")"),"")</f>
        <v/>
      </c>
      <c r="AC207" s="24" t="b">
        <v>0</v>
      </c>
      <c r="AD207" s="24" t="b">
        <v>0</v>
      </c>
      <c r="AE207" s="36" t="s">
        <v>69</v>
      </c>
      <c r="AF207" s="25">
        <f>IFERROR(__xludf.DUMMYFUNCTION("IFERROR(VALUE(REGEXEXTRACT(AE207, ""\d+"")), 1)"),1.0)</f>
        <v>1</v>
      </c>
      <c r="AG207" s="12" t="str">
        <f>IFERROR(__xludf.DUMMYFUNCTION("IF(
  ISNUMBER(SEARCH(""Bonus Action"", AE207)),
  ""Bonus Action"",
  IF(
    ISNUMBER(SEARCH(""Reaction"", AE207)),
    ""Reaction"",
    IF(
      ISNUMBER(SEARCH(""Action"", AE207)),
      ""Action"",
      TEXTJOIN("", "", TRUE, FILTER(Validations!$S"&amp;"$2:$S$100, ISNUMBER(SEARCH(Validations!$S$2:$S$100, AE207))))
    )
  )
)"),"Action")</f>
        <v>Action</v>
      </c>
      <c r="AH207" s="36"/>
      <c r="AI207" s="20" t="s">
        <v>92</v>
      </c>
      <c r="AJ207" s="26" t="str">
        <f>IFERROR(__xludf.DUMMYFUNCTION("TEXTJOIN("", "", TRUE, FILTER(Validations!$T$2:$T$100, ISNUMBER(SEARCH(Validations!$T$2:$T$100, AI207))))"),"")</f>
        <v/>
      </c>
      <c r="AK207" s="26">
        <f>IFERROR(__xludf.DUMMYFUNCTION("IFERROR(VALUE(REGEXEXTRACT(AI207, ""\d+"")), """")"),1.0)</f>
        <v>1</v>
      </c>
      <c r="AL207" s="26" t="str">
        <f>IFERROR(__xludf.DUMMYFUNCTION("TEXTJOIN("", "", TRUE, FILTER(Validations!$U$2:$U$100, ISNUMBER(SEARCH(Validations!$U$2:$U$100, AI207))))"),"Minutes")</f>
        <v>Minutes</v>
      </c>
      <c r="AM207" s="24" t="b">
        <f t="shared" si="1"/>
        <v>0</v>
      </c>
      <c r="AN207" s="24" t="b">
        <v>0</v>
      </c>
      <c r="AO207" s="22" t="s">
        <v>78</v>
      </c>
      <c r="AP207" s="12" t="str">
        <f>IFERROR(__xludf.DUMMYFUNCTION("IF(TEXTJOIN("", "", TRUE, FILTER(Validations!$Q$2:$Q$100, ISNUMBER(SEARCH(Validations!$Q$2:$Q$100, AO207)))) = """", Validations!$Q$2, TEXTJOIN("", "", TRUE, FILTER(Validations!$Q$2:$Q$100, ISNUMBER(SEARCH(Validations!$Q$2:$Q$100, AO207)))))"),"Point")</f>
        <v>Point</v>
      </c>
      <c r="AQ207" s="12" t="str">
        <f>IFERROR(__xludf.DUMMYFUNCTION("IFERROR(VALUE(REGEXEXTRACT(AO207, ""\d+"")), """")"),"")</f>
        <v/>
      </c>
      <c r="AR207" s="12" t="str">
        <f>IFERROR(__xludf.DUMMYFUNCTION("TEXTJOIN("", "", TRUE, FILTER(Validations!$R$2:$R$100, ISNUMBER(SEARCH(Validations!$R$2:$R$100, AO207))))"),"Self")</f>
        <v>Self</v>
      </c>
      <c r="AS207" s="27"/>
      <c r="AT207" s="12" t="str">
        <f>IFERROR(__xludf.DUMMYFUNCTION("IFERROR(TEXTJOIN("", "", TRUE, FILTER(Validations!$I$2:$I$100, ISNUMBER(SEARCH(Validations!$I$2:$I$100, AS207)))), """")"),"")</f>
        <v/>
      </c>
      <c r="AU207" s="16" t="str">
        <f t="array" ref="AU207">IFERROR(INDEX(Validations!$J$2:$J$100, MATCH(TRUE, ISNUMBER(SEARCH(Validations!$I$2:$I$100, AT207)), 0)), "")</f>
        <v/>
      </c>
      <c r="AV207" s="12" t="str">
        <f>IFERROR(__xludf.DUMMYFUNCTION("IFERROR(VALUE(REGEXEXTRACT(AS207, ""\d+"")), """")"),"")</f>
        <v/>
      </c>
      <c r="AW207" s="12" t="str">
        <f>IFERROR(__xludf.DUMMYFUNCTION("IFERROR(TEXTJOIN("", "", TRUE, FILTER(Validations!$Q$2:$Q$100, ISNUMBER(SEARCH(Validations!$Q$2:$Q$100, AS207)))), """")"),"")</f>
        <v/>
      </c>
      <c r="AX207" s="28" t="s">
        <v>142</v>
      </c>
      <c r="AY207" s="28" t="str">
        <f>IFERROR(__xludf.DUMMYFUNCTION("TEXTJOIN("", "", TRUE, FILTER(Validations!$Y$2:$Y$100, ISNUMBER(SEARCH(Validations!$X$2:$X$100, AX207))))"),"V, S")</f>
        <v>V, S</v>
      </c>
      <c r="AZ207" s="27"/>
      <c r="BA207" s="22"/>
      <c r="BB207" s="22"/>
      <c r="BC207" s="22"/>
      <c r="BD207" s="22"/>
      <c r="BE207" s="27"/>
      <c r="BF207" s="22"/>
      <c r="BG207" s="27"/>
      <c r="BH207" s="27"/>
      <c r="BI207" s="12" t="str">
        <f>IFERROR(__xludf.DUMMYFUNCTION("IFERROR(TEXTJOIN("", "", TRUE, FILTER(SRD!$A$2:$A$1000, EXACT(SRD!$A$2:$A$1000, J207))), """")"),"")</f>
        <v/>
      </c>
      <c r="BJ207" s="29"/>
      <c r="BK207" s="29"/>
    </row>
    <row r="208" ht="15.75" customHeight="1">
      <c r="A208" s="30" t="s">
        <v>1005</v>
      </c>
      <c r="B208" s="22"/>
      <c r="C208" s="31"/>
      <c r="D208" s="31" t="s">
        <v>74</v>
      </c>
      <c r="E208" s="31"/>
      <c r="F208" s="32" t="s">
        <v>1006</v>
      </c>
      <c r="G208" s="50" t="s">
        <v>945</v>
      </c>
      <c r="H208" s="31" t="s">
        <v>103</v>
      </c>
      <c r="I208" s="16" t="str">
        <f t="array" ref="I208">INDEX(Validations!$C$2:$C$100, MATCH(TRUE, ISNUMBER(SEARCH(Validations!$B$2:$B$100, H208)), 0))</f>
        <v>C</v>
      </c>
      <c r="J208" s="33" t="s">
        <v>1007</v>
      </c>
      <c r="K208" s="34"/>
      <c r="L208" s="33"/>
      <c r="M208" s="33"/>
      <c r="N208" s="27"/>
      <c r="O208" s="33"/>
      <c r="P208" s="35"/>
      <c r="Q208" s="35"/>
      <c r="R208" s="22"/>
      <c r="S208" s="17" t="str">
        <f>IFERROR(__xludf.DUMMYFUNCTION("IFERROR(REGEXEXTRACT(J208, ""(\d{1,3}[dD]\d{1,3})""), """")"),"")</f>
        <v/>
      </c>
      <c r="T208" s="17" t="str">
        <f>IFERROR(__xludf.DUMMYFUNCTION("IF(COUNTIF(ARRAYFORMULA(LOWER(Validations!$O$2:$O$100)), LOWER(REGEXEXTRACT(J208, ""\d{1,3}[dD]\d{1,3}\s+(\w+)"")))&gt;0, REGEXEXTRACT(J208, ""\d{1,3}[dD]\d{1,3}\s+(\w+)""), """")"),"")</f>
        <v/>
      </c>
      <c r="U208" s="17" t="str">
        <f>IFERROR(__xludf.DUMMYFUNCTION("IF(COUNTIF(ARRAYFORMULA(LOWER(Validations!$P$2:$P$100)), LOWER(REGEXEXTRACT(J208, ""\d{1,3}[dD]\d{1,3}\s+(\w+)"")))&gt;0, REGEXEXTRACT(J208, ""\d{1,3}[dD]\d{1,3}\s+(\w+)""), """")"),"")</f>
        <v/>
      </c>
      <c r="V208" s="12" t="str">
        <f>IFERROR(__xludf.DUMMYFUNCTION("TEXTJOIN("", "", TRUE, FILTER(Validations!$L$2:$L$100, ISNUMBER(SEARCH(Validations!$L$2:$L$100, J208))))"),"")</f>
        <v/>
      </c>
      <c r="W208" s="12" t="str">
        <f>IFERROR(__xludf.DUMMYFUNCTION("IFERROR(TEXTJOIN("", "", TRUE, FILTER(Validations!$M$2:$M$100, ISNUMBER(SEARCH(Validations!$M$2:$M$100 &amp; "" saving throw"", J208)))), """")"),"")</f>
        <v/>
      </c>
      <c r="X208" s="12"/>
      <c r="Y208" s="12"/>
      <c r="Z208" s="12" t="str">
        <f>IFERROR(__xludf.DUMMYFUNCTION("IFERROR(TEXTJOIN("", "", TRUE, FILTER(Validations!$N$2:$N$100, ISNUMBER(SEARCH(Validations!$N$2:$N$100 &amp; "" check"", J208)))), """")"),"")</f>
        <v/>
      </c>
      <c r="AA208" s="12" t="str">
        <f>IFERROR(__xludf.DUMMYFUNCTION("IFERROR(TEXTJOIN("", "", TRUE, FILTER(Validations!$N$2:$N$100, ISNUMBER(SEARCH(Validations!$N$2:$N$100 &amp; "" check"", W208)))), """")"),"")</f>
        <v/>
      </c>
      <c r="AB208" s="23" t="str">
        <f>IFERROR(__xludf.DUMMYFUNCTION("IFERROR(CONCATENATE(IF(ISNUMBER(SEARCH(Validations!$M$2:$M$100 &amp; "" spell save"", J208)),""Spell Save"",""""), REGEXEXTRACT(J208, ""DC (\d+)"")), """")"),"")</f>
        <v/>
      </c>
      <c r="AC208" s="24" t="b">
        <v>0</v>
      </c>
      <c r="AD208" s="24" t="b">
        <v>0</v>
      </c>
      <c r="AE208" s="36" t="s">
        <v>92</v>
      </c>
      <c r="AF208" s="25">
        <f>IFERROR(__xludf.DUMMYFUNCTION("IFERROR(VALUE(REGEXEXTRACT(AE208, ""\d+"")), 1)"),1.0)</f>
        <v>1</v>
      </c>
      <c r="AG208" s="12" t="str">
        <f>IFERROR(__xludf.DUMMYFUNCTION("IF(
  ISNUMBER(SEARCH(""Bonus Action"", AE208)),
  ""Bonus Action"",
  IF(
    ISNUMBER(SEARCH(""Reaction"", AE208)),
    ""Reaction"",
    IF(
      ISNUMBER(SEARCH(""Action"", AE208)),
      ""Action"",
      TEXTJOIN("", "", TRUE, FILTER(Validations!$S"&amp;"$2:$S$100, ISNUMBER(SEARCH(Validations!$S$2:$S$100, AE208))))
    )
  )
)"),"Minutes")</f>
        <v>Minutes</v>
      </c>
      <c r="AH208" s="22"/>
      <c r="AI208" s="20" t="s">
        <v>1008</v>
      </c>
      <c r="AJ208" s="26" t="str">
        <f>IFERROR(__xludf.DUMMYFUNCTION("TEXTJOIN("", "", TRUE, FILTER(Validations!$T$2:$T$100, ISNUMBER(SEARCH(Validations!$T$2:$T$100, AI208))))"),"")</f>
        <v/>
      </c>
      <c r="AK208" s="26">
        <f>IFERROR(__xludf.DUMMYFUNCTION("IFERROR(VALUE(REGEXEXTRACT(AI208, ""\d+"")), """")"),8.0)</f>
        <v>8</v>
      </c>
      <c r="AL208" s="26" t="str">
        <f>IFERROR(__xludf.DUMMYFUNCTION("TEXTJOIN("", "", TRUE, FILTER(Validations!$U$2:$U$100, ISNUMBER(SEARCH(Validations!$U$2:$U$100, AI208))))"),"Hours")</f>
        <v>Hours</v>
      </c>
      <c r="AM208" s="24" t="b">
        <f t="shared" si="1"/>
        <v>0</v>
      </c>
      <c r="AN208" s="24" t="b">
        <v>0</v>
      </c>
      <c r="AO208" s="36" t="s">
        <v>1009</v>
      </c>
      <c r="AP208" s="12" t="str">
        <f>IFERROR(__xludf.DUMMYFUNCTION("IF(TEXTJOIN("", "", TRUE, FILTER(Validations!$Q$2:$Q$100, ISNUMBER(SEARCH(Validations!$Q$2:$Q$100, AO208)))) = """", Validations!$Q$2, TEXTJOIN("", "", TRUE, FILTER(Validations!$Q$2:$Q$100, ISNUMBER(SEARCH(Validations!$Q$2:$Q$100, AO208)))))"),"Radius")</f>
        <v>Radius</v>
      </c>
      <c r="AQ208" s="12">
        <f>IFERROR(__xludf.DUMMYFUNCTION("IFERROR(VALUE(REGEXEXTRACT(AO208, ""\d+"")), """")"),10.0)</f>
        <v>10</v>
      </c>
      <c r="AR208" s="12" t="str">
        <f>IFERROR(__xludf.DUMMYFUNCTION("TEXTJOIN("", "", TRUE, FILTER(Validations!$R$2:$R$100, ISNUMBER(SEARCH(Validations!$R$2:$R$100, AO208))))"),"Self, Feet")</f>
        <v>Self, Feet</v>
      </c>
      <c r="AS208" s="27"/>
      <c r="AT208" s="12" t="str">
        <f>IFERROR(__xludf.DUMMYFUNCTION("IFERROR(TEXTJOIN("", "", TRUE, FILTER(Validations!$I$2:$I$100, ISNUMBER(SEARCH(Validations!$I$2:$I$100, AS208)))), """")"),"")</f>
        <v/>
      </c>
      <c r="AU208" s="16" t="str">
        <f t="array" ref="AU208">IFERROR(INDEX(Validations!$J$2:$J$100, MATCH(TRUE, ISNUMBER(SEARCH(Validations!$I$2:$I$100, AT208)), 0)), "")</f>
        <v/>
      </c>
      <c r="AV208" s="12" t="str">
        <f>IFERROR(__xludf.DUMMYFUNCTION("IFERROR(VALUE(REGEXEXTRACT(AS208, ""\d+"")), """")"),"")</f>
        <v/>
      </c>
      <c r="AW208" s="12" t="str">
        <f>IFERROR(__xludf.DUMMYFUNCTION("IFERROR(TEXTJOIN("", "", TRUE, FILTER(Validations!$Q$2:$Q$100, ISNUMBER(SEARCH(Validations!$Q$2:$Q$100, AS208)))), """")"),"")</f>
        <v/>
      </c>
      <c r="AX208" s="28" t="s">
        <v>152</v>
      </c>
      <c r="AY208" s="28" t="str">
        <f>IFERROR(__xludf.DUMMYFUNCTION("TEXTJOIN("", "", TRUE, FILTER(Validations!$Y$2:$Y$100, ISNUMBER(SEARCH(Validations!$X$2:$X$100, AX208))))"),"V, S, R")</f>
        <v>V, S, R</v>
      </c>
      <c r="AZ208" s="20" t="s">
        <v>1010</v>
      </c>
      <c r="BA208" s="22"/>
      <c r="BB208" s="22"/>
      <c r="BC208" s="22"/>
      <c r="BD208" s="22"/>
      <c r="BE208" s="27"/>
      <c r="BF208" s="22"/>
      <c r="BG208" s="27"/>
      <c r="BH208" s="27"/>
      <c r="BI208" s="12" t="str">
        <f>IFERROR(__xludf.DUMMYFUNCTION("IFERROR(TEXTJOIN("", "", TRUE, FILTER(SRD!$A$2:$A$1000, EXACT(SRD!$A$2:$A$1000, J208))), """")"),"")</f>
        <v/>
      </c>
      <c r="BJ208" s="29"/>
      <c r="BK208" s="29"/>
    </row>
    <row r="209" ht="15.75" customHeight="1">
      <c r="A209" s="30" t="s">
        <v>1011</v>
      </c>
      <c r="B209" s="22"/>
      <c r="C209" s="16"/>
      <c r="D209" s="16" t="s">
        <v>505</v>
      </c>
      <c r="E209" s="16"/>
      <c r="F209" s="32" t="s">
        <v>1012</v>
      </c>
      <c r="G209" s="50" t="s">
        <v>945</v>
      </c>
      <c r="H209" s="31" t="s">
        <v>85</v>
      </c>
      <c r="I209" s="16" t="str">
        <f t="array" ref="I209">INDEX(Validations!$C$2:$C$100, MATCH(TRUE, ISNUMBER(SEARCH(Validations!$B$2:$B$100, H209)), 0))</f>
        <v>T</v>
      </c>
      <c r="J209" s="17" t="s">
        <v>1013</v>
      </c>
      <c r="K209" s="18"/>
      <c r="L209" s="17"/>
      <c r="M209" s="17"/>
      <c r="N209" s="27"/>
      <c r="O209" s="17"/>
      <c r="P209" s="21"/>
      <c r="Q209" s="21"/>
      <c r="R209" s="22"/>
      <c r="S209" s="17" t="str">
        <f>IFERROR(__xludf.DUMMYFUNCTION("IFERROR(REGEXEXTRACT(J209, ""(\d{1,3}[dD]\d{1,3})""), """")"),"1d8")</f>
        <v>1d8</v>
      </c>
      <c r="T209" s="17" t="str">
        <f>IFERROR(__xludf.DUMMYFUNCTION("IF(COUNTIF(ARRAYFORMULA(LOWER(Validations!$O$2:$O$100)), LOWER(REGEXEXTRACT(J209, ""\d{1,3}[dD]\d{1,3}\s+(\w+)"")))&gt;0, REGEXEXTRACT(J209, ""\d{1,3}[dD]\d{1,3}\s+(\w+)""), """")"),"")</f>
        <v/>
      </c>
      <c r="U209" s="17" t="str">
        <f>IFERROR(__xludf.DUMMYFUNCTION("IF(COUNTIF(ARRAYFORMULA(LOWER(Validations!$P$2:$P$100)), LOWER(REGEXEXTRACT(J209, ""\d{1,3}[dD]\d{1,3}\s+(\w+)"")))&gt;0, REGEXEXTRACT(J209, ""\d{1,3}[dD]\d{1,3}\s+(\w+)""), """")"),"")</f>
        <v/>
      </c>
      <c r="V209" s="12" t="str">
        <f>IFERROR(__xludf.DUMMYFUNCTION("TEXTJOIN("", "", TRUE, FILTER(Validations!$L$2:$L$100, ISNUMBER(SEARCH(Validations!$L$2:$L$100, J209))))"),"")</f>
        <v/>
      </c>
      <c r="W209" s="12" t="str">
        <f>IFERROR(__xludf.DUMMYFUNCTION("IFERROR(TEXTJOIN("", "", TRUE, FILTER(Validations!$M$2:$M$100, ISNUMBER(SEARCH(Validations!$M$2:$M$100 &amp; "" saving throw"", J209)))), """")"),"")</f>
        <v/>
      </c>
      <c r="X209" s="12"/>
      <c r="Y209" s="12"/>
      <c r="Z209" s="12" t="str">
        <f>IFERROR(__xludf.DUMMYFUNCTION("IFERROR(TEXTJOIN("", "", TRUE, FILTER(Validations!$N$2:$N$100, ISNUMBER(SEARCH(Validations!$N$2:$N$100 &amp; "" check"", J209)))), """")"),"")</f>
        <v/>
      </c>
      <c r="AA209" s="12" t="str">
        <f>IFERROR(__xludf.DUMMYFUNCTION("IFERROR(TEXTJOIN("", "", TRUE, FILTER(Validations!$N$2:$N$100, ISNUMBER(SEARCH(Validations!$N$2:$N$100 &amp; "" check"", W209)))), """")"),"")</f>
        <v/>
      </c>
      <c r="AB209" s="23" t="str">
        <f>IFERROR(__xludf.DUMMYFUNCTION("IFERROR(CONCATENATE(IF(ISNUMBER(SEARCH(Validations!$M$2:$M$100 &amp; "" spell save"", J209)),""Spell Save"",""""), REGEXEXTRACT(J209, ""DC (\d+)"")), """")"),"")</f>
        <v/>
      </c>
      <c r="AC209" s="24" t="b">
        <v>0</v>
      </c>
      <c r="AD209" s="24" t="b">
        <v>0</v>
      </c>
      <c r="AE209" s="36" t="s">
        <v>69</v>
      </c>
      <c r="AF209" s="25">
        <f>IFERROR(__xludf.DUMMYFUNCTION("IFERROR(VALUE(REGEXEXTRACT(AE209, ""\d+"")), 1)"),1.0)</f>
        <v>1</v>
      </c>
      <c r="AG209" s="12" t="str">
        <f>IFERROR(__xludf.DUMMYFUNCTION("IF(
  ISNUMBER(SEARCH(""Bonus Action"", AE209)),
  ""Bonus Action"",
  IF(
    ISNUMBER(SEARCH(""Reaction"", AE209)),
    ""Reaction"",
    IF(
      ISNUMBER(SEARCH(""Action"", AE209)),
      ""Action"",
      TEXTJOIN("", "", TRUE, FILTER(Validations!$S"&amp;"$2:$S$100, ISNUMBER(SEARCH(Validations!$S$2:$S$100, AE209))))
    )
  )
)"),"Action")</f>
        <v>Action</v>
      </c>
      <c r="AH209" s="36"/>
      <c r="AI209" s="20" t="s">
        <v>92</v>
      </c>
      <c r="AJ209" s="26" t="str">
        <f>IFERROR(__xludf.DUMMYFUNCTION("TEXTJOIN("", "", TRUE, FILTER(Validations!$T$2:$T$100, ISNUMBER(SEARCH(Validations!$T$2:$T$100, AI209))))"),"")</f>
        <v/>
      </c>
      <c r="AK209" s="26">
        <f>IFERROR(__xludf.DUMMYFUNCTION("IFERROR(VALUE(REGEXEXTRACT(AI209, ""\d+"")), """")"),1.0)</f>
        <v>1</v>
      </c>
      <c r="AL209" s="26" t="str">
        <f>IFERROR(__xludf.DUMMYFUNCTION("TEXTJOIN("", "", TRUE, FILTER(Validations!$U$2:$U$100, ISNUMBER(SEARCH(Validations!$U$2:$U$100, AI209))))"),"Minutes")</f>
        <v>Minutes</v>
      </c>
      <c r="AM209" s="24" t="b">
        <f t="shared" si="1"/>
        <v>0</v>
      </c>
      <c r="AN209" s="24" t="b">
        <v>1</v>
      </c>
      <c r="AO209" s="22" t="s">
        <v>1014</v>
      </c>
      <c r="AP209" s="12" t="str">
        <f>IFERROR(__xludf.DUMMYFUNCTION("IF(TEXTJOIN("", "", TRUE, FILTER(Validations!$Q$2:$Q$100, ISNUMBER(SEARCH(Validations!$Q$2:$Q$100, AO209)))) = """", Validations!$Q$2, TEXTJOIN("", "", TRUE, FILTER(Validations!$Q$2:$Q$100, ISNUMBER(SEARCH(Validations!$Q$2:$Q$100, AO209)))))"),"Point")</f>
        <v>Point</v>
      </c>
      <c r="AQ209" s="12">
        <f>IFERROR(__xludf.DUMMYFUNCTION("IFERROR(VALUE(REGEXEXTRACT(AO209, ""\d+"")), """")"),30.0)</f>
        <v>30</v>
      </c>
      <c r="AR209" s="12" t="str">
        <f>IFERROR(__xludf.DUMMYFUNCTION("TEXTJOIN("", "", TRUE, FILTER(Validations!$R$2:$R$100, ISNUMBER(SEARCH(Validations!$R$2:$R$100, AO209))))"),"Feet")</f>
        <v>Feet</v>
      </c>
      <c r="AS209" s="27"/>
      <c r="AT209" s="12" t="str">
        <f>IFERROR(__xludf.DUMMYFUNCTION("IFERROR(TEXTJOIN("", "", TRUE, FILTER(Validations!$I$2:$I$100, ISNUMBER(SEARCH(Validations!$I$2:$I$100, AS209)))), """")"),"")</f>
        <v/>
      </c>
      <c r="AU209" s="16" t="str">
        <f t="array" ref="AU209">IFERROR(INDEX(Validations!$J$2:$J$100, MATCH(TRUE, ISNUMBER(SEARCH(Validations!$I$2:$I$100, AT209)), 0)), "")</f>
        <v/>
      </c>
      <c r="AV209" s="12" t="str">
        <f>IFERROR(__xludf.DUMMYFUNCTION("IFERROR(VALUE(REGEXEXTRACT(AS209, ""\d+"")), """")"),"")</f>
        <v/>
      </c>
      <c r="AW209" s="12" t="str">
        <f>IFERROR(__xludf.DUMMYFUNCTION("IFERROR(TEXTJOIN("", "", TRUE, FILTER(Validations!$Q$2:$Q$100, ISNUMBER(SEARCH(Validations!$Q$2:$Q$100, AS209)))), """")"),"")</f>
        <v/>
      </c>
      <c r="AX209" s="28" t="s">
        <v>152</v>
      </c>
      <c r="AY209" s="28" t="str">
        <f>IFERROR(__xludf.DUMMYFUNCTION("TEXTJOIN("", "", TRUE, FILTER(Validations!$Y$2:$Y$100, ISNUMBER(SEARCH(Validations!$X$2:$X$100, AX209))))"),"V, S, R")</f>
        <v>V, S, R</v>
      </c>
      <c r="AZ209" s="20" t="s">
        <v>1015</v>
      </c>
      <c r="BA209" s="22"/>
      <c r="BB209" s="22"/>
      <c r="BC209" s="22"/>
      <c r="BD209" s="22"/>
      <c r="BE209" s="27"/>
      <c r="BF209" s="22"/>
      <c r="BG209" s="27"/>
      <c r="BH209" s="27"/>
      <c r="BI209" s="12" t="str">
        <f>IFERROR(__xludf.DUMMYFUNCTION("IFERROR(TEXTJOIN("", "", TRUE, FILTER(SRD!$A$2:$A$1000, EXACT(SRD!$A$2:$A$1000, J209))), """")"),"")</f>
        <v/>
      </c>
      <c r="BJ209" s="29"/>
      <c r="BK209" s="29"/>
    </row>
    <row r="210" ht="15.75" customHeight="1">
      <c r="A210" s="30" t="s">
        <v>1016</v>
      </c>
      <c r="B210" s="22"/>
      <c r="C210" s="31"/>
      <c r="D210" s="31" t="s">
        <v>74</v>
      </c>
      <c r="E210" s="31"/>
      <c r="F210" s="32" t="s">
        <v>1017</v>
      </c>
      <c r="G210" s="50" t="s">
        <v>945</v>
      </c>
      <c r="H210" s="31" t="s">
        <v>178</v>
      </c>
      <c r="I210" s="16" t="str">
        <f t="array" ref="I210">INDEX(Validations!$C$2:$C$100, MATCH(TRUE, ISNUMBER(SEARCH(Validations!$B$2:$B$100, H210)), 0))</f>
        <v>A</v>
      </c>
      <c r="J210" s="17" t="s">
        <v>1018</v>
      </c>
      <c r="K210" s="18"/>
      <c r="L210" s="17"/>
      <c r="M210" s="17"/>
      <c r="N210" s="27"/>
      <c r="O210" s="17"/>
      <c r="P210" s="21"/>
      <c r="Q210" s="21"/>
      <c r="R210" s="22"/>
      <c r="S210" s="17" t="str">
        <f>IFERROR(__xludf.DUMMYFUNCTION("IFERROR(REGEXEXTRACT(J210, ""(\d{1,3}[dD]\d{1,3})""), """")"),"")</f>
        <v/>
      </c>
      <c r="T210" s="17" t="str">
        <f>IFERROR(__xludf.DUMMYFUNCTION("IF(COUNTIF(ARRAYFORMULA(LOWER(Validations!$O$2:$O$100)), LOWER(REGEXEXTRACT(J210, ""\d{1,3}[dD]\d{1,3}\s+(\w+)"")))&gt;0, REGEXEXTRACT(J210, ""\d{1,3}[dD]\d{1,3}\s+(\w+)""), """")"),"")</f>
        <v/>
      </c>
      <c r="U210" s="17" t="str">
        <f>IFERROR(__xludf.DUMMYFUNCTION("IF(COUNTIF(ARRAYFORMULA(LOWER(Validations!$P$2:$P$100)), LOWER(REGEXEXTRACT(J210, ""\d{1,3}[dD]\d{1,3}\s+(\w+)"")))&gt;0, REGEXEXTRACT(J210, ""\d{1,3}[dD]\d{1,3}\s+(\w+)""), """")"),"")</f>
        <v/>
      </c>
      <c r="V210" s="12" t="str">
        <f>IFERROR(__xludf.DUMMYFUNCTION("TEXTJOIN("", "", TRUE, FILTER(Validations!$L$2:$L$100, ISNUMBER(SEARCH(Validations!$L$2:$L$100, J210))))"),"")</f>
        <v/>
      </c>
      <c r="W210" s="12" t="str">
        <f>IFERROR(__xludf.DUMMYFUNCTION("IFERROR(TEXTJOIN("", "", TRUE, FILTER(Validations!$M$2:$M$100, ISNUMBER(SEARCH(Validations!$M$2:$M$100 &amp; "" saving throw"", J210)))), """")"),"Strength")</f>
        <v>Strength</v>
      </c>
      <c r="X210" s="12"/>
      <c r="Y210" s="12"/>
      <c r="Z210" s="12" t="str">
        <f>IFERROR(__xludf.DUMMYFUNCTION("IFERROR(TEXTJOIN("", "", TRUE, FILTER(Validations!$N$2:$N$100, ISNUMBER(SEARCH(Validations!$N$2:$N$100 &amp; "" check"", J210)))), """")"),"")</f>
        <v/>
      </c>
      <c r="AA210" s="12" t="str">
        <f>IFERROR(__xludf.DUMMYFUNCTION("IFERROR(TEXTJOIN("", "", TRUE, FILTER(Validations!$N$2:$N$100, ISNUMBER(SEARCH(Validations!$N$2:$N$100 &amp; "" check"", W210)))), """")"),"")</f>
        <v/>
      </c>
      <c r="AB210" s="23" t="str">
        <f>IFERROR(__xludf.DUMMYFUNCTION("IFERROR(CONCATENATE(IF(ISNUMBER(SEARCH(Validations!$M$2:$M$100 &amp; "" spell save"", J210)),""Spell Save"",""""), REGEXEXTRACT(J210, ""DC (\d+)"")), """")"),"18")</f>
        <v>18</v>
      </c>
      <c r="AC210" s="24" t="b">
        <v>0</v>
      </c>
      <c r="AD210" s="24" t="b">
        <v>0</v>
      </c>
      <c r="AE210" s="36" t="s">
        <v>69</v>
      </c>
      <c r="AF210" s="25">
        <f>IFERROR(__xludf.DUMMYFUNCTION("IFERROR(VALUE(REGEXEXTRACT(AE210, ""\d+"")), 1)"),1.0)</f>
        <v>1</v>
      </c>
      <c r="AG210" s="12" t="str">
        <f>IFERROR(__xludf.DUMMYFUNCTION("IF(
  ISNUMBER(SEARCH(""Bonus Action"", AE210)),
  ""Bonus Action"",
  IF(
    ISNUMBER(SEARCH(""Reaction"", AE210)),
    ""Reaction"",
    IF(
      ISNUMBER(SEARCH(""Action"", AE210)),
      ""Action"",
      TEXTJOIN("", "", TRUE, FILTER(Validations!$S"&amp;"$2:$S$100, ISNUMBER(SEARCH(Validations!$S$2:$S$100, AE210))))
    )
  )
)"),"Action")</f>
        <v>Action</v>
      </c>
      <c r="AH210" s="36"/>
      <c r="AI210" s="27" t="s">
        <v>1019</v>
      </c>
      <c r="AJ210" s="26" t="str">
        <f>IFERROR(__xludf.DUMMYFUNCTION("TEXTJOIN("", "", TRUE, FILTER(Validations!$T$2:$T$100, ISNUMBER(SEARCH(Validations!$T$2:$T$100, AI210))))"),"")</f>
        <v/>
      </c>
      <c r="AK210" s="26" t="str">
        <f>IFERROR(__xludf.DUMMYFUNCTION("IFERROR(VALUE(REGEXEXTRACT(AI210, ""\d+"")), """")"),"")</f>
        <v/>
      </c>
      <c r="AL210" s="26" t="str">
        <f>IFERROR(__xludf.DUMMYFUNCTION("TEXTJOIN("", "", TRUE, FILTER(Validations!$U$2:$U$100, ISNUMBER(SEARCH(Validations!$U$2:$U$100, AI210))))"),"")</f>
        <v/>
      </c>
      <c r="AM210" s="24" t="b">
        <f t="shared" si="1"/>
        <v>0</v>
      </c>
      <c r="AN210" s="24" t="b">
        <v>0</v>
      </c>
      <c r="AO210" s="22" t="s">
        <v>71</v>
      </c>
      <c r="AP210" s="12" t="str">
        <f>IFERROR(__xludf.DUMMYFUNCTION("IF(TEXTJOIN("", "", TRUE, FILTER(Validations!$Q$2:$Q$100, ISNUMBER(SEARCH(Validations!$Q$2:$Q$100, AO210)))) = """", Validations!$Q$2, TEXTJOIN("", "", TRUE, FILTER(Validations!$Q$2:$Q$100, ISNUMBER(SEARCH(Validations!$Q$2:$Q$100, AO210)))))"),"Point")</f>
        <v>Point</v>
      </c>
      <c r="AQ210" s="12" t="str">
        <f>IFERROR(__xludf.DUMMYFUNCTION("IFERROR(VALUE(REGEXEXTRACT(AO210, ""\d+"")), """")"),"")</f>
        <v/>
      </c>
      <c r="AR210" s="12" t="str">
        <f>IFERROR(__xludf.DUMMYFUNCTION("TEXTJOIN("", "", TRUE, FILTER(Validations!$R$2:$R$100, ISNUMBER(SEARCH(Validations!$R$2:$R$100, AO210))))"),"Touch")</f>
        <v>Touch</v>
      </c>
      <c r="AS210" s="27"/>
      <c r="AT210" s="12" t="str">
        <f>IFERROR(__xludf.DUMMYFUNCTION("IFERROR(TEXTJOIN("", "", TRUE, FILTER(Validations!$I$2:$I$100, ISNUMBER(SEARCH(Validations!$I$2:$I$100, AS210)))), """")"),"")</f>
        <v/>
      </c>
      <c r="AU210" s="16" t="str">
        <f t="array" ref="AU210">IFERROR(INDEX(Validations!$J$2:$J$100, MATCH(TRUE, ISNUMBER(SEARCH(Validations!$I$2:$I$100, AT210)), 0)), "")</f>
        <v/>
      </c>
      <c r="AV210" s="12" t="str">
        <f>IFERROR(__xludf.DUMMYFUNCTION("IFERROR(VALUE(REGEXEXTRACT(AS210, ""\d+"")), """")"),"")</f>
        <v/>
      </c>
      <c r="AW210" s="12" t="str">
        <f>IFERROR(__xludf.DUMMYFUNCTION("IFERROR(TEXTJOIN("", "", TRUE, FILTER(Validations!$Q$2:$Q$100, ISNUMBER(SEARCH(Validations!$Q$2:$Q$100, AS210)))), """")"),"")</f>
        <v/>
      </c>
      <c r="AX210" s="28" t="s">
        <v>152</v>
      </c>
      <c r="AY210" s="28" t="str">
        <f>IFERROR(__xludf.DUMMYFUNCTION("TEXTJOIN("", "", TRUE, FILTER(Validations!$Y$2:$Y$100, ISNUMBER(SEARCH(Validations!$X$2:$X$100, AX210))))"),"V, S, R")</f>
        <v>V, S, R</v>
      </c>
      <c r="AZ210" s="20" t="s">
        <v>1020</v>
      </c>
      <c r="BA210" s="22"/>
      <c r="BB210" s="22"/>
      <c r="BC210" s="22"/>
      <c r="BD210" s="22"/>
      <c r="BE210" s="27"/>
      <c r="BF210" s="22"/>
      <c r="BG210" s="27"/>
      <c r="BH210" s="27"/>
      <c r="BI210" s="12" t="str">
        <f>IFERROR(__xludf.DUMMYFUNCTION("IFERROR(TEXTJOIN("", "", TRUE, FILTER(SRD!$A$2:$A$1000, EXACT(SRD!$A$2:$A$1000, J210))), """")"),"")</f>
        <v/>
      </c>
      <c r="BJ210" s="29"/>
      <c r="BK210" s="29"/>
    </row>
    <row r="211" ht="15.75" customHeight="1">
      <c r="A211" s="30" t="s">
        <v>1021</v>
      </c>
      <c r="B211" s="22"/>
      <c r="C211" s="31"/>
      <c r="D211" s="31" t="s">
        <v>74</v>
      </c>
      <c r="E211" s="31"/>
      <c r="F211" s="32" t="s">
        <v>199</v>
      </c>
      <c r="G211" s="50" t="s">
        <v>945</v>
      </c>
      <c r="H211" s="31" t="s">
        <v>178</v>
      </c>
      <c r="I211" s="16" t="str">
        <f t="array" ref="I211">INDEX(Validations!$C$2:$C$100, MATCH(TRUE, ISNUMBER(SEARCH(Validations!$B$2:$B$100, H211)), 0))</f>
        <v>A</v>
      </c>
      <c r="J211" s="17" t="s">
        <v>1022</v>
      </c>
      <c r="K211" s="18"/>
      <c r="L211" s="17"/>
      <c r="M211" s="17"/>
      <c r="N211" s="27"/>
      <c r="O211" s="17"/>
      <c r="P211" s="21"/>
      <c r="Q211" s="21"/>
      <c r="R211" s="22"/>
      <c r="S211" s="17" t="str">
        <f>IFERROR(__xludf.DUMMYFUNCTION("IFERROR(REGEXEXTRACT(J211, ""(\d{1,3}[dD]\d{1,3})""), """")"),"")</f>
        <v/>
      </c>
      <c r="T211" s="17" t="str">
        <f>IFERROR(__xludf.DUMMYFUNCTION("IF(COUNTIF(ARRAYFORMULA(LOWER(Validations!$O$2:$O$100)), LOWER(REGEXEXTRACT(J211, ""\d{1,3}[dD]\d{1,3}\s+(\w+)"")))&gt;0, REGEXEXTRACT(J211, ""\d{1,3}[dD]\d{1,3}\s+(\w+)""), """")"),"")</f>
        <v/>
      </c>
      <c r="U211" s="17" t="str">
        <f>IFERROR(__xludf.DUMMYFUNCTION("IF(COUNTIF(ARRAYFORMULA(LOWER(Validations!$P$2:$P$100)), LOWER(REGEXEXTRACT(J211, ""\d{1,3}[dD]\d{1,3}\s+(\w+)"")))&gt;0, REGEXEXTRACT(J211, ""\d{1,3}[dD]\d{1,3}\s+(\w+)""), """")"),"")</f>
        <v/>
      </c>
      <c r="V211" s="12" t="str">
        <f>IFERROR(__xludf.DUMMYFUNCTION("TEXTJOIN("", "", TRUE, FILTER(Validations!$L$2:$L$100, ISNUMBER(SEARCH(Validations!$L$2:$L$100, J211))))"),"")</f>
        <v/>
      </c>
      <c r="W211" s="12" t="str">
        <f>IFERROR(__xludf.DUMMYFUNCTION("IFERROR(TEXTJOIN("", "", TRUE, FILTER(Validations!$M$2:$M$100, ISNUMBER(SEARCH(Validations!$M$2:$M$100 &amp; "" saving throw"", J211)))), """")"),"")</f>
        <v/>
      </c>
      <c r="X211" s="12"/>
      <c r="Y211" s="12"/>
      <c r="Z211" s="12" t="str">
        <f>IFERROR(__xludf.DUMMYFUNCTION("IFERROR(TEXTJOIN("", "", TRUE, FILTER(Validations!$N$2:$N$100, ISNUMBER(SEARCH(Validations!$N$2:$N$100 &amp; "" check"", J211)))), """")"),"")</f>
        <v/>
      </c>
      <c r="AA211" s="12" t="str">
        <f>IFERROR(__xludf.DUMMYFUNCTION("IFERROR(TEXTJOIN("", "", TRUE, FILTER(Validations!$N$2:$N$100, ISNUMBER(SEARCH(Validations!$N$2:$N$100 &amp; "" check"", W211)))), """")"),"")</f>
        <v/>
      </c>
      <c r="AB211" s="23" t="str">
        <f>IFERROR(__xludf.DUMMYFUNCTION("IFERROR(CONCATENATE(IF(ISNUMBER(SEARCH(Validations!$M$2:$M$100 &amp; "" spell save"", J211)),""Spell Save"",""""), REGEXEXTRACT(J211, ""DC (\d+)"")), """")"),"")</f>
        <v/>
      </c>
      <c r="AC211" s="24" t="b">
        <v>0</v>
      </c>
      <c r="AD211" s="24" t="b">
        <v>0</v>
      </c>
      <c r="AE211" s="36" t="s">
        <v>69</v>
      </c>
      <c r="AF211" s="25">
        <f>IFERROR(__xludf.DUMMYFUNCTION("IFERROR(VALUE(REGEXEXTRACT(AE211, ""\d+"")), 1)"),1.0)</f>
        <v>1</v>
      </c>
      <c r="AG211" s="12" t="str">
        <f>IFERROR(__xludf.DUMMYFUNCTION("IF(
  ISNUMBER(SEARCH(""Bonus Action"", AE211)),
  ""Bonus Action"",
  IF(
    ISNUMBER(SEARCH(""Reaction"", AE211)),
    ""Reaction"",
    IF(
      ISNUMBER(SEARCH(""Action"", AE211)),
      ""Action"",
      TEXTJOIN("", "", TRUE, FILTER(Validations!$S"&amp;"$2:$S$100, ISNUMBER(SEARCH(Validations!$S$2:$S$100, AE211))))
    )
  )
)"),"Action")</f>
        <v>Action</v>
      </c>
      <c r="AH211" s="36"/>
      <c r="AI211" s="20" t="s">
        <v>1008</v>
      </c>
      <c r="AJ211" s="26" t="str">
        <f>IFERROR(__xludf.DUMMYFUNCTION("TEXTJOIN("", "", TRUE, FILTER(Validations!$T$2:$T$100, ISNUMBER(SEARCH(Validations!$T$2:$T$100, AI211))))"),"")</f>
        <v/>
      </c>
      <c r="AK211" s="26">
        <f>IFERROR(__xludf.DUMMYFUNCTION("IFERROR(VALUE(REGEXEXTRACT(AI211, ""\d+"")), """")"),8.0)</f>
        <v>8</v>
      </c>
      <c r="AL211" s="26" t="str">
        <f>IFERROR(__xludf.DUMMYFUNCTION("TEXTJOIN("", "", TRUE, FILTER(Validations!$U$2:$U$100, ISNUMBER(SEARCH(Validations!$U$2:$U$100, AI211))))"),"Hours")</f>
        <v>Hours</v>
      </c>
      <c r="AM211" s="24" t="b">
        <f t="shared" si="1"/>
        <v>0</v>
      </c>
      <c r="AN211" s="24" t="b">
        <v>0</v>
      </c>
      <c r="AO211" s="22" t="s">
        <v>78</v>
      </c>
      <c r="AP211" s="12" t="str">
        <f>IFERROR(__xludf.DUMMYFUNCTION("IF(TEXTJOIN("", "", TRUE, FILTER(Validations!$Q$2:$Q$100, ISNUMBER(SEARCH(Validations!$Q$2:$Q$100, AO211)))) = """", Validations!$Q$2, TEXTJOIN("", "", TRUE, FILTER(Validations!$Q$2:$Q$100, ISNUMBER(SEARCH(Validations!$Q$2:$Q$100, AO211)))))"),"Point")</f>
        <v>Point</v>
      </c>
      <c r="AQ211" s="12" t="str">
        <f>IFERROR(__xludf.DUMMYFUNCTION("IFERROR(VALUE(REGEXEXTRACT(AO211, ""\d+"")), """")"),"")</f>
        <v/>
      </c>
      <c r="AR211" s="12" t="str">
        <f>IFERROR(__xludf.DUMMYFUNCTION("TEXTJOIN("", "", TRUE, FILTER(Validations!$R$2:$R$100, ISNUMBER(SEARCH(Validations!$R$2:$R$100, AO211))))"),"Self")</f>
        <v>Self</v>
      </c>
      <c r="AS211" s="27"/>
      <c r="AT211" s="12" t="str">
        <f>IFERROR(__xludf.DUMMYFUNCTION("IFERROR(TEXTJOIN("", "", TRUE, FILTER(Validations!$I$2:$I$100, ISNUMBER(SEARCH(Validations!$I$2:$I$100, AS211)))), """")"),"")</f>
        <v/>
      </c>
      <c r="AU211" s="16" t="str">
        <f t="array" ref="AU211">IFERROR(INDEX(Validations!$J$2:$J$100, MATCH(TRUE, ISNUMBER(SEARCH(Validations!$I$2:$I$100, AT211)), 0)), "")</f>
        <v/>
      </c>
      <c r="AV211" s="12" t="str">
        <f>IFERROR(__xludf.DUMMYFUNCTION("IFERROR(VALUE(REGEXEXTRACT(AS211, ""\d+"")), """")"),"")</f>
        <v/>
      </c>
      <c r="AW211" s="12" t="str">
        <f>IFERROR(__xludf.DUMMYFUNCTION("IFERROR(TEXTJOIN("", "", TRUE, FILTER(Validations!$Q$2:$Q$100, ISNUMBER(SEARCH(Validations!$Q$2:$Q$100, AS211)))), """")"),"")</f>
        <v/>
      </c>
      <c r="AX211" s="28" t="s">
        <v>142</v>
      </c>
      <c r="AY211" s="28" t="str">
        <f>IFERROR(__xludf.DUMMYFUNCTION("TEXTJOIN("", "", TRUE, FILTER(Validations!$Y$2:$Y$100, ISNUMBER(SEARCH(Validations!$X$2:$X$100, AX211))))"),"V, S")</f>
        <v>V, S</v>
      </c>
      <c r="AZ211" s="27"/>
      <c r="BA211" s="22"/>
      <c r="BB211" s="22"/>
      <c r="BC211" s="22"/>
      <c r="BD211" s="22"/>
      <c r="BE211" s="27"/>
      <c r="BF211" s="22"/>
      <c r="BG211" s="27"/>
      <c r="BH211" s="27"/>
      <c r="BI211" s="12" t="str">
        <f>IFERROR(__xludf.DUMMYFUNCTION("IFERROR(TEXTJOIN("", "", TRUE, FILTER(SRD!$A$2:$A$1000, EXACT(SRD!$A$2:$A$1000, J211))), """")"),"")</f>
        <v/>
      </c>
      <c r="BJ211" s="29"/>
      <c r="BK211" s="29"/>
    </row>
    <row r="212" ht="15.75" customHeight="1">
      <c r="A212" s="30" t="s">
        <v>1023</v>
      </c>
      <c r="B212" s="22"/>
      <c r="C212" s="31"/>
      <c r="D212" s="31" t="s">
        <v>74</v>
      </c>
      <c r="E212" s="31"/>
      <c r="F212" s="32" t="s">
        <v>199</v>
      </c>
      <c r="G212" s="50" t="s">
        <v>945</v>
      </c>
      <c r="H212" s="31" t="s">
        <v>85</v>
      </c>
      <c r="I212" s="16" t="str">
        <f t="array" ref="I212">INDEX(Validations!$C$2:$C$100, MATCH(TRUE, ISNUMBER(SEARCH(Validations!$B$2:$B$100, H212)), 0))</f>
        <v>T</v>
      </c>
      <c r="J212" s="33" t="s">
        <v>1024</v>
      </c>
      <c r="K212" s="34"/>
      <c r="L212" s="33"/>
      <c r="M212" s="33"/>
      <c r="N212" s="27"/>
      <c r="O212" s="33"/>
      <c r="P212" s="35"/>
      <c r="Q212" s="35"/>
      <c r="R212" s="22"/>
      <c r="S212" s="17" t="str">
        <f>IFERROR(__xludf.DUMMYFUNCTION("IFERROR(REGEXEXTRACT(J212, ""(\d{1,3}[dD]\d{1,3})""), """")"),"")</f>
        <v/>
      </c>
      <c r="T212" s="17" t="str">
        <f>IFERROR(__xludf.DUMMYFUNCTION("IF(COUNTIF(ARRAYFORMULA(LOWER(Validations!$O$2:$O$100)), LOWER(REGEXEXTRACT(J212, ""\d{1,3}[dD]\d{1,3}\s+(\w+)"")))&gt;0, REGEXEXTRACT(J212, ""\d{1,3}[dD]\d{1,3}\s+(\w+)""), """")"),"")</f>
        <v/>
      </c>
      <c r="U212" s="17" t="str">
        <f>IFERROR(__xludf.DUMMYFUNCTION("IF(COUNTIF(ARRAYFORMULA(LOWER(Validations!$P$2:$P$100)), LOWER(REGEXEXTRACT(J212, ""\d{1,3}[dD]\d{1,3}\s+(\w+)"")))&gt;0, REGEXEXTRACT(J212, ""\d{1,3}[dD]\d{1,3}\s+(\w+)""), """")"),"")</f>
        <v/>
      </c>
      <c r="V212" s="12" t="str">
        <f>IFERROR(__xludf.DUMMYFUNCTION("TEXTJOIN("", "", TRUE, FILTER(Validations!$L$2:$L$100, ISNUMBER(SEARCH(Validations!$L$2:$L$100, J212))))"),"")</f>
        <v/>
      </c>
      <c r="W212" s="12" t="str">
        <f>IFERROR(__xludf.DUMMYFUNCTION("IFERROR(TEXTJOIN("", "", TRUE, FILTER(Validations!$M$2:$M$100, ISNUMBER(SEARCH(Validations!$M$2:$M$100 &amp; "" saving throw"", J212)))), """")"),"")</f>
        <v/>
      </c>
      <c r="X212" s="12"/>
      <c r="Y212" s="12"/>
      <c r="Z212" s="12" t="str">
        <f>IFERROR(__xludf.DUMMYFUNCTION("IFERROR(TEXTJOIN("", "", TRUE, FILTER(Validations!$N$2:$N$100, ISNUMBER(SEARCH(Validations!$N$2:$N$100 &amp; "" check"", J212)))), """")"),"")</f>
        <v/>
      </c>
      <c r="AA212" s="12" t="str">
        <f>IFERROR(__xludf.DUMMYFUNCTION("IFERROR(TEXTJOIN("", "", TRUE, FILTER(Validations!$N$2:$N$100, ISNUMBER(SEARCH(Validations!$N$2:$N$100 &amp; "" check"", W212)))), """")"),"")</f>
        <v/>
      </c>
      <c r="AB212" s="23" t="str">
        <f>IFERROR(__xludf.DUMMYFUNCTION("IFERROR(CONCATENATE(IF(ISNUMBER(SEARCH(Validations!$M$2:$M$100 &amp; "" spell save"", J212)),""Spell Save"",""""), REGEXEXTRACT(J212, ""DC (\d+)"")), """")"),"")</f>
        <v/>
      </c>
      <c r="AC212" s="24" t="b">
        <v>0</v>
      </c>
      <c r="AD212" s="24" t="b">
        <v>0</v>
      </c>
      <c r="AE212" s="36" t="s">
        <v>69</v>
      </c>
      <c r="AF212" s="25">
        <f>IFERROR(__xludf.DUMMYFUNCTION("IFERROR(VALUE(REGEXEXTRACT(AE212, ""\d+"")), 1)"),1.0)</f>
        <v>1</v>
      </c>
      <c r="AG212" s="12" t="str">
        <f>IFERROR(__xludf.DUMMYFUNCTION("IF(
  ISNUMBER(SEARCH(""Bonus Action"", AE212)),
  ""Bonus Action"",
  IF(
    ISNUMBER(SEARCH(""Reaction"", AE212)),
    ""Reaction"",
    IF(
      ISNUMBER(SEARCH(""Action"", AE212)),
      ""Action"",
      TEXTJOIN("", "", TRUE, FILTER(Validations!$S"&amp;"$2:$S$100, ISNUMBER(SEARCH(Validations!$S$2:$S$100, AE212))))
    )
  )
)"),"Action")</f>
        <v>Action</v>
      </c>
      <c r="AH212" s="36"/>
      <c r="AI212" s="27" t="s">
        <v>70</v>
      </c>
      <c r="AJ212" s="26" t="str">
        <f>IFERROR(__xludf.DUMMYFUNCTION("TEXTJOIN("", "", TRUE, FILTER(Validations!$T$2:$T$100, ISNUMBER(SEARCH(Validations!$T$2:$T$100, AI212))))"),"Instantaneous")</f>
        <v>Instantaneous</v>
      </c>
      <c r="AK212" s="26" t="str">
        <f>IFERROR(__xludf.DUMMYFUNCTION("IFERROR(VALUE(REGEXEXTRACT(AI212, ""\d+"")), """")"),"")</f>
        <v/>
      </c>
      <c r="AL212" s="26" t="str">
        <f>IFERROR(__xludf.DUMMYFUNCTION("TEXTJOIN("", "", TRUE, FILTER(Validations!$U$2:$U$100, ISNUMBER(SEARCH(Validations!$U$2:$U$100, AI212))))"),"")</f>
        <v/>
      </c>
      <c r="AM212" s="24" t="b">
        <f t="shared" si="1"/>
        <v>0</v>
      </c>
      <c r="AN212" s="24" t="b">
        <v>0</v>
      </c>
      <c r="AO212" s="22" t="s">
        <v>71</v>
      </c>
      <c r="AP212" s="12" t="str">
        <f>IFERROR(__xludf.DUMMYFUNCTION("IF(TEXTJOIN("", "", TRUE, FILTER(Validations!$Q$2:$Q$100, ISNUMBER(SEARCH(Validations!$Q$2:$Q$100, AO212)))) = """", Validations!$Q$2, TEXTJOIN("", "", TRUE, FILTER(Validations!$Q$2:$Q$100, ISNUMBER(SEARCH(Validations!$Q$2:$Q$100, AO212)))))"),"Point")</f>
        <v>Point</v>
      </c>
      <c r="AQ212" s="12" t="str">
        <f>IFERROR(__xludf.DUMMYFUNCTION("IFERROR(VALUE(REGEXEXTRACT(AO212, ""\d+"")), """")"),"")</f>
        <v/>
      </c>
      <c r="AR212" s="12" t="str">
        <f>IFERROR(__xludf.DUMMYFUNCTION("TEXTJOIN("", "", TRUE, FILTER(Validations!$R$2:$R$100, ISNUMBER(SEARCH(Validations!$R$2:$R$100, AO212))))"),"Touch")</f>
        <v>Touch</v>
      </c>
      <c r="AS212" s="27"/>
      <c r="AT212" s="12" t="str">
        <f>IFERROR(__xludf.DUMMYFUNCTION("IFERROR(TEXTJOIN("", "", TRUE, FILTER(Validations!$I$2:$I$100, ISNUMBER(SEARCH(Validations!$I$2:$I$100, AS212)))), """")"),"")</f>
        <v/>
      </c>
      <c r="AU212" s="16" t="str">
        <f t="array" ref="AU212">IFERROR(INDEX(Validations!$J$2:$J$100, MATCH(TRUE, ISNUMBER(SEARCH(Validations!$I$2:$I$100, AT212)), 0)), "")</f>
        <v/>
      </c>
      <c r="AV212" s="12" t="str">
        <f>IFERROR(__xludf.DUMMYFUNCTION("IFERROR(VALUE(REGEXEXTRACT(AS212, ""\d+"")), """")"),"")</f>
        <v/>
      </c>
      <c r="AW212" s="12" t="str">
        <f>IFERROR(__xludf.DUMMYFUNCTION("IFERROR(TEXTJOIN("", "", TRUE, FILTER(Validations!$Q$2:$Q$100, ISNUMBER(SEARCH(Validations!$Q$2:$Q$100, AS212)))), """")"),"")</f>
        <v/>
      </c>
      <c r="AX212" s="28" t="s">
        <v>152</v>
      </c>
      <c r="AY212" s="28" t="str">
        <f>IFERROR(__xludf.DUMMYFUNCTION("TEXTJOIN("", "", TRUE, FILTER(Validations!$Y$2:$Y$100, ISNUMBER(SEARCH(Validations!$X$2:$X$100, AX212))))"),"V, S, R")</f>
        <v>V, S, R</v>
      </c>
      <c r="AZ212" s="20" t="s">
        <v>1025</v>
      </c>
      <c r="BA212" s="22"/>
      <c r="BB212" s="22"/>
      <c r="BC212" s="22"/>
      <c r="BD212" s="22"/>
      <c r="BE212" s="27"/>
      <c r="BF212" s="22"/>
      <c r="BG212" s="27"/>
      <c r="BH212" s="27"/>
      <c r="BI212" s="12" t="str">
        <f>IFERROR(__xludf.DUMMYFUNCTION("IFERROR(TEXTJOIN("", "", TRUE, FILTER(SRD!$A$2:$A$1000, EXACT(SRD!$A$2:$A$1000, J212))), """")"),"")</f>
        <v/>
      </c>
      <c r="BJ212" s="29"/>
      <c r="BK212" s="29"/>
    </row>
    <row r="213" ht="15.75" customHeight="1">
      <c r="A213" s="11" t="s">
        <v>1026</v>
      </c>
      <c r="B213" s="12"/>
      <c r="C213" s="16"/>
      <c r="D213" s="16" t="s">
        <v>1027</v>
      </c>
      <c r="E213" s="16"/>
      <c r="F213" s="32" t="s">
        <v>102</v>
      </c>
      <c r="G213" s="15" t="s">
        <v>945</v>
      </c>
      <c r="H213" s="31" t="s">
        <v>183</v>
      </c>
      <c r="I213" s="16" t="str">
        <f t="array" ref="I213">INDEX(Validations!$C$2:$C$100, MATCH(TRUE, ISNUMBER(SEARCH(Validations!$B$2:$B$100, H213)), 0))</f>
        <v>E</v>
      </c>
      <c r="J213" s="17" t="s">
        <v>1028</v>
      </c>
      <c r="K213" s="18"/>
      <c r="L213" s="17"/>
      <c r="M213" s="17"/>
      <c r="N213" s="20" t="s">
        <v>1029</v>
      </c>
      <c r="O213" s="17" t="s">
        <v>1030</v>
      </c>
      <c r="P213" s="21"/>
      <c r="Q213" s="21"/>
      <c r="R213" s="22"/>
      <c r="S213" s="17" t="str">
        <f>IFERROR(__xludf.DUMMYFUNCTION("IFERROR(REGEXEXTRACT(J213, ""(\d{1,3}[dD]\d{1,3})""), """")"),"")</f>
        <v/>
      </c>
      <c r="T213" s="17" t="str">
        <f>IFERROR(__xludf.DUMMYFUNCTION("IF(COUNTIF(ARRAYFORMULA(LOWER(Validations!$O$2:$O$100)), LOWER(REGEXEXTRACT(J213, ""\d{1,3}[dD]\d{1,3}\s+(\w+)"")))&gt;0, REGEXEXTRACT(J213, ""\d{1,3}[dD]\d{1,3}\s+(\w+)""), """")"),"")</f>
        <v/>
      </c>
      <c r="U213" s="17" t="str">
        <f>IFERROR(__xludf.DUMMYFUNCTION("IF(COUNTIF(ARRAYFORMULA(LOWER(Validations!$P$2:$P$100)), LOWER(REGEXEXTRACT(J213, ""\d{1,3}[dD]\d{1,3}\s+(\w+)"")))&gt;0, REGEXEXTRACT(J213, ""\d{1,3}[dD]\d{1,3}\s+(\w+)""), """")"),"")</f>
        <v/>
      </c>
      <c r="V213" s="12" t="str">
        <f>IFERROR(__xludf.DUMMYFUNCTION("TEXTJOIN("", "", TRUE, FILTER(Validations!$L$2:$L$100, ISNUMBER(SEARCH(Validations!$L$2:$L$100, J213))))"),"Charmed")</f>
        <v>Charmed</v>
      </c>
      <c r="W213" s="12" t="str">
        <f>IFERROR(__xludf.DUMMYFUNCTION("IFERROR(TEXTJOIN("", "", TRUE, FILTER(Validations!$M$2:$M$100, ISNUMBER(SEARCH(Validations!$M$2:$M$100 &amp; "" saving throw"", J213)))), """")"),"Wisdom")</f>
        <v>Wisdom</v>
      </c>
      <c r="X213" s="12"/>
      <c r="Y213" s="12"/>
      <c r="Z213" s="12" t="str">
        <f>IFERROR(__xludf.DUMMYFUNCTION("IFERROR(TEXTJOIN("", "", TRUE, FILTER(Validations!$N$2:$N$100, ISNUMBER(SEARCH(Validations!$N$2:$N$100 &amp; "" check"", J213)))), """")"),"")</f>
        <v/>
      </c>
      <c r="AA213" s="12" t="str">
        <f>IFERROR(__xludf.DUMMYFUNCTION("IFERROR(TEXTJOIN("", "", TRUE, FILTER(Validations!$N$2:$N$100, ISNUMBER(SEARCH(Validations!$N$2:$N$100 &amp; "" check"", W213)))), """")"),"")</f>
        <v/>
      </c>
      <c r="AB213" s="23" t="str">
        <f>IFERROR(__xludf.DUMMYFUNCTION("IFERROR(CONCATENATE(IF(ISNUMBER(SEARCH(Validations!$M$2:$M$100 &amp; "" spell save"", J213)),""Spell Save"",""""), REGEXEXTRACT(J213, ""DC (\d+)"")), """")"),"")</f>
        <v/>
      </c>
      <c r="AC213" s="24" t="b">
        <v>0</v>
      </c>
      <c r="AD213" s="24" t="b">
        <v>0</v>
      </c>
      <c r="AE213" s="36" t="s">
        <v>69</v>
      </c>
      <c r="AF213" s="25">
        <f>IFERROR(__xludf.DUMMYFUNCTION("IFERROR(VALUE(REGEXEXTRACT(AE213, ""\d+"")), 1)"),1.0)</f>
        <v>1</v>
      </c>
      <c r="AG213" s="12" t="str">
        <f>IFERROR(__xludf.DUMMYFUNCTION("IF(
  ISNUMBER(SEARCH(""Bonus Action"", AE213)),
  ""Bonus Action"",
  IF(
    ISNUMBER(SEARCH(""Reaction"", AE213)),
    ""Reaction"",
    IF(
      ISNUMBER(SEARCH(""Action"", AE213)),
      ""Action"",
      TEXTJOIN("", "", TRUE, FILTER(Validations!$S"&amp;"$2:$S$100, ISNUMBER(SEARCH(Validations!$S$2:$S$100, AE213))))
    )
  )
)"),"Action")</f>
        <v>Action</v>
      </c>
      <c r="AH213" s="36"/>
      <c r="AI213" s="19" t="s">
        <v>1031</v>
      </c>
      <c r="AJ213" s="26" t="str">
        <f>IFERROR(__xludf.DUMMYFUNCTION("TEXTJOIN("", "", TRUE, FILTER(Validations!$T$2:$T$100, ISNUMBER(SEARCH(Validations!$T$2:$T$100, AI213))))"),"")</f>
        <v/>
      </c>
      <c r="AK213" s="26" t="str">
        <f>IFERROR(__xludf.DUMMYFUNCTION("IFERROR(VALUE(REGEXEXTRACT(AI213, ""\d+"")), """")"),"")</f>
        <v/>
      </c>
      <c r="AL213" s="26" t="str">
        <f>IFERROR(__xludf.DUMMYFUNCTION("TEXTJOIN("", "", TRUE, FILTER(Validations!$U$2:$U$100, ISNUMBER(SEARCH(Validations!$U$2:$U$100, AI213))))"),"")</f>
        <v/>
      </c>
      <c r="AM213" s="24" t="b">
        <f t="shared" si="1"/>
        <v>0</v>
      </c>
      <c r="AN213" s="24" t="b">
        <v>0</v>
      </c>
      <c r="AO213" s="22" t="s">
        <v>71</v>
      </c>
      <c r="AP213" s="12" t="str">
        <f>IFERROR(__xludf.DUMMYFUNCTION("IF(TEXTJOIN("", "", TRUE, FILTER(Validations!$Q$2:$Q$100, ISNUMBER(SEARCH(Validations!$Q$2:$Q$100, AO213)))) = """", Validations!$Q$2, TEXTJOIN("", "", TRUE, FILTER(Validations!$Q$2:$Q$100, ISNUMBER(SEARCH(Validations!$Q$2:$Q$100, AO213)))))"),"Point")</f>
        <v>Point</v>
      </c>
      <c r="AQ213" s="12" t="str">
        <f>IFERROR(__xludf.DUMMYFUNCTION("IFERROR(VALUE(REGEXEXTRACT(AO213, ""\d+"")), """")"),"")</f>
        <v/>
      </c>
      <c r="AR213" s="12" t="str">
        <f>IFERROR(__xludf.DUMMYFUNCTION("TEXTJOIN("", "", TRUE, FILTER(Validations!$R$2:$R$100, ISNUMBER(SEARCH(Validations!$R$2:$R$100, AO213))))"),"Touch")</f>
        <v>Touch</v>
      </c>
      <c r="AS213" s="27"/>
      <c r="AT213" s="12" t="str">
        <f>IFERROR(__xludf.DUMMYFUNCTION("IFERROR(TEXTJOIN("", "", TRUE, FILTER(Validations!$I$2:$I$100, ISNUMBER(SEARCH(Validations!$I$2:$I$100, AS213)))), """")"),"")</f>
        <v/>
      </c>
      <c r="AU213" s="16" t="str">
        <f t="array" ref="AU213">IFERROR(INDEX(Validations!$J$2:$J$100, MATCH(TRUE, ISNUMBER(SEARCH(Validations!$I$2:$I$100, AT213)), 0)), "")</f>
        <v/>
      </c>
      <c r="AV213" s="12" t="str">
        <f>IFERROR(__xludf.DUMMYFUNCTION("IFERROR(VALUE(REGEXEXTRACT(AS213, ""\d+"")), """")"),"")</f>
        <v/>
      </c>
      <c r="AW213" s="12" t="str">
        <f>IFERROR(__xludf.DUMMYFUNCTION("IFERROR(TEXTJOIN("", "", TRUE, FILTER(Validations!$Q$2:$Q$100, ISNUMBER(SEARCH(Validations!$Q$2:$Q$100, AS213)))), """")"),"")</f>
        <v/>
      </c>
      <c r="AX213" s="28" t="s">
        <v>106</v>
      </c>
      <c r="AY213" s="28" t="str">
        <f>IFERROR(__xludf.DUMMYFUNCTION("TEXTJOIN("", "", TRUE, FILTER(Validations!$Y$2:$Y$100, ISNUMBER(SEARCH(Validations!$X$2:$X$100, AX213))))"),"S")</f>
        <v>S</v>
      </c>
      <c r="AZ213" s="19" t="s">
        <v>1032</v>
      </c>
      <c r="BA213" s="22"/>
      <c r="BB213" s="22"/>
      <c r="BC213" s="22"/>
      <c r="BD213" s="22"/>
      <c r="BE213" s="27"/>
      <c r="BF213" s="22"/>
      <c r="BG213" s="27"/>
      <c r="BH213" s="27"/>
      <c r="BI213" s="12" t="str">
        <f>IFERROR(__xludf.DUMMYFUNCTION("IFERROR(TEXTJOIN("", "", TRUE, FILTER(SRD!$A$2:$A$1000, EXACT(SRD!$A$2:$A$1000, J213))), """")"),"")</f>
        <v/>
      </c>
      <c r="BJ213" s="29"/>
      <c r="BK213" s="29"/>
    </row>
    <row r="214" ht="15.75" customHeight="1">
      <c r="A214" s="30" t="s">
        <v>1033</v>
      </c>
      <c r="B214" s="22"/>
      <c r="C214" s="16"/>
      <c r="D214" s="16" t="s">
        <v>302</v>
      </c>
      <c r="E214" s="16"/>
      <c r="F214" s="32" t="s">
        <v>108</v>
      </c>
      <c r="G214" s="50" t="s">
        <v>945</v>
      </c>
      <c r="H214" s="31" t="s">
        <v>140</v>
      </c>
      <c r="I214" s="16" t="str">
        <f t="array" ref="I214">INDEX(Validations!$C$2:$C$100, MATCH(TRUE, ISNUMBER(SEARCH(Validations!$B$2:$B$100, H214)), 0))</f>
        <v>N</v>
      </c>
      <c r="J214" s="17" t="s">
        <v>1034</v>
      </c>
      <c r="K214" s="18"/>
      <c r="L214" s="17"/>
      <c r="M214" s="17"/>
      <c r="N214" s="27"/>
      <c r="O214" s="17"/>
      <c r="P214" s="21"/>
      <c r="Q214" s="21"/>
      <c r="R214" s="36" t="s">
        <v>1035</v>
      </c>
      <c r="S214" s="17" t="str">
        <f>IFERROR(__xludf.DUMMYFUNCTION("IFERROR(REGEXEXTRACT(J214, ""(\d{1,3}[dD]\d{1,3})""), """")"),"1d4")</f>
        <v>1d4</v>
      </c>
      <c r="T214" s="17" t="str">
        <f>IFERROR(__xludf.DUMMYFUNCTION("IF(COUNTIF(ARRAYFORMULA(LOWER(Validations!$O$2:$O$100)), LOWER(REGEXEXTRACT(J214, ""\d{1,3}[dD]\d{1,3}\s+(\w+)"")))&gt;0, REGEXEXTRACT(J214, ""\d{1,3}[dD]\d{1,3}\s+(\w+)""), """")"),"")</f>
        <v/>
      </c>
      <c r="U214" s="17" t="str">
        <f>IFERROR(__xludf.DUMMYFUNCTION("IF(COUNTIF(ARRAYFORMULA(LOWER(Validations!$P$2:$P$100)), LOWER(REGEXEXTRACT(J214, ""\d{1,3}[dD]\d{1,3}\s+(\w+)"")))&gt;0, REGEXEXTRACT(J214, ""\d{1,3}[dD]\d{1,3}\s+(\w+)""), """")"),"")</f>
        <v/>
      </c>
      <c r="V214" s="12" t="str">
        <f>IFERROR(__xludf.DUMMYFUNCTION("TEXTJOIN("", "", TRUE, FILTER(Validations!$L$2:$L$100, ISNUMBER(SEARCH(Validations!$L$2:$L$100, J214))))"),"")</f>
        <v/>
      </c>
      <c r="W214" s="12" t="str">
        <f>IFERROR(__xludf.DUMMYFUNCTION("IFERROR(TEXTJOIN("", "", TRUE, FILTER(Validations!$M$2:$M$100, ISNUMBER(SEARCH(Validations!$M$2:$M$100 &amp; "" saving throw"", J214)))), """")"),"Constitution")</f>
        <v>Constitution</v>
      </c>
      <c r="X214" s="12"/>
      <c r="Y214" s="12"/>
      <c r="Z214" s="12" t="str">
        <f>IFERROR(__xludf.DUMMYFUNCTION("IFERROR(TEXTJOIN("", "", TRUE, FILTER(Validations!$N$2:$N$100, ISNUMBER(SEARCH(Validations!$N$2:$N$100 &amp; "" check"", J214)))), """")"),"")</f>
        <v/>
      </c>
      <c r="AA214" s="12" t="str">
        <f>IFERROR(__xludf.DUMMYFUNCTION("IFERROR(TEXTJOIN("", "", TRUE, FILTER(Validations!$N$2:$N$100, ISNUMBER(SEARCH(Validations!$N$2:$N$100 &amp; "" check"", W214)))), """")"),"")</f>
        <v/>
      </c>
      <c r="AB214" s="23" t="str">
        <f>IFERROR(__xludf.DUMMYFUNCTION("IFERROR(CONCATENATE(IF(ISNUMBER(SEARCH(Validations!$M$2:$M$100 &amp; "" spell save"", J214)),""Spell Save"",""""), REGEXEXTRACT(J214, ""DC (\d+)"")), """")"),"15")</f>
        <v>15</v>
      </c>
      <c r="AC214" s="24" t="b">
        <v>1</v>
      </c>
      <c r="AD214" s="24" t="b">
        <v>0</v>
      </c>
      <c r="AE214" s="36" t="s">
        <v>69</v>
      </c>
      <c r="AF214" s="25">
        <f>IFERROR(__xludf.DUMMYFUNCTION("IFERROR(VALUE(REGEXEXTRACT(AE214, ""\d+"")), 1)"),1.0)</f>
        <v>1</v>
      </c>
      <c r="AG214" s="12" t="str">
        <f>IFERROR(__xludf.DUMMYFUNCTION("IF(
  ISNUMBER(SEARCH(""Bonus Action"", AE214)),
  ""Bonus Action"",
  IF(
    ISNUMBER(SEARCH(""Reaction"", AE214)),
    ""Reaction"",
    IF(
      ISNUMBER(SEARCH(""Action"", AE214)),
      ""Action"",
      TEXTJOIN("", "", TRUE, FILTER(Validations!$S"&amp;"$2:$S$100, ISNUMBER(SEARCH(Validations!$S$2:$S$100, AE214))))
    )
  )
)"),"Action")</f>
        <v>Action</v>
      </c>
      <c r="AH214" s="36"/>
      <c r="AI214" s="27" t="s">
        <v>1036</v>
      </c>
      <c r="AJ214" s="26" t="str">
        <f>IFERROR(__xludf.DUMMYFUNCTION("TEXTJOIN("", "", TRUE, FILTER(Validations!$T$2:$T$100, ISNUMBER(SEARCH(Validations!$T$2:$T$100, AI214))))"),"")</f>
        <v/>
      </c>
      <c r="AK214" s="26" t="str">
        <f>IFERROR(__xludf.DUMMYFUNCTION("IFERROR(VALUE(REGEXEXTRACT(AI214, ""\d+"")), """")"),"")</f>
        <v/>
      </c>
      <c r="AL214" s="26" t="str">
        <f>IFERROR(__xludf.DUMMYFUNCTION("TEXTJOIN("", "", TRUE, FILTER(Validations!$U$2:$U$100, ISNUMBER(SEARCH(Validations!$U$2:$U$100, AI214))))"),"")</f>
        <v/>
      </c>
      <c r="AM214" s="24" t="b">
        <f t="shared" si="1"/>
        <v>0</v>
      </c>
      <c r="AN214" s="24" t="b">
        <v>0</v>
      </c>
      <c r="AO214" s="22" t="s">
        <v>71</v>
      </c>
      <c r="AP214" s="12" t="str">
        <f>IFERROR(__xludf.DUMMYFUNCTION("IF(TEXTJOIN("", "", TRUE, FILTER(Validations!$Q$2:$Q$100, ISNUMBER(SEARCH(Validations!$Q$2:$Q$100, AO214)))) = """", Validations!$Q$2, TEXTJOIN("", "", TRUE, FILTER(Validations!$Q$2:$Q$100, ISNUMBER(SEARCH(Validations!$Q$2:$Q$100, AO214)))))"),"Point")</f>
        <v>Point</v>
      </c>
      <c r="AQ214" s="12" t="str">
        <f>IFERROR(__xludf.DUMMYFUNCTION("IFERROR(VALUE(REGEXEXTRACT(AO214, ""\d+"")), """")"),"")</f>
        <v/>
      </c>
      <c r="AR214" s="12" t="str">
        <f>IFERROR(__xludf.DUMMYFUNCTION("TEXTJOIN("", "", TRUE, FILTER(Validations!$R$2:$R$100, ISNUMBER(SEARCH(Validations!$R$2:$R$100, AO214))))"),"Touch")</f>
        <v>Touch</v>
      </c>
      <c r="AS214" s="27"/>
      <c r="AT214" s="12" t="str">
        <f>IFERROR(__xludf.DUMMYFUNCTION("IFERROR(TEXTJOIN("", "", TRUE, FILTER(Validations!$I$2:$I$100, ISNUMBER(SEARCH(Validations!$I$2:$I$100, AS214)))), """")"),"")</f>
        <v/>
      </c>
      <c r="AU214" s="16" t="str">
        <f t="array" ref="AU214">IFERROR(INDEX(Validations!$J$2:$J$100, MATCH(TRUE, ISNUMBER(SEARCH(Validations!$I$2:$I$100, AT214)), 0)), "")</f>
        <v/>
      </c>
      <c r="AV214" s="12" t="str">
        <f>IFERROR(__xludf.DUMMYFUNCTION("IFERROR(VALUE(REGEXEXTRACT(AS214, ""\d+"")), """")"),"")</f>
        <v/>
      </c>
      <c r="AW214" s="12" t="str">
        <f>IFERROR(__xludf.DUMMYFUNCTION("IFERROR(TEXTJOIN("", "", TRUE, FILTER(Validations!$Q$2:$Q$100, ISNUMBER(SEARCH(Validations!$Q$2:$Q$100, AS214)))), """")"),"")</f>
        <v/>
      </c>
      <c r="AX214" s="28" t="s">
        <v>152</v>
      </c>
      <c r="AY214" s="28" t="str">
        <f>IFERROR(__xludf.DUMMYFUNCTION("TEXTJOIN("", "", TRUE, FILTER(Validations!$Y$2:$Y$100, ISNUMBER(SEARCH(Validations!$X$2:$X$100, AX214))))"),"V, S, R")</f>
        <v>V, S, R</v>
      </c>
      <c r="AZ214" s="20" t="s">
        <v>1037</v>
      </c>
      <c r="BA214" s="22"/>
      <c r="BB214" s="22"/>
      <c r="BC214" s="22"/>
      <c r="BD214" s="22"/>
      <c r="BE214" s="27"/>
      <c r="BF214" s="28" t="s">
        <v>597</v>
      </c>
      <c r="BG214" s="27"/>
      <c r="BH214" s="27"/>
      <c r="BI214" s="12" t="str">
        <f>IFERROR(__xludf.DUMMYFUNCTION("IFERROR(TEXTJOIN("", "", TRUE, FILTER(SRD!$A$2:$A$1000, EXACT(SRD!$A$2:$A$1000, J214))), """")"),"")</f>
        <v/>
      </c>
      <c r="BJ214" s="29"/>
      <c r="BK214" s="29"/>
    </row>
    <row r="215" ht="15.75" customHeight="1">
      <c r="A215" s="55" t="s">
        <v>1038</v>
      </c>
      <c r="B215" s="12"/>
      <c r="C215" s="61"/>
      <c r="D215" s="61" t="s">
        <v>1039</v>
      </c>
      <c r="E215" s="61"/>
      <c r="F215" s="32" t="s">
        <v>443</v>
      </c>
      <c r="G215" s="57" t="s">
        <v>945</v>
      </c>
      <c r="H215" s="58" t="s">
        <v>76</v>
      </c>
      <c r="I215" s="16" t="str">
        <f t="array" ref="I215">INDEX(Validations!$C$2:$C$100, MATCH(TRUE, ISNUMBER(SEARCH(Validations!$B$2:$B$100, H215)), 0))</f>
        <v>V</v>
      </c>
      <c r="J215" s="36" t="s">
        <v>1040</v>
      </c>
      <c r="K215" s="34"/>
      <c r="L215" s="36"/>
      <c r="M215" s="59"/>
      <c r="N215" s="27"/>
      <c r="O215" s="59"/>
      <c r="P215" s="60"/>
      <c r="Q215" s="60"/>
      <c r="R215" s="22"/>
      <c r="S215" s="17" t="str">
        <f>IFERROR(__xludf.DUMMYFUNCTION("IFERROR(REGEXEXTRACT(J215, ""(\d{1,3}[dD]\d{1,3})""), """")"),"")</f>
        <v/>
      </c>
      <c r="T215" s="17" t="str">
        <f>IFERROR(__xludf.DUMMYFUNCTION("IF(COUNTIF(ARRAYFORMULA(LOWER(Validations!$O$2:$O$100)), LOWER(REGEXEXTRACT(J215, ""\d{1,3}[dD]\d{1,3}\s+(\w+)"")))&gt;0, REGEXEXTRACT(J215, ""\d{1,3}[dD]\d{1,3}\s+(\w+)""), """")"),"")</f>
        <v/>
      </c>
      <c r="U215" s="17" t="str">
        <f>IFERROR(__xludf.DUMMYFUNCTION("IF(COUNTIF(ARRAYFORMULA(LOWER(Validations!$P$2:$P$100)), LOWER(REGEXEXTRACT(J215, ""\d{1,3}[dD]\d{1,3}\s+(\w+)"")))&gt;0, REGEXEXTRACT(J215, ""\d{1,3}[dD]\d{1,3}\s+(\w+)""), """")"),"")</f>
        <v/>
      </c>
      <c r="V215" s="12"/>
      <c r="W215" s="12" t="str">
        <f>IFERROR(__xludf.DUMMYFUNCTION("IFERROR(TEXTJOIN("", "", TRUE, FILTER(Validations!$M$2:$M$100, ISNUMBER(SEARCH(Validations!$M$2:$M$100 &amp; "" saving throw"", J215)))), """")"),"Constitution")</f>
        <v>Constitution</v>
      </c>
      <c r="X215" s="12"/>
      <c r="Y215" s="12"/>
      <c r="Z215" s="12" t="str">
        <f>IFERROR(__xludf.DUMMYFUNCTION("IFERROR(TEXTJOIN("", "", TRUE, FILTER(Validations!$N$2:$N$100, ISNUMBER(SEARCH(Validations!$N$2:$N$100 &amp; "" check"", J215)))), """")"),"")</f>
        <v/>
      </c>
      <c r="AA215" s="12" t="str">
        <f>IFERROR(__xludf.DUMMYFUNCTION("IFERROR(TEXTJOIN("", "", TRUE, FILTER(Validations!$N$2:$N$100, ISNUMBER(SEARCH(Validations!$N$2:$N$100 &amp; "" check"", W215)))), """")"),"")</f>
        <v/>
      </c>
      <c r="AB215" s="23" t="str">
        <f>IFERROR(__xludf.DUMMYFUNCTION("IFERROR(CONCATENATE(IF(ISNUMBER(SEARCH(Validations!$M$2:$M$100 &amp; "" spell save"", J215)),""Spell Save"",""""), REGEXEXTRACT(J215, ""DC (\d+)"")), """")"),"")</f>
        <v/>
      </c>
      <c r="AC215" s="24" t="b">
        <v>0</v>
      </c>
      <c r="AD215" s="24" t="b">
        <v>0</v>
      </c>
      <c r="AE215" s="36" t="s">
        <v>69</v>
      </c>
      <c r="AF215" s="25">
        <f>IFERROR(__xludf.DUMMYFUNCTION("IFERROR(VALUE(REGEXEXTRACT(AE215, ""\d+"")), 1)"),1.0)</f>
        <v>1</v>
      </c>
      <c r="AG215" s="12" t="str">
        <f>IFERROR(__xludf.DUMMYFUNCTION("IF(
  ISNUMBER(SEARCH(""Bonus Action"", AE215)),
  ""Bonus Action"",
  IF(
    ISNUMBER(SEARCH(""Reaction"", AE215)),
    ""Reaction"",
    IF(
      ISNUMBER(SEARCH(""Action"", AE215)),
      ""Action"",
      TEXTJOIN("", "", TRUE, FILTER(Validations!$S"&amp;"$2:$S$100, ISNUMBER(SEARCH(Validations!$S$2:$S$100, AE215))))
    )
  )
)"),"Action")</f>
        <v>Action</v>
      </c>
      <c r="AH215" s="36"/>
      <c r="AI215" s="20" t="s">
        <v>556</v>
      </c>
      <c r="AJ215" s="26" t="str">
        <f>IFERROR(__xludf.DUMMYFUNCTION("TEXTJOIN("", "", TRUE, FILTER(Validations!$T$2:$T$100, ISNUMBER(SEARCH(Validations!$T$2:$T$100, AI215))))"),"")</f>
        <v/>
      </c>
      <c r="AK215" s="26">
        <f>IFERROR(__xludf.DUMMYFUNCTION("IFERROR(VALUE(REGEXEXTRACT(AI215, ""\d+"")), """")"),1.0)</f>
        <v>1</v>
      </c>
      <c r="AL215" s="26" t="str">
        <f>IFERROR(__xludf.DUMMYFUNCTION("TEXTJOIN("", "", TRUE, FILTER(Validations!$U$2:$U$100, ISNUMBER(SEARCH(Validations!$U$2:$U$100, AI215))))"),"Minutes")</f>
        <v>Minutes</v>
      </c>
      <c r="AM215" s="24" t="b">
        <f t="shared" si="1"/>
        <v>1</v>
      </c>
      <c r="AN215" s="42" t="b">
        <v>1</v>
      </c>
      <c r="AO215" s="36" t="s">
        <v>440</v>
      </c>
      <c r="AP215" s="12" t="str">
        <f>IFERROR(__xludf.DUMMYFUNCTION("IF(TEXTJOIN("", "", TRUE, FILTER(Validations!$Q$2:$Q$100, ISNUMBER(SEARCH(Validations!$Q$2:$Q$100, AO215)))) = """", Validations!$Q$2, TEXTJOIN("", "", TRUE, FILTER(Validations!$Q$2:$Q$100, ISNUMBER(SEARCH(Validations!$Q$2:$Q$100, AO215)))))"),"Point")</f>
        <v>Point</v>
      </c>
      <c r="AQ215" s="12">
        <f>IFERROR(__xludf.DUMMYFUNCTION("IFERROR(VALUE(REGEXEXTRACT(AO215, ""\d+"")), """")"),60.0)</f>
        <v>60</v>
      </c>
      <c r="AR215" s="12" t="str">
        <f>IFERROR(__xludf.DUMMYFUNCTION("TEXTJOIN("", "", TRUE, FILTER(Validations!$R$2:$R$100, ISNUMBER(SEARCH(Validations!$R$2:$R$100, AO215))))"),"Feet")</f>
        <v>Feet</v>
      </c>
      <c r="AS215" s="27"/>
      <c r="AT215" s="12" t="str">
        <f>IFERROR(__xludf.DUMMYFUNCTION("IFERROR(TEXTJOIN("", "", TRUE, FILTER(Validations!$I$2:$I$100, ISNUMBER(SEARCH(Validations!$I$2:$I$100, AS215)))), """")"),"")</f>
        <v/>
      </c>
      <c r="AU215" s="16" t="str">
        <f t="array" ref="AU215">IFERROR(INDEX(Validations!$J$2:$J$100, MATCH(TRUE, ISNUMBER(SEARCH(Validations!$I$2:$I$100, AT215)), 0)), "")</f>
        <v/>
      </c>
      <c r="AV215" s="12" t="str">
        <f>IFERROR(__xludf.DUMMYFUNCTION("IFERROR(VALUE(REGEXEXTRACT(AS215, ""\d+"")), """")"),"")</f>
        <v/>
      </c>
      <c r="AW215" s="12" t="str">
        <f>IFERROR(__xludf.DUMMYFUNCTION("IFERROR(TEXTJOIN("", "", TRUE, FILTER(Validations!$Q$2:$Q$100, ISNUMBER(SEARCH(Validations!$Q$2:$Q$100, AS215)))), """")"),"")</f>
        <v/>
      </c>
      <c r="AX215" s="28" t="s">
        <v>142</v>
      </c>
      <c r="AY215" s="28" t="str">
        <f>IFERROR(__xludf.DUMMYFUNCTION("TEXTJOIN("", "", TRUE, FILTER(Validations!$Y$2:$Y$100, ISNUMBER(SEARCH(Validations!$X$2:$X$100, AX215))))"),"V, S")</f>
        <v>V, S</v>
      </c>
      <c r="AZ215" s="26"/>
      <c r="BA215" s="59"/>
      <c r="BB215" s="22"/>
      <c r="BC215" s="22"/>
      <c r="BD215" s="22"/>
      <c r="BE215" s="27"/>
      <c r="BF215" s="22"/>
      <c r="BG215" s="27"/>
      <c r="BH215" s="27"/>
      <c r="BI215" s="12" t="str">
        <f>IFERROR(__xludf.DUMMYFUNCTION("IFERROR(TEXTJOIN("", "", TRUE, FILTER(SRD!$A$2:$A$1000, EXACT(SRD!$A$2:$A$1000, J215))), """")"),"")</f>
        <v/>
      </c>
      <c r="BJ215" s="29"/>
      <c r="BK215" s="29"/>
    </row>
    <row r="216" ht="15.75" customHeight="1">
      <c r="A216" s="38" t="s">
        <v>1041</v>
      </c>
      <c r="B216" s="12"/>
      <c r="C216" s="31"/>
      <c r="D216" s="31" t="s">
        <v>74</v>
      </c>
      <c r="E216" s="31"/>
      <c r="F216" s="32" t="s">
        <v>985</v>
      </c>
      <c r="G216" s="50" t="s">
        <v>945</v>
      </c>
      <c r="H216" s="31" t="s">
        <v>65</v>
      </c>
      <c r="I216" s="16" t="str">
        <f t="array" ref="I216">INDEX(Validations!$C$2:$C$100, MATCH(TRUE, ISNUMBER(SEARCH(Validations!$B$2:$B$100, H216)), 0))</f>
        <v>I</v>
      </c>
      <c r="J216" s="17" t="s">
        <v>1042</v>
      </c>
      <c r="K216" s="18"/>
      <c r="L216" s="17"/>
      <c r="M216" s="17"/>
      <c r="N216" s="27"/>
      <c r="O216" s="17"/>
      <c r="P216" s="21"/>
      <c r="Q216" s="21"/>
      <c r="R216" s="22"/>
      <c r="S216" s="17" t="str">
        <f>IFERROR(__xludf.DUMMYFUNCTION("IFERROR(REGEXEXTRACT(J216, ""(\d{1,3}[dD]\d{1,3})""), """")"),"")</f>
        <v/>
      </c>
      <c r="T216" s="17" t="str">
        <f>IFERROR(__xludf.DUMMYFUNCTION("IF(COUNTIF(ARRAYFORMULA(LOWER(Validations!$O$2:$O$100)), LOWER(REGEXEXTRACT(J216, ""\d{1,3}[dD]\d{1,3}\s+(\w+)"")))&gt;0, REGEXEXTRACT(J216, ""\d{1,3}[dD]\d{1,3}\s+(\w+)""), """")"),"")</f>
        <v/>
      </c>
      <c r="U216" s="17" t="str">
        <f>IFERROR(__xludf.DUMMYFUNCTION("IF(COUNTIF(ARRAYFORMULA(LOWER(Validations!$P$2:$P$100)), LOWER(REGEXEXTRACT(J216, ""\d{1,3}[dD]\d{1,3}\s+(\w+)"")))&gt;0, REGEXEXTRACT(J216, ""\d{1,3}[dD]\d{1,3}\s+(\w+)""), """")"),"")</f>
        <v/>
      </c>
      <c r="V216" s="12" t="str">
        <f>IFERROR(__xludf.DUMMYFUNCTION("TEXTJOIN("", "", TRUE, FILTER(Validations!$L$2:$L$100, ISNUMBER(SEARCH(Validations!$L$2:$L$100, J216))))"),"")</f>
        <v/>
      </c>
      <c r="W216" s="12" t="str">
        <f>IFERROR(__xludf.DUMMYFUNCTION("IFERROR(TEXTJOIN("", "", TRUE, FILTER(Validations!$M$2:$M$100, ISNUMBER(SEARCH(Validations!$M$2:$M$100 &amp; "" saving throw"", J216)))), """")"),"")</f>
        <v/>
      </c>
      <c r="X216" s="12"/>
      <c r="Y216" s="12"/>
      <c r="Z216" s="12" t="str">
        <f>IFERROR(__xludf.DUMMYFUNCTION("IFERROR(TEXTJOIN("", "", TRUE, FILTER(Validations!$N$2:$N$100, ISNUMBER(SEARCH(Validations!$N$2:$N$100 &amp; "" check"", J216)))), """")"),"")</f>
        <v/>
      </c>
      <c r="AA216" s="12" t="str">
        <f>IFERROR(__xludf.DUMMYFUNCTION("IFERROR(TEXTJOIN("", "", TRUE, FILTER(Validations!$N$2:$N$100, ISNUMBER(SEARCH(Validations!$N$2:$N$100 &amp; "" check"", W216)))), """")"),"")</f>
        <v/>
      </c>
      <c r="AB216" s="23" t="str">
        <f>IFERROR(__xludf.DUMMYFUNCTION("IFERROR(CONCATENATE(IF(ISNUMBER(SEARCH(Validations!$M$2:$M$100 &amp; "" spell save"", J216)),""Spell Save"",""""), REGEXEXTRACT(J216, ""DC (\d+)"")), """")"),"")</f>
        <v/>
      </c>
      <c r="AC216" s="24" t="b">
        <v>1</v>
      </c>
      <c r="AD216" s="24" t="b">
        <v>0</v>
      </c>
      <c r="AE216" s="36" t="s">
        <v>134</v>
      </c>
      <c r="AF216" s="25">
        <f>IFERROR(__xludf.DUMMYFUNCTION("IFERROR(VALUE(REGEXEXTRACT(AE216, ""\d+"")), 1)"),10.0)</f>
        <v>10</v>
      </c>
      <c r="AG216" s="12" t="str">
        <f>IFERROR(__xludf.DUMMYFUNCTION("IF(
  ISNUMBER(SEARCH(""Bonus Action"", AE216)),
  ""Bonus Action"",
  IF(
    ISNUMBER(SEARCH(""Reaction"", AE216)),
    ""Reaction"",
    IF(
      ISNUMBER(SEARCH(""Action"", AE216)),
      ""Action"",
      TEXTJOIN("", "", TRUE, FILTER(Validations!$S"&amp;"$2:$S$100, ISNUMBER(SEARCH(Validations!$S$2:$S$100, AE216))))
    )
  )
)"),"Minutes")</f>
        <v>Minutes</v>
      </c>
      <c r="AH216" s="22"/>
      <c r="AI216" s="20" t="s">
        <v>347</v>
      </c>
      <c r="AJ216" s="26" t="str">
        <f>IFERROR(__xludf.DUMMYFUNCTION("TEXTJOIN("", "", TRUE, FILTER(Validations!$T$2:$T$100, ISNUMBER(SEARCH(Validations!$T$2:$T$100, AI216))))"),"")</f>
        <v/>
      </c>
      <c r="AK216" s="26">
        <f>IFERROR(__xludf.DUMMYFUNCTION("IFERROR(VALUE(REGEXEXTRACT(AI216, ""\d+"")), """")"),24.0)</f>
        <v>24</v>
      </c>
      <c r="AL216" s="26" t="str">
        <f>IFERROR(__xludf.DUMMYFUNCTION("TEXTJOIN("", "", TRUE, FILTER(Validations!$U$2:$U$100, ISNUMBER(SEARCH(Validations!$U$2:$U$100, AI216))))"),"Hours")</f>
        <v>Hours</v>
      </c>
      <c r="AM216" s="24" t="b">
        <f t="shared" si="1"/>
        <v>0</v>
      </c>
      <c r="AN216" s="24" t="b">
        <v>0</v>
      </c>
      <c r="AO216" s="22" t="s">
        <v>71</v>
      </c>
      <c r="AP216" s="12" t="str">
        <f>IFERROR(__xludf.DUMMYFUNCTION("IF(TEXTJOIN("", "", TRUE, FILTER(Validations!$Q$2:$Q$100, ISNUMBER(SEARCH(Validations!$Q$2:$Q$100, AO216)))) = """", Validations!$Q$2, TEXTJOIN("", "", TRUE, FILTER(Validations!$Q$2:$Q$100, ISNUMBER(SEARCH(Validations!$Q$2:$Q$100, AO216)))))"),"Point")</f>
        <v>Point</v>
      </c>
      <c r="AQ216" s="12" t="str">
        <f>IFERROR(__xludf.DUMMYFUNCTION("IFERROR(VALUE(REGEXEXTRACT(AO216, ""\d+"")), """")"),"")</f>
        <v/>
      </c>
      <c r="AR216" s="12" t="str">
        <f>IFERROR(__xludf.DUMMYFUNCTION("TEXTJOIN("", "", TRUE, FILTER(Validations!$R$2:$R$100, ISNUMBER(SEARCH(Validations!$R$2:$R$100, AO216))))"),"Touch")</f>
        <v>Touch</v>
      </c>
      <c r="AS216" s="27"/>
      <c r="AT216" s="12" t="str">
        <f>IFERROR(__xludf.DUMMYFUNCTION("IFERROR(TEXTJOIN("", "", TRUE, FILTER(Validations!$I$2:$I$100, ISNUMBER(SEARCH(Validations!$I$2:$I$100, AS216)))), """")"),"")</f>
        <v/>
      </c>
      <c r="AU216" s="16" t="str">
        <f t="array" ref="AU216">IFERROR(INDEX(Validations!$J$2:$J$100, MATCH(TRUE, ISNUMBER(SEARCH(Validations!$I$2:$I$100, AT216)), 0)), "")</f>
        <v/>
      </c>
      <c r="AV216" s="12" t="str">
        <f>IFERROR(__xludf.DUMMYFUNCTION("IFERROR(VALUE(REGEXEXTRACT(AS216, ""\d+"")), """")"),"")</f>
        <v/>
      </c>
      <c r="AW216" s="12" t="str">
        <f>IFERROR(__xludf.DUMMYFUNCTION("IFERROR(TEXTJOIN("", "", TRUE, FILTER(Validations!$Q$2:$Q$100, ISNUMBER(SEARCH(Validations!$Q$2:$Q$100, AS216)))), """")"),"")</f>
        <v/>
      </c>
      <c r="AX216" s="28" t="s">
        <v>152</v>
      </c>
      <c r="AY216" s="28" t="str">
        <f>IFERROR(__xludf.DUMMYFUNCTION("TEXTJOIN("", "", TRUE, FILTER(Validations!$Y$2:$Y$100, ISNUMBER(SEARCH(Validations!$X$2:$X$100, AX216))))"),"V, S, R")</f>
        <v>V, S, R</v>
      </c>
      <c r="AZ216" s="20" t="s">
        <v>1043</v>
      </c>
      <c r="BA216" s="22"/>
      <c r="BB216" s="22"/>
      <c r="BC216" s="22"/>
      <c r="BD216" s="22"/>
      <c r="BE216" s="27"/>
      <c r="BF216" s="22"/>
      <c r="BG216" s="27"/>
      <c r="BH216" s="27"/>
      <c r="BI216" s="12" t="str">
        <f>IFERROR(__xludf.DUMMYFUNCTION("IFERROR(TEXTJOIN("", "", TRUE, FILTER(SRD!$A$2:$A$1000, EXACT(SRD!$A$2:$A$1000, J216))), """")"),"")</f>
        <v/>
      </c>
      <c r="BJ216" s="29"/>
      <c r="BK216" s="29"/>
    </row>
    <row r="217" ht="15.75" customHeight="1">
      <c r="A217" s="30" t="s">
        <v>1044</v>
      </c>
      <c r="B217" s="22"/>
      <c r="C217" s="31"/>
      <c r="D217" s="31" t="s">
        <v>74</v>
      </c>
      <c r="E217" s="31"/>
      <c r="F217" s="32" t="s">
        <v>199</v>
      </c>
      <c r="G217" s="50" t="s">
        <v>945</v>
      </c>
      <c r="H217" s="31" t="s">
        <v>85</v>
      </c>
      <c r="I217" s="16" t="str">
        <f t="array" ref="I217">INDEX(Validations!$C$2:$C$100, MATCH(TRUE, ISNUMBER(SEARCH(Validations!$B$2:$B$100, H217)), 0))</f>
        <v>T</v>
      </c>
      <c r="J217" s="17" t="s">
        <v>1045</v>
      </c>
      <c r="K217" s="18"/>
      <c r="L217" s="17"/>
      <c r="M217" s="17"/>
      <c r="N217" s="27"/>
      <c r="O217" s="17"/>
      <c r="P217" s="21"/>
      <c r="Q217" s="21"/>
      <c r="R217" s="22"/>
      <c r="S217" s="17" t="str">
        <f>IFERROR(__xludf.DUMMYFUNCTION("IFERROR(REGEXEXTRACT(J217, ""(\d{1,3}[dD]\d{1,3})""), """")"),"")</f>
        <v/>
      </c>
      <c r="T217" s="17" t="str">
        <f>IFERROR(__xludf.DUMMYFUNCTION("IF(COUNTIF(ARRAYFORMULA(LOWER(Validations!$O$2:$O$100)), LOWER(REGEXEXTRACT(J217, ""\d{1,3}[dD]\d{1,3}\s+(\w+)"")))&gt;0, REGEXEXTRACT(J217, ""\d{1,3}[dD]\d{1,3}\s+(\w+)""), """")"),"")</f>
        <v/>
      </c>
      <c r="U217" s="17" t="str">
        <f>IFERROR(__xludf.DUMMYFUNCTION("IF(COUNTIF(ARRAYFORMULA(LOWER(Validations!$P$2:$P$100)), LOWER(REGEXEXTRACT(J217, ""\d{1,3}[dD]\d{1,3}\s+(\w+)"")))&gt;0, REGEXEXTRACT(J217, ""\d{1,3}[dD]\d{1,3}\s+(\w+)""), """")"),"")</f>
        <v/>
      </c>
      <c r="V217" s="12" t="str">
        <f>IFERROR(__xludf.DUMMYFUNCTION("TEXTJOIN("", "", TRUE, FILTER(Validations!$L$2:$L$100, ISNUMBER(SEARCH(Validations!$L$2:$L$100, J217))))"),"")</f>
        <v/>
      </c>
      <c r="W217" s="12" t="str">
        <f>IFERROR(__xludf.DUMMYFUNCTION("IFERROR(TEXTJOIN("", "", TRUE, FILTER(Validations!$M$2:$M$100, ISNUMBER(SEARCH(Validations!$M$2:$M$100 &amp; "" saving throw"", J217)))), """")"),"")</f>
        <v/>
      </c>
      <c r="X217" s="12"/>
      <c r="Y217" s="12"/>
      <c r="Z217" s="12" t="str">
        <f>IFERROR(__xludf.DUMMYFUNCTION("IFERROR(TEXTJOIN("", "", TRUE, FILTER(Validations!$N$2:$N$100, ISNUMBER(SEARCH(Validations!$N$2:$N$100 &amp; "" check"", J217)))), """")"),"")</f>
        <v/>
      </c>
      <c r="AA217" s="12" t="str">
        <f>IFERROR(__xludf.DUMMYFUNCTION("IFERROR(TEXTJOIN("", "", TRUE, FILTER(Validations!$N$2:$N$100, ISNUMBER(SEARCH(Validations!$N$2:$N$100 &amp; "" check"", W217)))), """")"),"")</f>
        <v/>
      </c>
      <c r="AB217" s="23" t="str">
        <f>IFERROR(__xludf.DUMMYFUNCTION("IFERROR(CONCATENATE(IF(ISNUMBER(SEARCH(Validations!$M$2:$M$100 &amp; "" spell save"", J217)),""Spell Save"",""""), REGEXEXTRACT(J217, ""DC (\d+)"")), """")"),"")</f>
        <v/>
      </c>
      <c r="AC217" s="24" t="b">
        <v>0</v>
      </c>
      <c r="AD217" s="24" t="b">
        <v>0</v>
      </c>
      <c r="AE217" s="36" t="s">
        <v>69</v>
      </c>
      <c r="AF217" s="25">
        <f>IFERROR(__xludf.DUMMYFUNCTION("IFERROR(VALUE(REGEXEXTRACT(AE217, ""\d+"")), 1)"),1.0)</f>
        <v>1</v>
      </c>
      <c r="AG217" s="12" t="str">
        <f>IFERROR(__xludf.DUMMYFUNCTION("IF(
  ISNUMBER(SEARCH(""Bonus Action"", AE217)),
  ""Bonus Action"",
  IF(
    ISNUMBER(SEARCH(""Reaction"", AE217)),
    ""Reaction"",
    IF(
      ISNUMBER(SEARCH(""Action"", AE217)),
      ""Action"",
      TEXTJOIN("", "", TRUE, FILTER(Validations!$S"&amp;"$2:$S$100, ISNUMBER(SEARCH(Validations!$S$2:$S$100, AE217))))
    )
  )
)"),"Action")</f>
        <v>Action</v>
      </c>
      <c r="AH217" s="36"/>
      <c r="AI217" s="20" t="s">
        <v>92</v>
      </c>
      <c r="AJ217" s="26" t="str">
        <f>IFERROR(__xludf.DUMMYFUNCTION("TEXTJOIN("", "", TRUE, FILTER(Validations!$T$2:$T$100, ISNUMBER(SEARCH(Validations!$T$2:$T$100, AI217))))"),"")</f>
        <v/>
      </c>
      <c r="AK217" s="26">
        <f>IFERROR(__xludf.DUMMYFUNCTION("IFERROR(VALUE(REGEXEXTRACT(AI217, ""\d+"")), """")"),1.0)</f>
        <v>1</v>
      </c>
      <c r="AL217" s="26" t="str">
        <f>IFERROR(__xludf.DUMMYFUNCTION("TEXTJOIN("", "", TRUE, FILTER(Validations!$U$2:$U$100, ISNUMBER(SEARCH(Validations!$U$2:$U$100, AI217))))"),"Minutes")</f>
        <v>Minutes</v>
      </c>
      <c r="AM217" s="24" t="b">
        <f t="shared" si="1"/>
        <v>0</v>
      </c>
      <c r="AN217" s="24" t="b">
        <v>0</v>
      </c>
      <c r="AO217" s="22" t="s">
        <v>78</v>
      </c>
      <c r="AP217" s="12" t="str">
        <f>IFERROR(__xludf.DUMMYFUNCTION("IF(TEXTJOIN("", "", TRUE, FILTER(Validations!$Q$2:$Q$100, ISNUMBER(SEARCH(Validations!$Q$2:$Q$100, AO217)))) = """", Validations!$Q$2, TEXTJOIN("", "", TRUE, FILTER(Validations!$Q$2:$Q$100, ISNUMBER(SEARCH(Validations!$Q$2:$Q$100, AO217)))))"),"Point")</f>
        <v>Point</v>
      </c>
      <c r="AQ217" s="12" t="str">
        <f>IFERROR(__xludf.DUMMYFUNCTION("IFERROR(VALUE(REGEXEXTRACT(AO217, ""\d+"")), """")"),"")</f>
        <v/>
      </c>
      <c r="AR217" s="12" t="str">
        <f>IFERROR(__xludf.DUMMYFUNCTION("TEXTJOIN("", "", TRUE, FILTER(Validations!$R$2:$R$100, ISNUMBER(SEARCH(Validations!$R$2:$R$100, AO217))))"),"Self")</f>
        <v>Self</v>
      </c>
      <c r="AS217" s="27"/>
      <c r="AT217" s="12" t="str">
        <f>IFERROR(__xludf.DUMMYFUNCTION("IFERROR(TEXTJOIN("", "", TRUE, FILTER(Validations!$I$2:$I$100, ISNUMBER(SEARCH(Validations!$I$2:$I$100, AS217)))), """")"),"")</f>
        <v/>
      </c>
      <c r="AU217" s="16" t="str">
        <f t="array" ref="AU217">IFERROR(INDEX(Validations!$J$2:$J$100, MATCH(TRUE, ISNUMBER(SEARCH(Validations!$I$2:$I$100, AT217)), 0)), "")</f>
        <v/>
      </c>
      <c r="AV217" s="12" t="str">
        <f>IFERROR(__xludf.DUMMYFUNCTION("IFERROR(VALUE(REGEXEXTRACT(AS217, ""\d+"")), """")"),"")</f>
        <v/>
      </c>
      <c r="AW217" s="12" t="str">
        <f>IFERROR(__xludf.DUMMYFUNCTION("IFERROR(TEXTJOIN("", "", TRUE, FILTER(Validations!$Q$2:$Q$100, ISNUMBER(SEARCH(Validations!$Q$2:$Q$100, AS217)))), """")"),"")</f>
        <v/>
      </c>
      <c r="AX217" s="28" t="s">
        <v>142</v>
      </c>
      <c r="AY217" s="28" t="str">
        <f>IFERROR(__xludf.DUMMYFUNCTION("TEXTJOIN("", "", TRUE, FILTER(Validations!$Y$2:$Y$100, ISNUMBER(SEARCH(Validations!$X$2:$X$100, AX217))))"),"V, S")</f>
        <v>V, S</v>
      </c>
      <c r="AZ217" s="27"/>
      <c r="BA217" s="22"/>
      <c r="BB217" s="22"/>
      <c r="BC217" s="22"/>
      <c r="BD217" s="22"/>
      <c r="BE217" s="27"/>
      <c r="BF217" s="22"/>
      <c r="BG217" s="27"/>
      <c r="BH217" s="27"/>
      <c r="BI217" s="12" t="str">
        <f>IFERROR(__xludf.DUMMYFUNCTION("IFERROR(TEXTJOIN("", "", TRUE, FILTER(SRD!$A$2:$A$1000, EXACT(SRD!$A$2:$A$1000, J217))), """")"),"")</f>
        <v/>
      </c>
      <c r="BJ217" s="29"/>
      <c r="BK217" s="29"/>
    </row>
    <row r="218" ht="15.75" customHeight="1">
      <c r="A218" s="38" t="s">
        <v>1046</v>
      </c>
      <c r="B218" s="12"/>
      <c r="C218" s="43"/>
      <c r="D218" s="43" t="s">
        <v>1047</v>
      </c>
      <c r="E218" s="43"/>
      <c r="F218" s="14" t="s">
        <v>392</v>
      </c>
      <c r="G218" s="50" t="s">
        <v>945</v>
      </c>
      <c r="H218" s="31" t="s">
        <v>103</v>
      </c>
      <c r="I218" s="16" t="str">
        <f t="array" ref="I218">INDEX(Validations!$C$2:$C$100, MATCH(TRUE, ISNUMBER(SEARCH(Validations!$B$2:$B$100, H218)), 0))</f>
        <v>C</v>
      </c>
      <c r="J218" s="17" t="s">
        <v>1048</v>
      </c>
      <c r="K218" s="51"/>
      <c r="L218" s="17"/>
      <c r="M218" s="52"/>
      <c r="N218" s="20" t="s">
        <v>1049</v>
      </c>
      <c r="O218" s="17" t="s">
        <v>1050</v>
      </c>
      <c r="P218" s="21"/>
      <c r="Q218" s="21"/>
      <c r="R218" s="36" t="s">
        <v>840</v>
      </c>
      <c r="S218" s="17" t="str">
        <f>IFERROR(__xludf.DUMMYFUNCTION("IFERROR(REGEXEXTRACT(J218, ""(\d{1,3}[dD]\d{1,3})""), """")"),"4d8")</f>
        <v>4d8</v>
      </c>
      <c r="T218" s="17" t="str">
        <f>IFERROR(__xludf.DUMMYFUNCTION("IF(COUNTIF(ARRAYFORMULA(LOWER(Validations!$O$2:$O$100)), LOWER(REGEXEXTRACT(J218, ""\d{1,3}[dD]\d{1,3}\s+(\w+)"")))&gt;0, REGEXEXTRACT(J218, ""\d{1,3}[dD]\d{1,3}\s+(\w+)""), """")"),"impact")</f>
        <v>impact</v>
      </c>
      <c r="U218" s="17" t="str">
        <f>IFERROR(__xludf.DUMMYFUNCTION("IF(COUNTIF(ARRAYFORMULA(LOWER(Validations!$P$2:$P$100)), LOWER(REGEXEXTRACT(J218, ""\d{1,3}[dD]\d{1,3}\s+(\w+)"")))&gt;0, REGEXEXTRACT(J218, ""\d{1,3}[dD]\d{1,3}\s+(\w+)""), """")"),"")</f>
        <v/>
      </c>
      <c r="V218" s="12" t="str">
        <f>IFERROR(__xludf.DUMMYFUNCTION("TEXTJOIN("", "", TRUE, FILTER(Validations!$L$2:$L$100, ISNUMBER(SEARCH(Validations!$L$2:$L$100, J218))))"),"Erased, Prone, Unconscious")</f>
        <v>Erased, Prone, Unconscious</v>
      </c>
      <c r="W218" s="12" t="str">
        <f>IFERROR(__xludf.DUMMYFUNCTION("IFERROR(TEXTJOIN("", "", TRUE, FILTER(Validations!$M$2:$M$100, ISNUMBER(SEARCH(Validations!$M$2:$M$100 &amp; "" saving throw"", J218)))), """")"),"Dexterity")</f>
        <v>Dexterity</v>
      </c>
      <c r="X218" s="12"/>
      <c r="Y218" s="12"/>
      <c r="Z218" s="12" t="str">
        <f>IFERROR(__xludf.DUMMYFUNCTION("IFERROR(TEXTJOIN("", "", TRUE, FILTER(Validations!$N$2:$N$100, ISNUMBER(SEARCH(Validations!$N$2:$N$100 &amp; "" check"", J218)))), """")"),"")</f>
        <v/>
      </c>
      <c r="AA218" s="12" t="str">
        <f>IFERROR(__xludf.DUMMYFUNCTION("IFERROR(TEXTJOIN("", "", TRUE, FILTER(Validations!$N$2:$N$100, ISNUMBER(SEARCH(Validations!$N$2:$N$100 &amp; "" check"", W218)))), """")"),"")</f>
        <v/>
      </c>
      <c r="AB218" s="23" t="str">
        <f>IFERROR(__xludf.DUMMYFUNCTION("IFERROR(CONCATENATE(IF(ISNUMBER(SEARCH(Validations!$M$2:$M$100 &amp; "" spell save"", J218)),""Spell Save"",""""), REGEXEXTRACT(J218, ""DC (\d+)"")), """")"),"")</f>
        <v/>
      </c>
      <c r="AC218" s="24" t="b">
        <v>0</v>
      </c>
      <c r="AD218" s="24" t="b">
        <v>0</v>
      </c>
      <c r="AE218" s="12" t="s">
        <v>69</v>
      </c>
      <c r="AF218" s="25">
        <f>IFERROR(__xludf.DUMMYFUNCTION("IFERROR(VALUE(REGEXEXTRACT(AE218, ""\d+"")), 1)"),1.0)</f>
        <v>1</v>
      </c>
      <c r="AG218" s="12" t="str">
        <f>IFERROR(__xludf.DUMMYFUNCTION("IF(
  ISNUMBER(SEARCH(""Bonus Action"", AE218)),
  ""Bonus Action"",
  IF(
    ISNUMBER(SEARCH(""Reaction"", AE218)),
    ""Reaction"",
    IF(
      ISNUMBER(SEARCH(""Action"", AE218)),
      ""Action"",
      TEXTJOIN("", "", TRUE, FILTER(Validations!$S"&amp;"$2:$S$100, ISNUMBER(SEARCH(Validations!$S$2:$S$100, AE218))))
    )
  )
)"),"Action")</f>
        <v>Action</v>
      </c>
      <c r="AH218" s="12"/>
      <c r="AI218" s="20" t="s">
        <v>92</v>
      </c>
      <c r="AJ218" s="26" t="str">
        <f>IFERROR(__xludf.DUMMYFUNCTION("TEXTJOIN("", "", TRUE, FILTER(Validations!$T$2:$T$100, ISNUMBER(SEARCH(Validations!$T$2:$T$100, AI218))))"),"")</f>
        <v/>
      </c>
      <c r="AK218" s="26">
        <f>IFERROR(__xludf.DUMMYFUNCTION("IFERROR(VALUE(REGEXEXTRACT(AI218, ""\d+"")), """")"),1.0)</f>
        <v>1</v>
      </c>
      <c r="AL218" s="26" t="str">
        <f>IFERROR(__xludf.DUMMYFUNCTION("TEXTJOIN("", "", TRUE, FILTER(Validations!$U$2:$U$100, ISNUMBER(SEARCH(Validations!$U$2:$U$100, AI218))))"),"Minutes")</f>
        <v>Minutes</v>
      </c>
      <c r="AM218" s="24" t="b">
        <f t="shared" si="1"/>
        <v>0</v>
      </c>
      <c r="AN218" s="24" t="b">
        <v>1</v>
      </c>
      <c r="AO218" s="12" t="s">
        <v>440</v>
      </c>
      <c r="AP218" s="12" t="str">
        <f>IFERROR(__xludf.DUMMYFUNCTION("IF(TEXTJOIN("", "", TRUE, FILTER(Validations!$Q$2:$Q$100, ISNUMBER(SEARCH(Validations!$Q$2:$Q$100, AO218)))) = """", Validations!$Q$2, TEXTJOIN("", "", TRUE, FILTER(Validations!$Q$2:$Q$100, ISNUMBER(SEARCH(Validations!$Q$2:$Q$100, AO218)))))"),"Point")</f>
        <v>Point</v>
      </c>
      <c r="AQ218" s="12">
        <f>IFERROR(__xludf.DUMMYFUNCTION("IFERROR(VALUE(REGEXEXTRACT(AO218, ""\d+"")), """")"),60.0)</f>
        <v>60</v>
      </c>
      <c r="AR218" s="12" t="str">
        <f>IFERROR(__xludf.DUMMYFUNCTION("TEXTJOIN("", "", TRUE, FILTER(Validations!$R$2:$R$100, ISNUMBER(SEARCH(Validations!$R$2:$R$100, AO218))))"),"Feet")</f>
        <v>Feet</v>
      </c>
      <c r="AS218" s="26" t="s">
        <v>1051</v>
      </c>
      <c r="AT218" s="12" t="str">
        <f>IFERROR(__xludf.DUMMYFUNCTION("IFERROR(TEXTJOIN("", "", TRUE, FILTER(Validations!$I$2:$I$100, ISNUMBER(SEARCH(Validations!$I$2:$I$100, AS218)))), """")"),"")</f>
        <v/>
      </c>
      <c r="AU218" s="16" t="str">
        <f t="array" ref="AU218">IFERROR(INDEX(Validations!$J$2:$J$100, MATCH(TRUE, ISNUMBER(SEARCH(Validations!$I$2:$I$100, AT218)), 0)), "")</f>
        <v/>
      </c>
      <c r="AV218" s="12">
        <f>IFERROR(__xludf.DUMMYFUNCTION("IFERROR(VALUE(REGEXEXTRACT(AS218, ""\d+"")), """")"),10.0)</f>
        <v>10</v>
      </c>
      <c r="AW218" s="12" t="str">
        <f>IFERROR(__xludf.DUMMYFUNCTION("IFERROR(TEXTJOIN("", "", TRUE, FILTER(Validations!$Q$2:$Q$100, ISNUMBER(SEARCH(Validations!$Q$2:$Q$100, AS218)))), """")"),"Radius")</f>
        <v>Radius</v>
      </c>
      <c r="AX218" s="28" t="s">
        <v>152</v>
      </c>
      <c r="AY218" s="28" t="str">
        <f>IFERROR(__xludf.DUMMYFUNCTION("TEXTJOIN("", "", TRUE, FILTER(Validations!$Y$2:$Y$100, ISNUMBER(SEARCH(Validations!$X$2:$X$100, AX218))))"),"V, S, R")</f>
        <v>V, S, R</v>
      </c>
      <c r="AZ218" s="26" t="s">
        <v>1052</v>
      </c>
      <c r="BA218" s="12"/>
      <c r="BB218" s="22"/>
      <c r="BC218" s="22"/>
      <c r="BD218" s="22"/>
      <c r="BE218" s="27"/>
      <c r="BF218" s="22" t="s">
        <v>497</v>
      </c>
      <c r="BG218" s="27"/>
      <c r="BH218" s="27"/>
      <c r="BI218" s="12" t="str">
        <f>IFERROR(__xludf.DUMMYFUNCTION("IFERROR(TEXTJOIN("", "", TRUE, FILTER(SRD!$A$2:$A$1000, EXACT(SRD!$A$2:$A$1000, J218))), """")"),"")</f>
        <v/>
      </c>
      <c r="BJ218" s="29"/>
      <c r="BK218" s="29"/>
    </row>
    <row r="219" ht="15.75" customHeight="1">
      <c r="A219" s="30" t="s">
        <v>1053</v>
      </c>
      <c r="B219" s="22"/>
      <c r="C219" s="16"/>
      <c r="D219" s="16" t="s">
        <v>345</v>
      </c>
      <c r="E219" s="16"/>
      <c r="F219" s="32" t="s">
        <v>466</v>
      </c>
      <c r="G219" s="50" t="s">
        <v>945</v>
      </c>
      <c r="H219" s="31" t="s">
        <v>85</v>
      </c>
      <c r="I219" s="16" t="str">
        <f t="array" ref="I219">INDEX(Validations!$C$2:$C$100, MATCH(TRUE, ISNUMBER(SEARCH(Validations!$B$2:$B$100, H219)), 0))</f>
        <v>T</v>
      </c>
      <c r="J219" s="17" t="s">
        <v>1054</v>
      </c>
      <c r="K219" s="18"/>
      <c r="L219" s="17"/>
      <c r="M219" s="17"/>
      <c r="N219" s="27"/>
      <c r="O219" s="17"/>
      <c r="P219" s="21"/>
      <c r="Q219" s="21"/>
      <c r="R219" s="22"/>
      <c r="S219" s="17" t="str">
        <f>IFERROR(__xludf.DUMMYFUNCTION("IFERROR(REGEXEXTRACT(J219, ""(\d{1,3}[dD]\d{1,3})""), """")"),"")</f>
        <v/>
      </c>
      <c r="T219" s="17" t="str">
        <f>IFERROR(__xludf.DUMMYFUNCTION("IF(COUNTIF(ARRAYFORMULA(LOWER(Validations!$O$2:$O$100)), LOWER(REGEXEXTRACT(J219, ""\d{1,3}[dD]\d{1,3}\s+(\w+)"")))&gt;0, REGEXEXTRACT(J219, ""\d{1,3}[dD]\d{1,3}\s+(\w+)""), """")"),"")</f>
        <v/>
      </c>
      <c r="U219" s="17" t="str">
        <f>IFERROR(__xludf.DUMMYFUNCTION("IF(COUNTIF(ARRAYFORMULA(LOWER(Validations!$P$2:$P$100)), LOWER(REGEXEXTRACT(J219, ""\d{1,3}[dD]\d{1,3}\s+(\w+)"")))&gt;0, REGEXEXTRACT(J219, ""\d{1,3}[dD]\d{1,3}\s+(\w+)""), """")"),"")</f>
        <v/>
      </c>
      <c r="V219" s="12" t="str">
        <f>IFERROR(__xludf.DUMMYFUNCTION("TEXTJOIN("", "", TRUE, FILTER(Validations!$L$2:$L$100, ISNUMBER(SEARCH(Validations!$L$2:$L$100, J219))))"),"")</f>
        <v/>
      </c>
      <c r="W219" s="12" t="str">
        <f>IFERROR(__xludf.DUMMYFUNCTION("IFERROR(TEXTJOIN("", "", TRUE, FILTER(Validations!$M$2:$M$100, ISNUMBER(SEARCH(Validations!$M$2:$M$100 &amp; "" saving throw"", J219)))), """")"),"Dexterity")</f>
        <v>Dexterity</v>
      </c>
      <c r="X219" s="12"/>
      <c r="Y219" s="12"/>
      <c r="Z219" s="12" t="str">
        <f>IFERROR(__xludf.DUMMYFUNCTION("IFERROR(TEXTJOIN("", "", TRUE, FILTER(Validations!$N$2:$N$100, ISNUMBER(SEARCH(Validations!$N$2:$N$100 &amp; "" check"", J219)))), """")"),"")</f>
        <v/>
      </c>
      <c r="AA219" s="12" t="str">
        <f>IFERROR(__xludf.DUMMYFUNCTION("IFERROR(TEXTJOIN("", "", TRUE, FILTER(Validations!$N$2:$N$100, ISNUMBER(SEARCH(Validations!$N$2:$N$100 &amp; "" check"", W219)))), """")"),"")</f>
        <v/>
      </c>
      <c r="AB219" s="23" t="str">
        <f>IFERROR(__xludf.DUMMYFUNCTION("IFERROR(CONCATENATE(IF(ISNUMBER(SEARCH(Validations!$M$2:$M$100 &amp; "" spell save"", J219)),""Spell Save"",""""), REGEXEXTRACT(J219, ""DC (\d+)"")), """")"),"")</f>
        <v/>
      </c>
      <c r="AC219" s="24" t="b">
        <v>0</v>
      </c>
      <c r="AD219" s="24" t="b">
        <v>0</v>
      </c>
      <c r="AE219" s="36" t="s">
        <v>69</v>
      </c>
      <c r="AF219" s="25">
        <f>IFERROR(__xludf.DUMMYFUNCTION("IFERROR(VALUE(REGEXEXTRACT(AE219, ""\d+"")), 1)"),1.0)</f>
        <v>1</v>
      </c>
      <c r="AG219" s="12" t="str">
        <f>IFERROR(__xludf.DUMMYFUNCTION("IF(
  ISNUMBER(SEARCH(""Bonus Action"", AE219)),
  ""Bonus Action"",
  IF(
    ISNUMBER(SEARCH(""Reaction"", AE219)),
    ""Reaction"",
    IF(
      ISNUMBER(SEARCH(""Action"", AE219)),
      ""Action"",
      TEXTJOIN("", "", TRUE, FILTER(Validations!$S"&amp;"$2:$S$100, ISNUMBER(SEARCH(Validations!$S$2:$S$100, AE219))))
    )
  )
)"),"Action")</f>
        <v>Action</v>
      </c>
      <c r="AH219" s="36"/>
      <c r="AI219" s="20" t="s">
        <v>1055</v>
      </c>
      <c r="AJ219" s="26" t="str">
        <f>IFERROR(__xludf.DUMMYFUNCTION("TEXTJOIN("", "", TRUE, FILTER(Validations!$T$2:$T$100, ISNUMBER(SEARCH(Validations!$T$2:$T$100, AI219))))"),"")</f>
        <v/>
      </c>
      <c r="AK219" s="26">
        <f>IFERROR(__xludf.DUMMYFUNCTION("IFERROR(VALUE(REGEXEXTRACT(AI219, ""\d+"")), """")"),10.0)</f>
        <v>10</v>
      </c>
      <c r="AL219" s="26" t="str">
        <f>IFERROR(__xludf.DUMMYFUNCTION("TEXTJOIN("", "", TRUE, FILTER(Validations!$U$2:$U$100, ISNUMBER(SEARCH(Validations!$U$2:$U$100, AI219))))"),"Minutes")</f>
        <v>Minutes</v>
      </c>
      <c r="AM219" s="24" t="b">
        <f t="shared" si="1"/>
        <v>0</v>
      </c>
      <c r="AN219" s="24" t="b">
        <v>0</v>
      </c>
      <c r="AO219" s="36" t="s">
        <v>1056</v>
      </c>
      <c r="AP219" s="12" t="str">
        <f>IFERROR(__xludf.DUMMYFUNCTION("IF(TEXTJOIN("", "", TRUE, FILTER(Validations!$Q$2:$Q$100, ISNUMBER(SEARCH(Validations!$Q$2:$Q$100, AO219)))) = """", Validations!$Q$2, TEXTJOIN("", "", TRUE, FILTER(Validations!$Q$2:$Q$100, ISNUMBER(SEARCH(Validations!$Q$2:$Q$100, AO219)))))"),"Point")</f>
        <v>Point</v>
      </c>
      <c r="AQ219" s="12">
        <f>IFERROR(__xludf.DUMMYFUNCTION("IFERROR(VALUE(REGEXEXTRACT(AO219, ""\d+"")), """")"),1.0)</f>
        <v>1</v>
      </c>
      <c r="AR219" s="12" t="str">
        <f>IFERROR(__xludf.DUMMYFUNCTION("TEXTJOIN("", "", TRUE, FILTER(Validations!$R$2:$R$100, ISNUMBER(SEARCH(Validations!$R$2:$R$100, AO219))))"),"Feet")</f>
        <v>Feet</v>
      </c>
      <c r="AS219" s="27"/>
      <c r="AT219" s="12" t="str">
        <f>IFERROR(__xludf.DUMMYFUNCTION("IFERROR(TEXTJOIN("", "", TRUE, FILTER(Validations!$I$2:$I$100, ISNUMBER(SEARCH(Validations!$I$2:$I$100, AS219)))), """")"),"")</f>
        <v/>
      </c>
      <c r="AU219" s="16" t="str">
        <f t="array" ref="AU219">IFERROR(INDEX(Validations!$J$2:$J$100, MATCH(TRUE, ISNUMBER(SEARCH(Validations!$I$2:$I$100, AT219)), 0)), "")</f>
        <v/>
      </c>
      <c r="AV219" s="12" t="str">
        <f>IFERROR(__xludf.DUMMYFUNCTION("IFERROR(VALUE(REGEXEXTRACT(AS219, ""\d+"")), """")"),"")</f>
        <v/>
      </c>
      <c r="AW219" s="12" t="str">
        <f>IFERROR(__xludf.DUMMYFUNCTION("IFERROR(TEXTJOIN("", "", TRUE, FILTER(Validations!$Q$2:$Q$100, ISNUMBER(SEARCH(Validations!$Q$2:$Q$100, AS219)))), """")"),"")</f>
        <v/>
      </c>
      <c r="AX219" s="28" t="s">
        <v>152</v>
      </c>
      <c r="AY219" s="28" t="str">
        <f>IFERROR(__xludf.DUMMYFUNCTION("TEXTJOIN("", "", TRUE, FILTER(Validations!$Y$2:$Y$100, ISNUMBER(SEARCH(Validations!$X$2:$X$100, AX219))))"),"V, S, R")</f>
        <v>V, S, R</v>
      </c>
      <c r="AZ219" s="20" t="s">
        <v>1057</v>
      </c>
      <c r="BA219" s="22"/>
      <c r="BB219" s="22"/>
      <c r="BC219" s="22"/>
      <c r="BD219" s="22"/>
      <c r="BE219" s="27"/>
      <c r="BF219" s="22"/>
      <c r="BG219" s="27"/>
      <c r="BH219" s="27"/>
      <c r="BI219" s="12" t="str">
        <f>IFERROR(__xludf.DUMMYFUNCTION("IFERROR(TEXTJOIN("", "", TRUE, FILTER(SRD!$A$2:$A$1000, EXACT(SRD!$A$2:$A$1000, J219))), """")"),"")</f>
        <v/>
      </c>
      <c r="BJ219" s="29"/>
      <c r="BK219" s="29"/>
    </row>
    <row r="220" ht="15.75" customHeight="1">
      <c r="A220" s="30" t="s">
        <v>1058</v>
      </c>
      <c r="B220" s="22"/>
      <c r="C220" s="31"/>
      <c r="D220" s="31" t="s">
        <v>74</v>
      </c>
      <c r="E220" s="31"/>
      <c r="F220" s="40" t="s">
        <v>1059</v>
      </c>
      <c r="G220" s="50" t="s">
        <v>945</v>
      </c>
      <c r="H220" s="31" t="s">
        <v>85</v>
      </c>
      <c r="I220" s="16" t="str">
        <f t="array" ref="I220">INDEX(Validations!$C$2:$C$100, MATCH(TRUE, ISNUMBER(SEARCH(Validations!$B$2:$B$100, H220)), 0))</f>
        <v>T</v>
      </c>
      <c r="J220" s="17" t="s">
        <v>1060</v>
      </c>
      <c r="K220" s="18"/>
      <c r="L220" s="17"/>
      <c r="M220" s="17"/>
      <c r="N220" s="27"/>
      <c r="O220" s="17"/>
      <c r="P220" s="21"/>
      <c r="Q220" s="21"/>
      <c r="R220" s="36" t="s">
        <v>1061</v>
      </c>
      <c r="S220" s="17" t="str">
        <f>IFERROR(__xludf.DUMMYFUNCTION("IFERROR(REGEXEXTRACT(J220, ""(\d{1,3}[dD]\d{1,3})""), """")"),"")</f>
        <v/>
      </c>
      <c r="T220" s="17" t="str">
        <f>IFERROR(__xludf.DUMMYFUNCTION("IF(COUNTIF(ARRAYFORMULA(LOWER(Validations!$O$2:$O$100)), LOWER(REGEXEXTRACT(J220, ""\d{1,3}[dD]\d{1,3}\s+(\w+)"")))&gt;0, REGEXEXTRACT(J220, ""\d{1,3}[dD]\d{1,3}\s+(\w+)""), """")"),"")</f>
        <v/>
      </c>
      <c r="U220" s="17" t="str">
        <f>IFERROR(__xludf.DUMMYFUNCTION("IF(COUNTIF(ARRAYFORMULA(LOWER(Validations!$P$2:$P$100)), LOWER(REGEXEXTRACT(J220, ""\d{1,3}[dD]\d{1,3}\s+(\w+)"")))&gt;0, REGEXEXTRACT(J220, ""\d{1,3}[dD]\d{1,3}\s+(\w+)""), """")"),"")</f>
        <v/>
      </c>
      <c r="V220" s="12" t="str">
        <f>IFERROR(__xludf.DUMMYFUNCTION("TEXTJOIN("", "", TRUE, FILTER(Validations!$L$2:$L$100, ISNUMBER(SEARCH(Validations!$L$2:$L$100, J220))))"),"Altered")</f>
        <v>Altered</v>
      </c>
      <c r="W220" s="12" t="str">
        <f>IFERROR(__xludf.DUMMYFUNCTION("IFERROR(TEXTJOIN("", "", TRUE, FILTER(Validations!$M$2:$M$100, ISNUMBER(SEARCH(Validations!$M$2:$M$100 &amp; "" saving throw"", J220)))), """")"),"")</f>
        <v/>
      </c>
      <c r="X220" s="12"/>
      <c r="Y220" s="12"/>
      <c r="Z220" s="12" t="str">
        <f>IFERROR(__xludf.DUMMYFUNCTION("IFERROR(TEXTJOIN("", "", TRUE, FILTER(Validations!$N$2:$N$100, ISNUMBER(SEARCH(Validations!$N$2:$N$100 &amp; "" check"", J220)))), """")"),"")</f>
        <v/>
      </c>
      <c r="AA220" s="12" t="str">
        <f>IFERROR(__xludf.DUMMYFUNCTION("IFERROR(TEXTJOIN("", "", TRUE, FILTER(Validations!$N$2:$N$100, ISNUMBER(SEARCH(Validations!$N$2:$N$100 &amp; "" check"", W220)))), """")"),"")</f>
        <v/>
      </c>
      <c r="AB220" s="23" t="str">
        <f>IFERROR(__xludf.DUMMYFUNCTION("IFERROR(CONCATENATE(IF(ISNUMBER(SEARCH(Validations!$M$2:$M$100 &amp; "" spell save"", J220)),""Spell Save"",""""), REGEXEXTRACT(J220, ""DC (\d+)"")), """")"),"")</f>
        <v/>
      </c>
      <c r="AC220" s="24" t="b">
        <v>0</v>
      </c>
      <c r="AD220" s="24" t="b">
        <v>0</v>
      </c>
      <c r="AE220" s="36" t="s">
        <v>69</v>
      </c>
      <c r="AF220" s="25">
        <f>IFERROR(__xludf.DUMMYFUNCTION("IFERROR(VALUE(REGEXEXTRACT(AE220, ""\d+"")), 1)"),1.0)</f>
        <v>1</v>
      </c>
      <c r="AG220" s="12" t="str">
        <f>IFERROR(__xludf.DUMMYFUNCTION("IF(
  ISNUMBER(SEARCH(""Bonus Action"", AE220)),
  ""Bonus Action"",
  IF(
    ISNUMBER(SEARCH(""Reaction"", AE220)),
    ""Reaction"",
    IF(
      ISNUMBER(SEARCH(""Action"", AE220)),
      ""Action"",
      TEXTJOIN("", "", TRUE, FILTER(Validations!$S"&amp;"$2:$S$100, ISNUMBER(SEARCH(Validations!$S$2:$S$100, AE220))))
    )
  )
)"),"Action")</f>
        <v>Action</v>
      </c>
      <c r="AH220" s="36"/>
      <c r="AI220" s="27" t="s">
        <v>1062</v>
      </c>
      <c r="AJ220" s="26" t="str">
        <f>IFERROR(__xludf.DUMMYFUNCTION("TEXTJOIN("", "", TRUE, FILTER(Validations!$T$2:$T$100, ISNUMBER(SEARCH(Validations!$T$2:$T$100, AI220))))"),"Permanent")</f>
        <v>Permanent</v>
      </c>
      <c r="AK220" s="26" t="str">
        <f>IFERROR(__xludf.DUMMYFUNCTION("IFERROR(VALUE(REGEXEXTRACT(AI220, ""\d+"")), """")"),"")</f>
        <v/>
      </c>
      <c r="AL220" s="26" t="str">
        <f>IFERROR(__xludf.DUMMYFUNCTION("TEXTJOIN("", "", TRUE, FILTER(Validations!$U$2:$U$100, ISNUMBER(SEARCH(Validations!$U$2:$U$100, AI220))))"),"")</f>
        <v/>
      </c>
      <c r="AM220" s="24" t="b">
        <f t="shared" si="1"/>
        <v>0</v>
      </c>
      <c r="AN220" s="24" t="b">
        <v>0</v>
      </c>
      <c r="AO220" s="22" t="s">
        <v>71</v>
      </c>
      <c r="AP220" s="12" t="str">
        <f>IFERROR(__xludf.DUMMYFUNCTION("IF(TEXTJOIN("", "", TRUE, FILTER(Validations!$Q$2:$Q$100, ISNUMBER(SEARCH(Validations!$Q$2:$Q$100, AO220)))) = """", Validations!$Q$2, TEXTJOIN("", "", TRUE, FILTER(Validations!$Q$2:$Q$100, ISNUMBER(SEARCH(Validations!$Q$2:$Q$100, AO220)))))"),"Point")</f>
        <v>Point</v>
      </c>
      <c r="AQ220" s="12" t="str">
        <f>IFERROR(__xludf.DUMMYFUNCTION("IFERROR(VALUE(REGEXEXTRACT(AO220, ""\d+"")), """")"),"")</f>
        <v/>
      </c>
      <c r="AR220" s="12" t="str">
        <f>IFERROR(__xludf.DUMMYFUNCTION("TEXTJOIN("", "", TRUE, FILTER(Validations!$R$2:$R$100, ISNUMBER(SEARCH(Validations!$R$2:$R$100, AO220))))"),"Touch")</f>
        <v>Touch</v>
      </c>
      <c r="AS220" s="27"/>
      <c r="AT220" s="12" t="str">
        <f>IFERROR(__xludf.DUMMYFUNCTION("IFERROR(TEXTJOIN("", "", TRUE, FILTER(Validations!$I$2:$I$100, ISNUMBER(SEARCH(Validations!$I$2:$I$100, AS220)))), """")"),"")</f>
        <v/>
      </c>
      <c r="AU220" s="16" t="str">
        <f t="array" ref="AU220">IFERROR(INDEX(Validations!$J$2:$J$100, MATCH(TRUE, ISNUMBER(SEARCH(Validations!$I$2:$I$100, AT220)), 0)), "")</f>
        <v/>
      </c>
      <c r="AV220" s="12" t="str">
        <f>IFERROR(__xludf.DUMMYFUNCTION("IFERROR(VALUE(REGEXEXTRACT(AS220, ""\d+"")), """")"),"")</f>
        <v/>
      </c>
      <c r="AW220" s="12" t="str">
        <f>IFERROR(__xludf.DUMMYFUNCTION("IFERROR(TEXTJOIN("", "", TRUE, FILTER(Validations!$Q$2:$Q$100, ISNUMBER(SEARCH(Validations!$Q$2:$Q$100, AS220)))), """")"),"")</f>
        <v/>
      </c>
      <c r="AX220" s="28" t="s">
        <v>152</v>
      </c>
      <c r="AY220" s="28" t="str">
        <f>IFERROR(__xludf.DUMMYFUNCTION("TEXTJOIN("", "", TRUE, FILTER(Validations!$Y$2:$Y$100, ISNUMBER(SEARCH(Validations!$X$2:$X$100, AX220))))"),"V, S, R")</f>
        <v>V, S, R</v>
      </c>
      <c r="AZ220" s="20" t="s">
        <v>1063</v>
      </c>
      <c r="BA220" s="22"/>
      <c r="BB220" s="22"/>
      <c r="BC220" s="22"/>
      <c r="BD220" s="22"/>
      <c r="BE220" s="27"/>
      <c r="BF220" s="22"/>
      <c r="BG220" s="27"/>
      <c r="BH220" s="27"/>
      <c r="BI220" s="12" t="str">
        <f>IFERROR(__xludf.DUMMYFUNCTION("IFERROR(TEXTJOIN("", "", TRUE, FILTER(SRD!$A$2:$A$1000, EXACT(SRD!$A$2:$A$1000, J220))), """")"),"")</f>
        <v/>
      </c>
      <c r="BJ220" s="29"/>
      <c r="BK220" s="29"/>
    </row>
    <row r="221" ht="15.75" customHeight="1">
      <c r="A221" s="11" t="s">
        <v>1064</v>
      </c>
      <c r="B221" s="12"/>
      <c r="C221" s="13"/>
      <c r="D221" s="13" t="s">
        <v>538</v>
      </c>
      <c r="E221" s="13"/>
      <c r="F221" s="14" t="s">
        <v>250</v>
      </c>
      <c r="G221" s="50" t="s">
        <v>945</v>
      </c>
      <c r="H221" s="31" t="s">
        <v>85</v>
      </c>
      <c r="I221" s="16" t="str">
        <f t="array" ref="I221">INDEX(Validations!$C$2:$C$100, MATCH(TRUE, ISNUMBER(SEARCH(Validations!$B$2:$B$100, H221)), 0))</f>
        <v>T</v>
      </c>
      <c r="J221" s="17" t="s">
        <v>1065</v>
      </c>
      <c r="K221" s="18"/>
      <c r="L221" s="17"/>
      <c r="M221" s="37"/>
      <c r="N221" s="27"/>
      <c r="O221" s="17"/>
      <c r="P221" s="21"/>
      <c r="Q221" s="21"/>
      <c r="R221" s="22"/>
      <c r="S221" s="17" t="str">
        <f>IFERROR(__xludf.DUMMYFUNCTION("IFERROR(REGEXEXTRACT(J221, ""(\d{1,3}[dD]\d{1,3})""), """")"),"6d6")</f>
        <v>6d6</v>
      </c>
      <c r="T221" s="17" t="str">
        <f>IFERROR(__xludf.DUMMYFUNCTION("IF(COUNTIF(ARRAYFORMULA(LOWER(Validations!$O$2:$O$100)), LOWER(REGEXEXTRACT(J221, ""\d{1,3}[dD]\d{1,3}\s+(\w+)"")))&gt;0, REGEXEXTRACT(J221, ""\d{1,3}[dD]\d{1,3}\s+(\w+)""), """")"),"tearing")</f>
        <v>tearing</v>
      </c>
      <c r="U221" s="17" t="str">
        <f>IFERROR(__xludf.DUMMYFUNCTION("IF(COUNTIF(ARRAYFORMULA(LOWER(Validations!$P$2:$P$100)), LOWER(REGEXEXTRACT(J221, ""\d{1,3}[dD]\d{1,3}\s+(\w+)"")))&gt;0, REGEXEXTRACT(J221, ""\d{1,3}[dD]\d{1,3}\s+(\w+)""), """")"),"")</f>
        <v/>
      </c>
      <c r="V221" s="12" t="str">
        <f>IFERROR(__xludf.DUMMYFUNCTION("TEXTJOIN("", "", TRUE, FILTER(Validations!$L$2:$L$100, ISNUMBER(SEARCH(Validations!$L$2:$L$100, J221))))"),"Bleeding, Unconscious")</f>
        <v>Bleeding, Unconscious</v>
      </c>
      <c r="W221" s="12" t="str">
        <f>IFERROR(__xludf.DUMMYFUNCTION("IFERROR(TEXTJOIN("", "", TRUE, FILTER(Validations!$M$2:$M$100, ISNUMBER(SEARCH(Validations!$M$2:$M$100 &amp; "" saving throw"", J221)))), """")"),"")</f>
        <v/>
      </c>
      <c r="X221" s="12"/>
      <c r="Y221" s="12"/>
      <c r="Z221" s="12" t="str">
        <f>IFERROR(__xludf.DUMMYFUNCTION("IFERROR(TEXTJOIN("", "", TRUE, FILTER(Validations!$N$2:$N$100, ISNUMBER(SEARCH(Validations!$N$2:$N$100 &amp; "" check"", J221)))), """")"),"Medicine")</f>
        <v>Medicine</v>
      </c>
      <c r="AA221" s="12" t="str">
        <f>IFERROR(__xludf.DUMMYFUNCTION("IFERROR(TEXTJOIN("", "", TRUE, FILTER(Validations!$N$2:$N$100, ISNUMBER(SEARCH(Validations!$N$2:$N$100 &amp; "" check"", W221)))), """")"),"")</f>
        <v/>
      </c>
      <c r="AB221" s="23" t="str">
        <f>IFERROR(__xludf.DUMMYFUNCTION("IFERROR(CONCATENATE(IF(ISNUMBER(SEARCH(Validations!$M$2:$M$100 &amp; "" spell save"", J221)),""Spell Save"",""""), REGEXEXTRACT(J221, ""DC (\d+)"")), """")"),"13")</f>
        <v>13</v>
      </c>
      <c r="AC221" s="24" t="b">
        <v>0</v>
      </c>
      <c r="AD221" s="24" t="b">
        <v>0</v>
      </c>
      <c r="AE221" s="12" t="s">
        <v>69</v>
      </c>
      <c r="AF221" s="25">
        <f>IFERROR(__xludf.DUMMYFUNCTION("IFERROR(VALUE(REGEXEXTRACT(AE221, ""\d+"")), 1)"),1.0)</f>
        <v>1</v>
      </c>
      <c r="AG221" s="12" t="str">
        <f>IFERROR(__xludf.DUMMYFUNCTION("IF(
  ISNUMBER(SEARCH(""Bonus Action"", AE221)),
  ""Bonus Action"",
  IF(
    ISNUMBER(SEARCH(""Reaction"", AE221)),
    ""Reaction"",
    IF(
      ISNUMBER(SEARCH(""Action"", AE221)),
      ""Action"",
      TEXTJOIN("", "", TRUE, FILTER(Validations!$S"&amp;"$2:$S$100, ISNUMBER(SEARCH(Validations!$S$2:$S$100, AE221))))
    )
  )
)"),"Action")</f>
        <v>Action</v>
      </c>
      <c r="AH221" s="12"/>
      <c r="AI221" s="26" t="s">
        <v>70</v>
      </c>
      <c r="AJ221" s="26" t="str">
        <f>IFERROR(__xludf.DUMMYFUNCTION("TEXTJOIN("", "", TRUE, FILTER(Validations!$T$2:$T$100, ISNUMBER(SEARCH(Validations!$T$2:$T$100, AI221))))"),"Instantaneous")</f>
        <v>Instantaneous</v>
      </c>
      <c r="AK221" s="26" t="str">
        <f>IFERROR(__xludf.DUMMYFUNCTION("IFERROR(VALUE(REGEXEXTRACT(AI221, ""\d+"")), """")"),"")</f>
        <v/>
      </c>
      <c r="AL221" s="26" t="str">
        <f>IFERROR(__xludf.DUMMYFUNCTION("TEXTJOIN("", "", TRUE, FILTER(Validations!$U$2:$U$100, ISNUMBER(SEARCH(Validations!$U$2:$U$100, AI221))))"),"")</f>
        <v/>
      </c>
      <c r="AM221" s="24" t="b">
        <f t="shared" si="1"/>
        <v>0</v>
      </c>
      <c r="AN221" s="24" t="b">
        <v>0</v>
      </c>
      <c r="AO221" s="36" t="s">
        <v>247</v>
      </c>
      <c r="AP221" s="12" t="str">
        <f>IFERROR(__xludf.DUMMYFUNCTION("IF(TEXTJOIN("", "", TRUE, FILTER(Validations!$Q$2:$Q$100, ISNUMBER(SEARCH(Validations!$Q$2:$Q$100, AO221)))) = """", Validations!$Q$2, TEXTJOIN("", "", TRUE, FILTER(Validations!$Q$2:$Q$100, ISNUMBER(SEARCH(Validations!$Q$2:$Q$100, AO221)))))"),"Point")</f>
        <v>Point</v>
      </c>
      <c r="AQ221" s="12">
        <f>IFERROR(__xludf.DUMMYFUNCTION("IFERROR(VALUE(REGEXEXTRACT(AO221, ""\d+"")), """")"),50.0)</f>
        <v>50</v>
      </c>
      <c r="AR221" s="12" t="str">
        <f>IFERROR(__xludf.DUMMYFUNCTION("TEXTJOIN("", "", TRUE, FILTER(Validations!$R$2:$R$100, ISNUMBER(SEARCH(Validations!$R$2:$R$100, AO221))))"),"Feet")</f>
        <v>Feet</v>
      </c>
      <c r="AS221" s="27"/>
      <c r="AT221" s="12" t="str">
        <f>IFERROR(__xludf.DUMMYFUNCTION("IFERROR(TEXTJOIN("", "", TRUE, FILTER(Validations!$I$2:$I$100, ISNUMBER(SEARCH(Validations!$I$2:$I$100, AS221)))), """")"),"")</f>
        <v/>
      </c>
      <c r="AU221" s="16" t="str">
        <f t="array" ref="AU221">IFERROR(INDEX(Validations!$J$2:$J$100, MATCH(TRUE, ISNUMBER(SEARCH(Validations!$I$2:$I$100, AT221)), 0)), "")</f>
        <v/>
      </c>
      <c r="AV221" s="12" t="str">
        <f>IFERROR(__xludf.DUMMYFUNCTION("IFERROR(VALUE(REGEXEXTRACT(AS221, ""\d+"")), """")"),"")</f>
        <v/>
      </c>
      <c r="AW221" s="12" t="str">
        <f>IFERROR(__xludf.DUMMYFUNCTION("IFERROR(TEXTJOIN("", "", TRUE, FILTER(Validations!$Q$2:$Q$100, ISNUMBER(SEARCH(Validations!$Q$2:$Q$100, AS221)))), """")"),"")</f>
        <v/>
      </c>
      <c r="AX221" s="28" t="s">
        <v>94</v>
      </c>
      <c r="AY221" s="28" t="str">
        <f>IFERROR(__xludf.DUMMYFUNCTION("TEXTJOIN("", "", TRUE, FILTER(Validations!$Y$2:$Y$100, ISNUMBER(SEARCH(Validations!$X$2:$X$100, AX221))))"),"V, S, R")</f>
        <v>V, S, R</v>
      </c>
      <c r="AZ221" s="20" t="s">
        <v>1066</v>
      </c>
      <c r="BA221" s="12"/>
      <c r="BB221" s="22"/>
      <c r="BC221" s="22"/>
      <c r="BD221" s="22"/>
      <c r="BE221" s="27"/>
      <c r="BF221" s="22"/>
      <c r="BG221" s="27"/>
      <c r="BH221" s="27"/>
      <c r="BI221" s="12" t="str">
        <f>IFERROR(__xludf.DUMMYFUNCTION("IFERROR(TEXTJOIN("", "", TRUE, FILTER(SRD!$A$2:$A$1000, EXACT(SRD!$A$2:$A$1000, J221))), """")"),"")</f>
        <v/>
      </c>
      <c r="BJ221" s="29"/>
      <c r="BK221" s="29"/>
    </row>
    <row r="222" ht="15.75" customHeight="1">
      <c r="A222" s="11" t="s">
        <v>1067</v>
      </c>
      <c r="B222" s="12"/>
      <c r="C222" s="16"/>
      <c r="D222" s="16" t="s">
        <v>345</v>
      </c>
      <c r="E222" s="16"/>
      <c r="F222" s="32" t="s">
        <v>123</v>
      </c>
      <c r="G222" s="50" t="s">
        <v>945</v>
      </c>
      <c r="H222" s="31" t="s">
        <v>183</v>
      </c>
      <c r="I222" s="16" t="str">
        <f t="array" ref="I222">INDEX(Validations!$C$2:$C$100, MATCH(TRUE, ISNUMBER(SEARCH(Validations!$B$2:$B$100, H222)), 0))</f>
        <v>E</v>
      </c>
      <c r="J222" s="17" t="s">
        <v>1068</v>
      </c>
      <c r="K222" s="18"/>
      <c r="L222" s="17"/>
      <c r="M222" s="17"/>
      <c r="N222" s="27"/>
      <c r="O222" s="17" t="s">
        <v>1069</v>
      </c>
      <c r="P222" s="21"/>
      <c r="Q222" s="21"/>
      <c r="R222" s="22"/>
      <c r="S222" s="17" t="str">
        <f>IFERROR(__xludf.DUMMYFUNCTION("IFERROR(REGEXEXTRACT(J222, ""(\d{1,3}[dD]\d{1,3})""), """")"),"")</f>
        <v/>
      </c>
      <c r="T222" s="17" t="str">
        <f>IFERROR(__xludf.DUMMYFUNCTION("IF(COUNTIF(ARRAYFORMULA(LOWER(Validations!$O$2:$O$100)), LOWER(REGEXEXTRACT(J222, ""\d{1,3}[dD]\d{1,3}\s+(\w+)"")))&gt;0, REGEXEXTRACT(J222, ""\d{1,3}[dD]\d{1,3}\s+(\w+)""), """")"),"")</f>
        <v/>
      </c>
      <c r="U222" s="17" t="str">
        <f>IFERROR(__xludf.DUMMYFUNCTION("IF(COUNTIF(ARRAYFORMULA(LOWER(Validations!$P$2:$P$100)), LOWER(REGEXEXTRACT(J222, ""\d{1,3}[dD]\d{1,3}\s+(\w+)"")))&gt;0, REGEXEXTRACT(J222, ""\d{1,3}[dD]\d{1,3}\s+(\w+)""), """")"),"")</f>
        <v/>
      </c>
      <c r="V222" s="12" t="str">
        <f>IFERROR(__xludf.DUMMYFUNCTION("TEXTJOIN("", "", TRUE, FILTER(Validations!$L$2:$L$100, ISNUMBER(SEARCH(Validations!$L$2:$L$100, J222))))"),"Erased, Unconscious, Exhaustion")</f>
        <v>Erased, Unconscious, Exhaustion</v>
      </c>
      <c r="W222" s="12" t="str">
        <f>IFERROR(__xludf.DUMMYFUNCTION("IFERROR(TEXTJOIN("", "", TRUE, FILTER(Validations!$M$2:$M$100, ISNUMBER(SEARCH(Validations!$M$2:$M$100 &amp; "" saving throw"", J222)))), """")"),"Wisdom")</f>
        <v>Wisdom</v>
      </c>
      <c r="X222" s="12"/>
      <c r="Y222" s="12"/>
      <c r="Z222" s="12" t="str">
        <f>IFERROR(__xludf.DUMMYFUNCTION("IFERROR(TEXTJOIN("", "", TRUE, FILTER(Validations!$N$2:$N$100, ISNUMBER(SEARCH(Validations!$N$2:$N$100 &amp; "" check"", J222)))), """")"),"")</f>
        <v/>
      </c>
      <c r="AA222" s="12" t="str">
        <f>IFERROR(__xludf.DUMMYFUNCTION("IFERROR(TEXTJOIN("", "", TRUE, FILTER(Validations!$N$2:$N$100, ISNUMBER(SEARCH(Validations!$N$2:$N$100 &amp; "" check"", W222)))), """")"),"")</f>
        <v/>
      </c>
      <c r="AB222" s="23" t="str">
        <f>IFERROR(__xludf.DUMMYFUNCTION("IFERROR(CONCATENATE(IF(ISNUMBER(SEARCH(Validations!$M$2:$M$100 &amp; "" spell save"", J222)),""Spell Save"",""""), REGEXEXTRACT(J222, ""DC (\d+)"")), """")"),"15")</f>
        <v>15</v>
      </c>
      <c r="AC222" s="24" t="b">
        <v>0</v>
      </c>
      <c r="AD222" s="24" t="b">
        <v>0</v>
      </c>
      <c r="AE222" s="36" t="s">
        <v>69</v>
      </c>
      <c r="AF222" s="25">
        <f>IFERROR(__xludf.DUMMYFUNCTION("IFERROR(VALUE(REGEXEXTRACT(AE222, ""\d+"")), 1)"),1.0)</f>
        <v>1</v>
      </c>
      <c r="AG222" s="12" t="str">
        <f>IFERROR(__xludf.DUMMYFUNCTION("IF(
  ISNUMBER(SEARCH(""Bonus Action"", AE222)),
  ""Bonus Action"",
  IF(
    ISNUMBER(SEARCH(""Reaction"", AE222)),
    ""Reaction"",
    IF(
      ISNUMBER(SEARCH(""Action"", AE222)),
      ""Action"",
      TEXTJOIN("", "", TRUE, FILTER(Validations!$S"&amp;"$2:$S$100, ISNUMBER(SEARCH(Validations!$S$2:$S$100, AE222))))
    )
  )
)"),"Action")</f>
        <v>Action</v>
      </c>
      <c r="AH222" s="36"/>
      <c r="AI222" s="27" t="s">
        <v>255</v>
      </c>
      <c r="AJ222" s="26" t="str">
        <f>IFERROR(__xludf.DUMMYFUNCTION("TEXTJOIN("", "", TRUE, FILTER(Validations!$T$2:$T$100, ISNUMBER(SEARCH(Validations!$T$2:$T$100, AI222))))"),"Permanent")</f>
        <v>Permanent</v>
      </c>
      <c r="AK222" s="26" t="str">
        <f>IFERROR(__xludf.DUMMYFUNCTION("IFERROR(VALUE(REGEXEXTRACT(AI222, ""\d+"")), """")"),"")</f>
        <v/>
      </c>
      <c r="AL222" s="26" t="str">
        <f>IFERROR(__xludf.DUMMYFUNCTION("TEXTJOIN("", "", TRUE, FILTER(Validations!$U$2:$U$100, ISNUMBER(SEARCH(Validations!$U$2:$U$100, AI222))))"),"")</f>
        <v/>
      </c>
      <c r="AM222" s="24" t="b">
        <f t="shared" si="1"/>
        <v>0</v>
      </c>
      <c r="AN222" s="24" t="b">
        <v>0</v>
      </c>
      <c r="AO222" s="22" t="s">
        <v>71</v>
      </c>
      <c r="AP222" s="12" t="str">
        <f>IFERROR(__xludf.DUMMYFUNCTION("IF(TEXTJOIN("", "", TRUE, FILTER(Validations!$Q$2:$Q$100, ISNUMBER(SEARCH(Validations!$Q$2:$Q$100, AO222)))) = """", Validations!$Q$2, TEXTJOIN("", "", TRUE, FILTER(Validations!$Q$2:$Q$100, ISNUMBER(SEARCH(Validations!$Q$2:$Q$100, AO222)))))"),"Point")</f>
        <v>Point</v>
      </c>
      <c r="AQ222" s="12" t="str">
        <f>IFERROR(__xludf.DUMMYFUNCTION("IFERROR(VALUE(REGEXEXTRACT(AO222, ""\d+"")), """")"),"")</f>
        <v/>
      </c>
      <c r="AR222" s="12" t="str">
        <f>IFERROR(__xludf.DUMMYFUNCTION("TEXTJOIN("", "", TRUE, FILTER(Validations!$R$2:$R$100, ISNUMBER(SEARCH(Validations!$R$2:$R$100, AO222))))"),"Touch")</f>
        <v>Touch</v>
      </c>
      <c r="AS222" s="27"/>
      <c r="AT222" s="12" t="str">
        <f>IFERROR(__xludf.DUMMYFUNCTION("IFERROR(TEXTJOIN("", "", TRUE, FILTER(Validations!$I$2:$I$100, ISNUMBER(SEARCH(Validations!$I$2:$I$100, AS222)))), """")"),"")</f>
        <v/>
      </c>
      <c r="AU222" s="16" t="str">
        <f t="array" ref="AU222">IFERROR(INDEX(Validations!$J$2:$J$100, MATCH(TRUE, ISNUMBER(SEARCH(Validations!$I$2:$I$100, AT222)), 0)), "")</f>
        <v/>
      </c>
      <c r="AV222" s="12" t="str">
        <f>IFERROR(__xludf.DUMMYFUNCTION("IFERROR(VALUE(REGEXEXTRACT(AS222, ""\d+"")), """")"),"")</f>
        <v/>
      </c>
      <c r="AW222" s="12" t="str">
        <f>IFERROR(__xludf.DUMMYFUNCTION("IFERROR(TEXTJOIN("", "", TRUE, FILTER(Validations!$Q$2:$Q$100, ISNUMBER(SEARCH(Validations!$Q$2:$Q$100, AS222)))), """")"),"")</f>
        <v/>
      </c>
      <c r="AX222" s="28" t="s">
        <v>106</v>
      </c>
      <c r="AY222" s="28" t="str">
        <f>IFERROR(__xludf.DUMMYFUNCTION("TEXTJOIN("", "", TRUE, FILTER(Validations!$Y$2:$Y$100, ISNUMBER(SEARCH(Validations!$X$2:$X$100, AX222))))"),"S")</f>
        <v>S</v>
      </c>
      <c r="AZ222" s="27"/>
      <c r="BA222" s="22"/>
      <c r="BB222" s="22"/>
      <c r="BC222" s="22"/>
      <c r="BD222" s="22"/>
      <c r="BE222" s="27"/>
      <c r="BF222" s="22"/>
      <c r="BG222" s="27"/>
      <c r="BH222" s="27"/>
      <c r="BI222" s="12" t="str">
        <f>IFERROR(__xludf.DUMMYFUNCTION("IFERROR(TEXTJOIN("", "", TRUE, FILTER(SRD!$A$2:$A$1000, EXACT(SRD!$A$2:$A$1000, J222))), """")"),"")</f>
        <v/>
      </c>
      <c r="BJ222" s="29"/>
      <c r="BK222" s="29"/>
    </row>
    <row r="223" ht="15.75" customHeight="1">
      <c r="A223" s="11" t="s">
        <v>1070</v>
      </c>
      <c r="B223" s="12"/>
      <c r="C223" s="13"/>
      <c r="D223" s="13" t="s">
        <v>253</v>
      </c>
      <c r="E223" s="13"/>
      <c r="F223" s="14" t="s">
        <v>1071</v>
      </c>
      <c r="G223" s="50" t="s">
        <v>945</v>
      </c>
      <c r="H223" s="31" t="s">
        <v>144</v>
      </c>
      <c r="I223" s="16" t="str">
        <f t="array" ref="I223">INDEX(Validations!$C$2:$C$100, MATCH(TRUE, ISNUMBER(SEARCH(Validations!$B$2:$B$100, H223)), 0))</f>
        <v>D</v>
      </c>
      <c r="J223" s="17" t="s">
        <v>1072</v>
      </c>
      <c r="K223" s="18"/>
      <c r="L223" s="17"/>
      <c r="M223" s="37"/>
      <c r="N223" s="20" t="s">
        <v>1073</v>
      </c>
      <c r="O223" s="17"/>
      <c r="P223" s="21"/>
      <c r="Q223" s="21"/>
      <c r="R223" s="22"/>
      <c r="S223" s="17" t="str">
        <f>IFERROR(__xludf.DUMMYFUNCTION("IFERROR(REGEXEXTRACT(J223, ""(\d{1,3}[dD]\d{1,3})""), """")"),"")</f>
        <v/>
      </c>
      <c r="T223" s="17" t="str">
        <f>IFERROR(__xludf.DUMMYFUNCTION("IF(COUNTIF(ARRAYFORMULA(LOWER(Validations!$O$2:$O$100)), LOWER(REGEXEXTRACT(J223, ""\d{1,3}[dD]\d{1,3}\s+(\w+)"")))&gt;0, REGEXEXTRACT(J223, ""\d{1,3}[dD]\d{1,3}\s+(\w+)""), """")"),"")</f>
        <v/>
      </c>
      <c r="U223" s="17" t="str">
        <f>IFERROR(__xludf.DUMMYFUNCTION("IF(COUNTIF(ARRAYFORMULA(LOWER(Validations!$P$2:$P$100)), LOWER(REGEXEXTRACT(J223, ""\d{1,3}[dD]\d{1,3}\s+(\w+)"")))&gt;0, REGEXEXTRACT(J223, ""\d{1,3}[dD]\d{1,3}\s+(\w+)""), """")"),"")</f>
        <v/>
      </c>
      <c r="V223" s="12" t="str">
        <f>IFERROR(__xludf.DUMMYFUNCTION("TEXTJOIN("", "", TRUE, FILTER(Validations!$L$2:$L$100, ISNUMBER(SEARCH(Validations!$L$2:$L$100, J223))))"),"Invisible")</f>
        <v>Invisible</v>
      </c>
      <c r="W223" s="12" t="str">
        <f>IFERROR(__xludf.DUMMYFUNCTION("IFERROR(TEXTJOIN("", "", TRUE, FILTER(Validations!$M$2:$M$100, ISNUMBER(SEARCH(Validations!$M$2:$M$100 &amp; "" saving throw"", J223)))), """")"),"Wisdom, Charisma")</f>
        <v>Wisdom, Charisma</v>
      </c>
      <c r="X223" s="12"/>
      <c r="Y223" s="12"/>
      <c r="Z223" s="12" t="str">
        <f>IFERROR(__xludf.DUMMYFUNCTION("IFERROR(TEXTJOIN("", "", TRUE, FILTER(Validations!$N$2:$N$100, ISNUMBER(SEARCH(Validations!$N$2:$N$100 &amp; "" check"", J223)))), """")"),"")</f>
        <v/>
      </c>
      <c r="AA223" s="12" t="str">
        <f>IFERROR(__xludf.DUMMYFUNCTION("IFERROR(TEXTJOIN("", "", TRUE, FILTER(Validations!$N$2:$N$100, ISNUMBER(SEARCH(Validations!$N$2:$N$100 &amp; "" check"", W223)))), """")"),"")</f>
        <v/>
      </c>
      <c r="AB223" s="23" t="str">
        <f>IFERROR(__xludf.DUMMYFUNCTION("IFERROR(CONCATENATE(IF(ISNUMBER(SEARCH(Validations!$M$2:$M$100 &amp; "" spell save"", J223)),""Spell Save"",""""), REGEXEXTRACT(J223, ""DC (\d+)"")), """")"),"")</f>
        <v/>
      </c>
      <c r="AC223" s="24" t="b">
        <v>0</v>
      </c>
      <c r="AD223" s="24" t="b">
        <v>0</v>
      </c>
      <c r="AE223" s="12" t="s">
        <v>69</v>
      </c>
      <c r="AF223" s="25">
        <f>IFERROR(__xludf.DUMMYFUNCTION("IFERROR(VALUE(REGEXEXTRACT(AE223, ""\d+"")), 1)"),1.0)</f>
        <v>1</v>
      </c>
      <c r="AG223" s="12" t="str">
        <f>IFERROR(__xludf.DUMMYFUNCTION("IF(
  ISNUMBER(SEARCH(""Bonus Action"", AE223)),
  ""Bonus Action"",
  IF(
    ISNUMBER(SEARCH(""Reaction"", AE223)),
    ""Reaction"",
    IF(
      ISNUMBER(SEARCH(""Action"", AE223)),
      ""Action"",
      TEXTJOIN("", "", TRUE, FILTER(Validations!$S"&amp;"$2:$S$100, ISNUMBER(SEARCH(Validations!$S$2:$S$100, AE223))))
    )
  )
)"),"Action")</f>
        <v>Action</v>
      </c>
      <c r="AH223" s="12"/>
      <c r="AI223" s="26" t="s">
        <v>70</v>
      </c>
      <c r="AJ223" s="26" t="str">
        <f>IFERROR(__xludf.DUMMYFUNCTION("TEXTJOIN("", "", TRUE, FILTER(Validations!$T$2:$T$100, ISNUMBER(SEARCH(Validations!$T$2:$T$100, AI223))))"),"Instantaneous")</f>
        <v>Instantaneous</v>
      </c>
      <c r="AK223" s="26" t="str">
        <f>IFERROR(__xludf.DUMMYFUNCTION("IFERROR(VALUE(REGEXEXTRACT(AI223, ""\d+"")), """")"),"")</f>
        <v/>
      </c>
      <c r="AL223" s="26" t="str">
        <f>IFERROR(__xludf.DUMMYFUNCTION("TEXTJOIN("", "", TRUE, FILTER(Validations!$U$2:$U$100, ISNUMBER(SEARCH(Validations!$U$2:$U$100, AI223))))"),"")</f>
        <v/>
      </c>
      <c r="AM223" s="24" t="b">
        <f t="shared" si="1"/>
        <v>0</v>
      </c>
      <c r="AN223" s="24" t="b">
        <v>0</v>
      </c>
      <c r="AO223" s="36" t="s">
        <v>440</v>
      </c>
      <c r="AP223" s="12" t="str">
        <f>IFERROR(__xludf.DUMMYFUNCTION("IF(TEXTJOIN("", "", TRUE, FILTER(Validations!$Q$2:$Q$100, ISNUMBER(SEARCH(Validations!$Q$2:$Q$100, AO223)))) = """", Validations!$Q$2, TEXTJOIN("", "", TRUE, FILTER(Validations!$Q$2:$Q$100, ISNUMBER(SEARCH(Validations!$Q$2:$Q$100, AO223)))))"),"Point")</f>
        <v>Point</v>
      </c>
      <c r="AQ223" s="12">
        <f>IFERROR(__xludf.DUMMYFUNCTION("IFERROR(VALUE(REGEXEXTRACT(AO223, ""\d+"")), """")"),60.0)</f>
        <v>60</v>
      </c>
      <c r="AR223" s="12" t="str">
        <f>IFERROR(__xludf.DUMMYFUNCTION("TEXTJOIN("", "", TRUE, FILTER(Validations!$R$2:$R$100, ISNUMBER(SEARCH(Validations!$R$2:$R$100, AO223))))"),"Feet")</f>
        <v>Feet</v>
      </c>
      <c r="AS223" s="27"/>
      <c r="AT223" s="12" t="str">
        <f>IFERROR(__xludf.DUMMYFUNCTION("IFERROR(TEXTJOIN("", "", TRUE, FILTER(Validations!$I$2:$I$100, ISNUMBER(SEARCH(Validations!$I$2:$I$100, AS223)))), """")"),"")</f>
        <v/>
      </c>
      <c r="AU223" s="16" t="str">
        <f t="array" ref="AU223">IFERROR(INDEX(Validations!$J$2:$J$100, MATCH(TRUE, ISNUMBER(SEARCH(Validations!$I$2:$I$100, AT223)), 0)), "")</f>
        <v/>
      </c>
      <c r="AV223" s="12" t="str">
        <f>IFERROR(__xludf.DUMMYFUNCTION("IFERROR(VALUE(REGEXEXTRACT(AS223, ""\d+"")), """")"),"")</f>
        <v/>
      </c>
      <c r="AW223" s="12" t="str">
        <f>IFERROR(__xludf.DUMMYFUNCTION("IFERROR(TEXTJOIN("", "", TRUE, FILTER(Validations!$Q$2:$Q$100, ISNUMBER(SEARCH(Validations!$Q$2:$Q$100, AS223)))), """")"),"")</f>
        <v/>
      </c>
      <c r="AX223" s="28" t="s">
        <v>72</v>
      </c>
      <c r="AY223" s="28" t="str">
        <f>IFERROR(__xludf.DUMMYFUNCTION("TEXTJOIN("", "", TRUE, FILTER(Validations!$Y$2:$Y$100, ISNUMBER(SEARCH(Validations!$X$2:$X$100, AX223))))"),"V, S")</f>
        <v>V, S</v>
      </c>
      <c r="AZ223" s="26"/>
      <c r="BA223" s="12"/>
      <c r="BB223" s="22"/>
      <c r="BC223" s="22"/>
      <c r="BD223" s="22"/>
      <c r="BE223" s="27"/>
      <c r="BF223" s="22"/>
      <c r="BG223" s="27"/>
      <c r="BH223" s="27"/>
      <c r="BI223" s="12" t="str">
        <f>IFERROR(__xludf.DUMMYFUNCTION("IFERROR(TEXTJOIN("", "", TRUE, FILTER(SRD!$A$2:$A$1000, EXACT(SRD!$A$2:$A$1000, J223))), """")"),"")</f>
        <v/>
      </c>
      <c r="BJ223" s="29"/>
      <c r="BK223" s="29"/>
    </row>
    <row r="224" ht="15.75" customHeight="1">
      <c r="A224" s="38" t="s">
        <v>1074</v>
      </c>
      <c r="B224" s="12"/>
      <c r="C224" s="13"/>
      <c r="D224" s="13" t="s">
        <v>478</v>
      </c>
      <c r="E224" s="13"/>
      <c r="F224" s="14" t="s">
        <v>75</v>
      </c>
      <c r="G224" s="50" t="s">
        <v>945</v>
      </c>
      <c r="H224" s="31" t="s">
        <v>85</v>
      </c>
      <c r="I224" s="16" t="str">
        <f t="array" ref="I224">INDEX(Validations!$C$2:$C$100, MATCH(TRUE, ISNUMBER(SEARCH(Validations!$B$2:$B$100, H224)), 0))</f>
        <v>T</v>
      </c>
      <c r="J224" s="17" t="s">
        <v>1075</v>
      </c>
      <c r="K224" s="18"/>
      <c r="L224" s="17"/>
      <c r="M224" s="37"/>
      <c r="N224" s="27"/>
      <c r="O224" s="17"/>
      <c r="P224" s="21"/>
      <c r="Q224" s="21"/>
      <c r="R224" s="22"/>
      <c r="S224" s="17" t="str">
        <f>IFERROR(__xludf.DUMMYFUNCTION("IFERROR(REGEXEXTRACT(J224, ""(\d{1,3}[dD]\d{1,3})""), """")"),"")</f>
        <v/>
      </c>
      <c r="T224" s="17" t="str">
        <f>IFERROR(__xludf.DUMMYFUNCTION("IF(COUNTIF(ARRAYFORMULA(LOWER(Validations!$O$2:$O$100)), LOWER(REGEXEXTRACT(J224, ""\d{1,3}[dD]\d{1,3}\s+(\w+)"")))&gt;0, REGEXEXTRACT(J224, ""\d{1,3}[dD]\d{1,3}\s+(\w+)""), """")"),"")</f>
        <v/>
      </c>
      <c r="U224" s="17" t="str">
        <f>IFERROR(__xludf.DUMMYFUNCTION("IF(COUNTIF(ARRAYFORMULA(LOWER(Validations!$P$2:$P$100)), LOWER(REGEXEXTRACT(J224, ""\d{1,3}[dD]\d{1,3}\s+(\w+)"")))&gt;0, REGEXEXTRACT(J224, ""\d{1,3}[dD]\d{1,3}\s+(\w+)""), """")"),"")</f>
        <v/>
      </c>
      <c r="V224" s="12" t="str">
        <f>IFERROR(__xludf.DUMMYFUNCTION("TEXTJOIN("", "", TRUE, FILTER(Validations!$L$2:$L$100, ISNUMBER(SEARCH(Validations!$L$2:$L$100, J224))))"),"")</f>
        <v/>
      </c>
      <c r="W224" s="12" t="str">
        <f>IFERROR(__xludf.DUMMYFUNCTION("IFERROR(TEXTJOIN("", "", TRUE, FILTER(Validations!$M$2:$M$100, ISNUMBER(SEARCH(Validations!$M$2:$M$100 &amp; "" saving throw"", J224)))), """")"),"")</f>
        <v/>
      </c>
      <c r="X224" s="12"/>
      <c r="Y224" s="12"/>
      <c r="Z224" s="12" t="str">
        <f>IFERROR(__xludf.DUMMYFUNCTION("IFERROR(TEXTJOIN("", "", TRUE, FILTER(Validations!$N$2:$N$100, ISNUMBER(SEARCH(Validations!$N$2:$N$100 &amp; "" check"", J224)))), """")"),"")</f>
        <v/>
      </c>
      <c r="AA224" s="12" t="str">
        <f>IFERROR(__xludf.DUMMYFUNCTION("IFERROR(TEXTJOIN("", "", TRUE, FILTER(Validations!$N$2:$N$100, ISNUMBER(SEARCH(Validations!$N$2:$N$100 &amp; "" check"", W224)))), """")"),"")</f>
        <v/>
      </c>
      <c r="AB224" s="23" t="str">
        <f>IFERROR(__xludf.DUMMYFUNCTION("IFERROR(CONCATENATE(IF(ISNUMBER(SEARCH(Validations!$M$2:$M$100 &amp; "" spell save"", J224)),""Spell Save"",""""), REGEXEXTRACT(J224, ""DC (\d+)"")), """")"),"")</f>
        <v/>
      </c>
      <c r="AC224" s="42" t="b">
        <v>1</v>
      </c>
      <c r="AD224" s="42" t="b">
        <v>0</v>
      </c>
      <c r="AE224" s="12" t="s">
        <v>69</v>
      </c>
      <c r="AF224" s="25">
        <f>IFERROR(__xludf.DUMMYFUNCTION("IFERROR(VALUE(REGEXEXTRACT(AE224, ""\d+"")), 1)"),1.0)</f>
        <v>1</v>
      </c>
      <c r="AG224" s="12" t="str">
        <f>IFERROR(__xludf.DUMMYFUNCTION("IF(
  ISNUMBER(SEARCH(""Bonus Action"", AE224)),
  ""Bonus Action"",
  IF(
    ISNUMBER(SEARCH(""Reaction"", AE224)),
    ""Reaction"",
    IF(
      ISNUMBER(SEARCH(""Action"", AE224)),
      ""Action"",
      TEXTJOIN("", "", TRUE, FILTER(Validations!$S"&amp;"$2:$S$100, ISNUMBER(SEARCH(Validations!$S$2:$S$100, AE224))))
    )
  )
)"),"Action")</f>
        <v>Action</v>
      </c>
      <c r="AH224" s="12"/>
      <c r="AI224" s="26" t="s">
        <v>70</v>
      </c>
      <c r="AJ224" s="26" t="str">
        <f>IFERROR(__xludf.DUMMYFUNCTION("TEXTJOIN("", "", TRUE, FILTER(Validations!$T$2:$T$100, ISNUMBER(SEARCH(Validations!$T$2:$T$100, AI224))))"),"Instantaneous")</f>
        <v>Instantaneous</v>
      </c>
      <c r="AK224" s="26" t="str">
        <f>IFERROR(__xludf.DUMMYFUNCTION("IFERROR(VALUE(REGEXEXTRACT(AI224, ""\d+"")), """")"),"")</f>
        <v/>
      </c>
      <c r="AL224" s="26" t="str">
        <f>IFERROR(__xludf.DUMMYFUNCTION("TEXTJOIN("", "", TRUE, FILTER(Validations!$U$2:$U$100, ISNUMBER(SEARCH(Validations!$U$2:$U$100, AI224))))"),"")</f>
        <v/>
      </c>
      <c r="AM224" s="24" t="b">
        <f t="shared" si="1"/>
        <v>0</v>
      </c>
      <c r="AN224" s="24" t="b">
        <v>0</v>
      </c>
      <c r="AO224" s="36" t="s">
        <v>502</v>
      </c>
      <c r="AP224" s="12" t="str">
        <f>IFERROR(__xludf.DUMMYFUNCTION("IF(TEXTJOIN("", "", TRUE, FILTER(Validations!$Q$2:$Q$100, ISNUMBER(SEARCH(Validations!$Q$2:$Q$100, AO224)))) = """", Validations!$Q$2, TEXTJOIN("", "", TRUE, FILTER(Validations!$Q$2:$Q$100, ISNUMBER(SEARCH(Validations!$Q$2:$Q$100, AO224)))))"),"Point")</f>
        <v>Point</v>
      </c>
      <c r="AQ224" s="12">
        <f>IFERROR(__xludf.DUMMYFUNCTION("IFERROR(VALUE(REGEXEXTRACT(AO224, ""\d+"")), """")"),120.0)</f>
        <v>120</v>
      </c>
      <c r="AR224" s="12" t="str">
        <f>IFERROR(__xludf.DUMMYFUNCTION("TEXTJOIN("", "", TRUE, FILTER(Validations!$R$2:$R$100, ISNUMBER(SEARCH(Validations!$R$2:$R$100, AO224))))"),"Feet")</f>
        <v>Feet</v>
      </c>
      <c r="AS224" s="27"/>
      <c r="AT224" s="12" t="str">
        <f>IFERROR(__xludf.DUMMYFUNCTION("IFERROR(TEXTJOIN("", "", TRUE, FILTER(Validations!$I$2:$I$100, ISNUMBER(SEARCH(Validations!$I$2:$I$100, AS224)))), """")"),"")</f>
        <v/>
      </c>
      <c r="AU224" s="16" t="str">
        <f t="array" ref="AU224">IFERROR(INDEX(Validations!$J$2:$J$100, MATCH(TRUE, ISNUMBER(SEARCH(Validations!$I$2:$I$100, AT224)), 0)), "")</f>
        <v/>
      </c>
      <c r="AV224" s="12" t="str">
        <f>IFERROR(__xludf.DUMMYFUNCTION("IFERROR(VALUE(REGEXEXTRACT(AS224, ""\d+"")), """")"),"")</f>
        <v/>
      </c>
      <c r="AW224" s="12" t="str">
        <f>IFERROR(__xludf.DUMMYFUNCTION("IFERROR(TEXTJOIN("", "", TRUE, FILTER(Validations!$Q$2:$Q$100, ISNUMBER(SEARCH(Validations!$Q$2:$Q$100, AS224)))), """")"),"")</f>
        <v/>
      </c>
      <c r="AX224" s="28" t="s">
        <v>262</v>
      </c>
      <c r="AY224" s="28" t="str">
        <f>IFERROR(__xludf.DUMMYFUNCTION("TEXTJOIN("", "", TRUE, FILTER(Validations!$Y$2:$Y$100, ISNUMBER(SEARCH(Validations!$X$2:$X$100, AX224))))"),"V, S, R")</f>
        <v>V, S, R</v>
      </c>
      <c r="AZ224" s="20" t="s">
        <v>1076</v>
      </c>
      <c r="BA224" s="12"/>
      <c r="BB224" s="22"/>
      <c r="BC224" s="22"/>
      <c r="BD224" s="22"/>
      <c r="BE224" s="27"/>
      <c r="BF224" s="22"/>
      <c r="BG224" s="27"/>
      <c r="BH224" s="27"/>
      <c r="BI224" s="12" t="str">
        <f>IFERROR(__xludf.DUMMYFUNCTION("IFERROR(TEXTJOIN("", "", TRUE, FILTER(SRD!$A$2:$A$1000, EXACT(SRD!$A$2:$A$1000, J224))), """")"),"")</f>
        <v/>
      </c>
      <c r="BJ224" s="29"/>
      <c r="BK224" s="29"/>
    </row>
    <row r="225" ht="15.75" customHeight="1">
      <c r="A225" s="30" t="s">
        <v>1077</v>
      </c>
      <c r="B225" s="22"/>
      <c r="C225" s="16"/>
      <c r="D225" s="16" t="s">
        <v>1078</v>
      </c>
      <c r="E225" s="16"/>
      <c r="F225" s="32" t="s">
        <v>1079</v>
      </c>
      <c r="G225" s="50" t="s">
        <v>945</v>
      </c>
      <c r="H225" s="31" t="s">
        <v>140</v>
      </c>
      <c r="I225" s="16" t="str">
        <f t="array" ref="I225">INDEX(Validations!$C$2:$C$100, MATCH(TRUE, ISNUMBER(SEARCH(Validations!$B$2:$B$100, H225)), 0))</f>
        <v>N</v>
      </c>
      <c r="J225" s="17" t="s">
        <v>1080</v>
      </c>
      <c r="K225" s="18"/>
      <c r="L225" s="17"/>
      <c r="M225" s="17"/>
      <c r="N225" s="27"/>
      <c r="O225" s="17"/>
      <c r="P225" s="21"/>
      <c r="Q225" s="21"/>
      <c r="R225" s="36" t="s">
        <v>1081</v>
      </c>
      <c r="S225" s="17" t="str">
        <f>IFERROR(__xludf.DUMMYFUNCTION("IFERROR(REGEXEXTRACT(J225, ""(\d{1,3}[dD]\d{1,3})""), """")"),"")</f>
        <v/>
      </c>
      <c r="T225" s="17" t="str">
        <f>IFERROR(__xludf.DUMMYFUNCTION("IF(COUNTIF(ARRAYFORMULA(LOWER(Validations!$O$2:$O$100)), LOWER(REGEXEXTRACT(J225, ""\d{1,3}[dD]\d{1,3}\s+(\w+)"")))&gt;0, REGEXEXTRACT(J225, ""\d{1,3}[dD]\d{1,3}\s+(\w+)""), """")"),"")</f>
        <v/>
      </c>
      <c r="U225" s="17" t="str">
        <f>IFERROR(__xludf.DUMMYFUNCTION("IF(COUNTIF(ARRAYFORMULA(LOWER(Validations!$P$2:$P$100)), LOWER(REGEXEXTRACT(J225, ""\d{1,3}[dD]\d{1,3}\s+(\w+)"")))&gt;0, REGEXEXTRACT(J225, ""\d{1,3}[dD]\d{1,3}\s+(\w+)""), """")"),"")</f>
        <v/>
      </c>
      <c r="V225" s="12" t="str">
        <f>IFERROR(__xludf.DUMMYFUNCTION("TEXTJOIN("", "", TRUE, FILTER(Validations!$L$2:$L$100, ISNUMBER(SEARCH(Validations!$L$2:$L$100, J225))))"),"")</f>
        <v/>
      </c>
      <c r="W225" s="12" t="str">
        <f>IFERROR(__xludf.DUMMYFUNCTION("IFERROR(TEXTJOIN("", "", TRUE, FILTER(Validations!$M$2:$M$100, ISNUMBER(SEARCH(Validations!$M$2:$M$100 &amp; "" saving throw"", J225)))), """")"),"Intelligence, Charisma")</f>
        <v>Intelligence, Charisma</v>
      </c>
      <c r="X225" s="12"/>
      <c r="Y225" s="12"/>
      <c r="Z225" s="12" t="str">
        <f>IFERROR(__xludf.DUMMYFUNCTION("IFERROR(TEXTJOIN("", "", TRUE, FILTER(Validations!$N$2:$N$100, ISNUMBER(SEARCH(Validations!$N$2:$N$100 &amp; "" check"", J225)))), """")"),"")</f>
        <v/>
      </c>
      <c r="AA225" s="12" t="str">
        <f>IFERROR(__xludf.DUMMYFUNCTION("IFERROR(TEXTJOIN("", "", TRUE, FILTER(Validations!$N$2:$N$100, ISNUMBER(SEARCH(Validations!$N$2:$N$100 &amp; "" check"", W225)))), """")"),"")</f>
        <v/>
      </c>
      <c r="AB225" s="23" t="str">
        <f>IFERROR(__xludf.DUMMYFUNCTION("IFERROR(CONCATENATE(IF(ISNUMBER(SEARCH(Validations!$M$2:$M$100 &amp; "" spell save"", J225)),""Spell Save"",""""), REGEXEXTRACT(J225, ""DC (\d+)"")), """")"),"")</f>
        <v/>
      </c>
      <c r="AC225" s="24" t="b">
        <v>0</v>
      </c>
      <c r="AD225" s="24" t="b">
        <v>0</v>
      </c>
      <c r="AE225" s="36" t="s">
        <v>69</v>
      </c>
      <c r="AF225" s="25">
        <f>IFERROR(__xludf.DUMMYFUNCTION("IFERROR(VALUE(REGEXEXTRACT(AE225, ""\d+"")), 1)"),1.0)</f>
        <v>1</v>
      </c>
      <c r="AG225" s="12" t="str">
        <f>IFERROR(__xludf.DUMMYFUNCTION("IF(
  ISNUMBER(SEARCH(""Bonus Action"", AE225)),
  ""Bonus Action"",
  IF(
    ISNUMBER(SEARCH(""Reaction"", AE225)),
    ""Reaction"",
    IF(
      ISNUMBER(SEARCH(""Action"", AE225)),
      ""Action"",
      TEXTJOIN("", "", TRUE, FILTER(Validations!$S"&amp;"$2:$S$100, ISNUMBER(SEARCH(Validations!$S$2:$S$100, AE225))))
    )
  )
)"),"Action")</f>
        <v>Action</v>
      </c>
      <c r="AH225" s="36"/>
      <c r="AI225" s="20" t="s">
        <v>92</v>
      </c>
      <c r="AJ225" s="26" t="str">
        <f>IFERROR(__xludf.DUMMYFUNCTION("TEXTJOIN("", "", TRUE, FILTER(Validations!$T$2:$T$100, ISNUMBER(SEARCH(Validations!$T$2:$T$100, AI225))))"),"")</f>
        <v/>
      </c>
      <c r="AK225" s="26">
        <f>IFERROR(__xludf.DUMMYFUNCTION("IFERROR(VALUE(REGEXEXTRACT(AI225, ""\d+"")), """")"),1.0)</f>
        <v>1</v>
      </c>
      <c r="AL225" s="26" t="str">
        <f>IFERROR(__xludf.DUMMYFUNCTION("TEXTJOIN("", "", TRUE, FILTER(Validations!$U$2:$U$100, ISNUMBER(SEARCH(Validations!$U$2:$U$100, AI225))))"),"Minutes")</f>
        <v>Minutes</v>
      </c>
      <c r="AM225" s="24" t="b">
        <f t="shared" si="1"/>
        <v>0</v>
      </c>
      <c r="AN225" s="24" t="b">
        <v>1</v>
      </c>
      <c r="AO225" s="22" t="s">
        <v>78</v>
      </c>
      <c r="AP225" s="12" t="str">
        <f>IFERROR(__xludf.DUMMYFUNCTION("IF(TEXTJOIN("", "", TRUE, FILTER(Validations!$Q$2:$Q$100, ISNUMBER(SEARCH(Validations!$Q$2:$Q$100, AO225)))) = """", Validations!$Q$2, TEXTJOIN("", "", TRUE, FILTER(Validations!$Q$2:$Q$100, ISNUMBER(SEARCH(Validations!$Q$2:$Q$100, AO225)))))"),"Point")</f>
        <v>Point</v>
      </c>
      <c r="AQ225" s="12" t="str">
        <f>IFERROR(__xludf.DUMMYFUNCTION("IFERROR(VALUE(REGEXEXTRACT(AO225, ""\d+"")), """")"),"")</f>
        <v/>
      </c>
      <c r="AR225" s="12" t="str">
        <f>IFERROR(__xludf.DUMMYFUNCTION("TEXTJOIN("", "", TRUE, FILTER(Validations!$R$2:$R$100, ISNUMBER(SEARCH(Validations!$R$2:$R$100, AO225))))"),"Self")</f>
        <v>Self</v>
      </c>
      <c r="AS225" s="27"/>
      <c r="AT225" s="12" t="str">
        <f>IFERROR(__xludf.DUMMYFUNCTION("IFERROR(TEXTJOIN("", "", TRUE, FILTER(Validations!$I$2:$I$100, ISNUMBER(SEARCH(Validations!$I$2:$I$100, AS225)))), """")"),"")</f>
        <v/>
      </c>
      <c r="AU225" s="16" t="str">
        <f t="array" ref="AU225">IFERROR(INDEX(Validations!$J$2:$J$100, MATCH(TRUE, ISNUMBER(SEARCH(Validations!$I$2:$I$100, AT225)), 0)), "")</f>
        <v/>
      </c>
      <c r="AV225" s="12" t="str">
        <f>IFERROR(__xludf.DUMMYFUNCTION("IFERROR(VALUE(REGEXEXTRACT(AS225, ""\d+"")), """")"),"")</f>
        <v/>
      </c>
      <c r="AW225" s="12" t="str">
        <f>IFERROR(__xludf.DUMMYFUNCTION("IFERROR(TEXTJOIN("", "", TRUE, FILTER(Validations!$Q$2:$Q$100, ISNUMBER(SEARCH(Validations!$Q$2:$Q$100, AS225)))), """")"),"")</f>
        <v/>
      </c>
      <c r="AX225" s="28" t="s">
        <v>152</v>
      </c>
      <c r="AY225" s="28" t="str">
        <f>IFERROR(__xludf.DUMMYFUNCTION("TEXTJOIN("", "", TRUE, FILTER(Validations!$Y$2:$Y$100, ISNUMBER(SEARCH(Validations!$X$2:$X$100, AX225))))"),"V, S, R")</f>
        <v>V, S, R</v>
      </c>
      <c r="AZ225" s="20" t="s">
        <v>1082</v>
      </c>
      <c r="BA225" s="22"/>
      <c r="BB225" s="22"/>
      <c r="BC225" s="22"/>
      <c r="BD225" s="22"/>
      <c r="BE225" s="27"/>
      <c r="BF225" s="22"/>
      <c r="BG225" s="27"/>
      <c r="BH225" s="27"/>
      <c r="BI225" s="12" t="str">
        <f>IFERROR(__xludf.DUMMYFUNCTION("IFERROR(TEXTJOIN("", "", TRUE, FILTER(SRD!$A$2:$A$1000, EXACT(SRD!$A$2:$A$1000, J225))), """")"),"")</f>
        <v/>
      </c>
      <c r="BJ225" s="29"/>
      <c r="BK225" s="29"/>
    </row>
    <row r="226" ht="15.75" customHeight="1">
      <c r="A226" s="30" t="s">
        <v>1083</v>
      </c>
      <c r="B226" s="22"/>
      <c r="C226" s="31"/>
      <c r="D226" s="31" t="s">
        <v>74</v>
      </c>
      <c r="E226" s="31"/>
      <c r="F226" s="40" t="s">
        <v>139</v>
      </c>
      <c r="G226" s="50" t="s">
        <v>945</v>
      </c>
      <c r="H226" s="31" t="s">
        <v>178</v>
      </c>
      <c r="I226" s="16" t="str">
        <f t="array" ref="I226">INDEX(Validations!$C$2:$C$100, MATCH(TRUE, ISNUMBER(SEARCH(Validations!$B$2:$B$100, H226)), 0))</f>
        <v>A</v>
      </c>
      <c r="J226" s="17" t="s">
        <v>1084</v>
      </c>
      <c r="K226" s="18"/>
      <c r="L226" s="17"/>
      <c r="M226" s="17"/>
      <c r="N226" s="20" t="s">
        <v>1085</v>
      </c>
      <c r="O226" s="17"/>
      <c r="P226" s="21"/>
      <c r="Q226" s="21"/>
      <c r="R226" s="22"/>
      <c r="S226" s="17" t="str">
        <f>IFERROR(__xludf.DUMMYFUNCTION("IFERROR(REGEXEXTRACT(J226, ""(\d{1,3}[dD]\d{1,3})""), """")"),"")</f>
        <v/>
      </c>
      <c r="T226" s="17" t="str">
        <f>IFERROR(__xludf.DUMMYFUNCTION("IF(COUNTIF(ARRAYFORMULA(LOWER(Validations!$O$2:$O$100)), LOWER(REGEXEXTRACT(J226, ""\d{1,3}[dD]\d{1,3}\s+(\w+)"")))&gt;0, REGEXEXTRACT(J226, ""\d{1,3}[dD]\d{1,3}\s+(\w+)""), """")"),"")</f>
        <v/>
      </c>
      <c r="U226" s="17" t="str">
        <f>IFERROR(__xludf.DUMMYFUNCTION("IF(COUNTIF(ARRAYFORMULA(LOWER(Validations!$P$2:$P$100)), LOWER(REGEXEXTRACT(J226, ""\d{1,3}[dD]\d{1,3}\s+(\w+)"")))&gt;0, REGEXEXTRACT(J226, ""\d{1,3}[dD]\d{1,3}\s+(\w+)""), """")"),"")</f>
        <v/>
      </c>
      <c r="V226" s="12" t="str">
        <f>IFERROR(__xludf.DUMMYFUNCTION("TEXTJOIN("", "", TRUE, FILTER(Validations!$L$2:$L$100, ISNUMBER(SEARCH(Validations!$L$2:$L$100, J226))))"),"Unconscious")</f>
        <v>Unconscious</v>
      </c>
      <c r="W226" s="12" t="str">
        <f>IFERROR(__xludf.DUMMYFUNCTION("IFERROR(TEXTJOIN("", "", TRUE, FILTER(Validations!$M$2:$M$100, ISNUMBER(SEARCH(Validations!$M$2:$M$100 &amp; "" saving throw"", J226)))), """")"),"")</f>
        <v/>
      </c>
      <c r="X226" s="12"/>
      <c r="Y226" s="12"/>
      <c r="Z226" s="12" t="str">
        <f>IFERROR(__xludf.DUMMYFUNCTION("IFERROR(TEXTJOIN("", "", TRUE, FILTER(Validations!$N$2:$N$100, ISNUMBER(SEARCH(Validations!$N$2:$N$100 &amp; "" check"", J226)))), """")"),"")</f>
        <v/>
      </c>
      <c r="AA226" s="12" t="str">
        <f>IFERROR(__xludf.DUMMYFUNCTION("IFERROR(TEXTJOIN("", "", TRUE, FILTER(Validations!$N$2:$N$100, ISNUMBER(SEARCH(Validations!$N$2:$N$100 &amp; "" check"", W226)))), """")"),"")</f>
        <v/>
      </c>
      <c r="AB226" s="23" t="str">
        <f>IFERROR(__xludf.DUMMYFUNCTION("IFERROR(CONCATENATE(IF(ISNUMBER(SEARCH(Validations!$M$2:$M$100 &amp; "" spell save"", J226)),""Spell Save"",""""), REGEXEXTRACT(J226, ""DC (\d+)"")), """")"),"")</f>
        <v/>
      </c>
      <c r="AC226" s="24" t="b">
        <v>0</v>
      </c>
      <c r="AD226" s="24" t="b">
        <v>0</v>
      </c>
      <c r="AE226" s="36" t="s">
        <v>69</v>
      </c>
      <c r="AF226" s="25">
        <f>IFERROR(__xludf.DUMMYFUNCTION("IFERROR(VALUE(REGEXEXTRACT(AE226, ""\d+"")), 1)"),1.0)</f>
        <v>1</v>
      </c>
      <c r="AG226" s="12" t="str">
        <f>IFERROR(__xludf.DUMMYFUNCTION("IF(
  ISNUMBER(SEARCH(""Bonus Action"", AE226)),
  ""Bonus Action"",
  IF(
    ISNUMBER(SEARCH(""Reaction"", AE226)),
    ""Reaction"",
    IF(
      ISNUMBER(SEARCH(""Action"", AE226)),
      ""Action"",
      TEXTJOIN("", "", TRUE, FILTER(Validations!$S"&amp;"$2:$S$100, ISNUMBER(SEARCH(Validations!$S$2:$S$100, AE226))))
    )
  )
)"),"Action")</f>
        <v>Action</v>
      </c>
      <c r="AH226" s="36"/>
      <c r="AI226" s="27" t="s">
        <v>70</v>
      </c>
      <c r="AJ226" s="26" t="str">
        <f>IFERROR(__xludf.DUMMYFUNCTION("TEXTJOIN("", "", TRUE, FILTER(Validations!$T$2:$T$100, ISNUMBER(SEARCH(Validations!$T$2:$T$100, AI226))))"),"Instantaneous")</f>
        <v>Instantaneous</v>
      </c>
      <c r="AK226" s="26" t="str">
        <f>IFERROR(__xludf.DUMMYFUNCTION("IFERROR(VALUE(REGEXEXTRACT(AI226, ""\d+"")), """")"),"")</f>
        <v/>
      </c>
      <c r="AL226" s="26" t="str">
        <f>IFERROR(__xludf.DUMMYFUNCTION("TEXTJOIN("", "", TRUE, FILTER(Validations!$U$2:$U$100, ISNUMBER(SEARCH(Validations!$U$2:$U$100, AI226))))"),"")</f>
        <v/>
      </c>
      <c r="AM226" s="24" t="b">
        <f t="shared" si="1"/>
        <v>0</v>
      </c>
      <c r="AN226" s="24" t="b">
        <v>0</v>
      </c>
      <c r="AO226" s="22" t="s">
        <v>71</v>
      </c>
      <c r="AP226" s="12" t="str">
        <f>IFERROR(__xludf.DUMMYFUNCTION("IF(TEXTJOIN("", "", TRUE, FILTER(Validations!$Q$2:$Q$100, ISNUMBER(SEARCH(Validations!$Q$2:$Q$100, AO226)))) = """", Validations!$Q$2, TEXTJOIN("", "", TRUE, FILTER(Validations!$Q$2:$Q$100, ISNUMBER(SEARCH(Validations!$Q$2:$Q$100, AO226)))))"),"Point")</f>
        <v>Point</v>
      </c>
      <c r="AQ226" s="12" t="str">
        <f>IFERROR(__xludf.DUMMYFUNCTION("IFERROR(VALUE(REGEXEXTRACT(AO226, ""\d+"")), """")"),"")</f>
        <v/>
      </c>
      <c r="AR226" s="12" t="str">
        <f>IFERROR(__xludf.DUMMYFUNCTION("TEXTJOIN("", "", TRUE, FILTER(Validations!$R$2:$R$100, ISNUMBER(SEARCH(Validations!$R$2:$R$100, AO226))))"),"Touch")</f>
        <v>Touch</v>
      </c>
      <c r="AS226" s="27"/>
      <c r="AT226" s="12" t="str">
        <f>IFERROR(__xludf.DUMMYFUNCTION("IFERROR(TEXTJOIN("", "", TRUE, FILTER(Validations!$I$2:$I$100, ISNUMBER(SEARCH(Validations!$I$2:$I$100, AS226)))), """")"),"")</f>
        <v/>
      </c>
      <c r="AU226" s="16" t="str">
        <f t="array" ref="AU226">IFERROR(INDEX(Validations!$J$2:$J$100, MATCH(TRUE, ISNUMBER(SEARCH(Validations!$I$2:$I$100, AT226)), 0)), "")</f>
        <v/>
      </c>
      <c r="AV226" s="12" t="str">
        <f>IFERROR(__xludf.DUMMYFUNCTION("IFERROR(VALUE(REGEXEXTRACT(AS226, ""\d+"")), """")"),"")</f>
        <v/>
      </c>
      <c r="AW226" s="12" t="str">
        <f>IFERROR(__xludf.DUMMYFUNCTION("IFERROR(TEXTJOIN("", "", TRUE, FILTER(Validations!$Q$2:$Q$100, ISNUMBER(SEARCH(Validations!$Q$2:$Q$100, AS226)))), """")"),"")</f>
        <v/>
      </c>
      <c r="AX226" s="28" t="s">
        <v>152</v>
      </c>
      <c r="AY226" s="28" t="str">
        <f>IFERROR(__xludf.DUMMYFUNCTION("TEXTJOIN("", "", TRUE, FILTER(Validations!$Y$2:$Y$100, ISNUMBER(SEARCH(Validations!$X$2:$X$100, AX226))))"),"V, S, R")</f>
        <v>V, S, R</v>
      </c>
      <c r="AZ226" s="20" t="s">
        <v>1086</v>
      </c>
      <c r="BA226" s="22"/>
      <c r="BB226" s="22"/>
      <c r="BC226" s="22"/>
      <c r="BD226" s="22"/>
      <c r="BE226" s="27"/>
      <c r="BF226" s="22"/>
      <c r="BG226" s="27"/>
      <c r="BH226" s="27"/>
      <c r="BI226" s="12" t="str">
        <f>IFERROR(__xludf.DUMMYFUNCTION("IFERROR(TEXTJOIN("", "", TRUE, FILTER(SRD!$A$2:$A$1000, EXACT(SRD!$A$2:$A$1000, J226))), """")"),"")</f>
        <v/>
      </c>
      <c r="BJ226" s="29"/>
      <c r="BK226" s="29"/>
    </row>
    <row r="227" ht="15.75" customHeight="1">
      <c r="A227" s="30" t="s">
        <v>1087</v>
      </c>
      <c r="B227" s="22"/>
      <c r="C227" s="16"/>
      <c r="D227" s="16" t="s">
        <v>1088</v>
      </c>
      <c r="E227" s="16"/>
      <c r="F227" s="32" t="s">
        <v>1089</v>
      </c>
      <c r="G227" s="50" t="s">
        <v>945</v>
      </c>
      <c r="H227" s="31" t="s">
        <v>178</v>
      </c>
      <c r="I227" s="16" t="str">
        <f t="array" ref="I227">INDEX(Validations!$C$2:$C$100, MATCH(TRUE, ISNUMBER(SEARCH(Validations!$B$2:$B$100, H227)), 0))</f>
        <v>A</v>
      </c>
      <c r="J227" s="17" t="s">
        <v>1090</v>
      </c>
      <c r="K227" s="18"/>
      <c r="L227" s="17"/>
      <c r="M227" s="17"/>
      <c r="N227" s="20" t="s">
        <v>1091</v>
      </c>
      <c r="O227" s="17"/>
      <c r="P227" s="21"/>
      <c r="Q227" s="21"/>
      <c r="R227" s="22"/>
      <c r="S227" s="17" t="str">
        <f>IFERROR(__xludf.DUMMYFUNCTION("IFERROR(REGEXEXTRACT(J227, ""(\d{1,3}[dD]\d{1,3})""), """")"),"")</f>
        <v/>
      </c>
      <c r="T227" s="17" t="str">
        <f>IFERROR(__xludf.DUMMYFUNCTION("IF(COUNTIF(ARRAYFORMULA(LOWER(Validations!$O$2:$O$100)), LOWER(REGEXEXTRACT(J227, ""\d{1,3}[dD]\d{1,3}\s+(\w+)"")))&gt;0, REGEXEXTRACT(J227, ""\d{1,3}[dD]\d{1,3}\s+(\w+)""), """")"),"")</f>
        <v/>
      </c>
      <c r="U227" s="17" t="str">
        <f>IFERROR(__xludf.DUMMYFUNCTION("IF(COUNTIF(ARRAYFORMULA(LOWER(Validations!$P$2:$P$100)), LOWER(REGEXEXTRACT(J227, ""\d{1,3}[dD]\d{1,3}\s+(\w+)"")))&gt;0, REGEXEXTRACT(J227, ""\d{1,3}[dD]\d{1,3}\s+(\w+)""), """")"),"")</f>
        <v/>
      </c>
      <c r="V227" s="12" t="str">
        <f>IFERROR(__xludf.DUMMYFUNCTION("TEXTJOIN("", "", TRUE, FILTER(Validations!$L$2:$L$100, ISNUMBER(SEARCH(Validations!$L$2:$L$100, J227))))"),"")</f>
        <v/>
      </c>
      <c r="W227" s="12" t="str">
        <f>IFERROR(__xludf.DUMMYFUNCTION("IFERROR(TEXTJOIN("", "", TRUE, FILTER(Validations!$M$2:$M$100, ISNUMBER(SEARCH(Validations!$M$2:$M$100 &amp; "" saving throw"", J227)))), """")"),"Wisdom")</f>
        <v>Wisdom</v>
      </c>
      <c r="X227" s="12"/>
      <c r="Y227" s="12"/>
      <c r="Z227" s="12" t="str">
        <f>IFERROR(__xludf.DUMMYFUNCTION("IFERROR(TEXTJOIN("", "", TRUE, FILTER(Validations!$N$2:$N$100, ISNUMBER(SEARCH(Validations!$N$2:$N$100 &amp; "" check"", J227)))), """")"),"")</f>
        <v/>
      </c>
      <c r="AA227" s="12" t="str">
        <f>IFERROR(__xludf.DUMMYFUNCTION("IFERROR(TEXTJOIN("", "", TRUE, FILTER(Validations!$N$2:$N$100, ISNUMBER(SEARCH(Validations!$N$2:$N$100 &amp; "" check"", W227)))), """")"),"")</f>
        <v/>
      </c>
      <c r="AB227" s="23" t="str">
        <f>IFERROR(__xludf.DUMMYFUNCTION("IFERROR(CONCATENATE(IF(ISNUMBER(SEARCH(Validations!$M$2:$M$100 &amp; "" spell save"", J227)),""Spell Save"",""""), REGEXEXTRACT(J227, ""DC (\d+)"")), """")"),"")</f>
        <v/>
      </c>
      <c r="AC227" s="24" t="b">
        <v>0</v>
      </c>
      <c r="AD227" s="24" t="b">
        <v>0</v>
      </c>
      <c r="AE227" s="36" t="s">
        <v>69</v>
      </c>
      <c r="AF227" s="25">
        <f>IFERROR(__xludf.DUMMYFUNCTION("IFERROR(VALUE(REGEXEXTRACT(AE227, ""\d+"")), 1)"),1.0)</f>
        <v>1</v>
      </c>
      <c r="AG227" s="12" t="str">
        <f>IFERROR(__xludf.DUMMYFUNCTION("IF(
  ISNUMBER(SEARCH(""Bonus Action"", AE227)),
  ""Bonus Action"",
  IF(
    ISNUMBER(SEARCH(""Reaction"", AE227)),
    ""Reaction"",
    IF(
      ISNUMBER(SEARCH(""Action"", AE227)),
      ""Action"",
      TEXTJOIN("", "", TRUE, FILTER(Validations!$S"&amp;"$2:$S$100, ISNUMBER(SEARCH(Validations!$S$2:$S$100, AE227))))
    )
  )
)"),"Action")</f>
        <v>Action</v>
      </c>
      <c r="AH227" s="36"/>
      <c r="AI227" s="20" t="s">
        <v>296</v>
      </c>
      <c r="AJ227" s="26" t="str">
        <f>IFERROR(__xludf.DUMMYFUNCTION("TEXTJOIN("", "", TRUE, FILTER(Validations!$T$2:$T$100, ISNUMBER(SEARCH(Validations!$T$2:$T$100, AI227))))"),"")</f>
        <v/>
      </c>
      <c r="AK227" s="26">
        <f>IFERROR(__xludf.DUMMYFUNCTION("IFERROR(VALUE(REGEXEXTRACT(AI227, ""\d+"")), """")"),1.0)</f>
        <v>1</v>
      </c>
      <c r="AL227" s="26" t="str">
        <f>IFERROR(__xludf.DUMMYFUNCTION("TEXTJOIN("", "", TRUE, FILTER(Validations!$U$2:$U$100, ISNUMBER(SEARCH(Validations!$U$2:$U$100, AI227))))"),"Hours")</f>
        <v>Hours</v>
      </c>
      <c r="AM227" s="24" t="b">
        <f t="shared" si="1"/>
        <v>0</v>
      </c>
      <c r="AN227" s="24" t="b">
        <v>0</v>
      </c>
      <c r="AO227" s="22" t="s">
        <v>71</v>
      </c>
      <c r="AP227" s="12" t="str">
        <f>IFERROR(__xludf.DUMMYFUNCTION("IF(TEXTJOIN("", "", TRUE, FILTER(Validations!$Q$2:$Q$100, ISNUMBER(SEARCH(Validations!$Q$2:$Q$100, AO227)))) = """", Validations!$Q$2, TEXTJOIN("", "", TRUE, FILTER(Validations!$Q$2:$Q$100, ISNUMBER(SEARCH(Validations!$Q$2:$Q$100, AO227)))))"),"Point")</f>
        <v>Point</v>
      </c>
      <c r="AQ227" s="12" t="str">
        <f>IFERROR(__xludf.DUMMYFUNCTION("IFERROR(VALUE(REGEXEXTRACT(AO227, ""\d+"")), """")"),"")</f>
        <v/>
      </c>
      <c r="AR227" s="12" t="str">
        <f>IFERROR(__xludf.DUMMYFUNCTION("TEXTJOIN("", "", TRUE, FILTER(Validations!$R$2:$R$100, ISNUMBER(SEARCH(Validations!$R$2:$R$100, AO227))))"),"Touch")</f>
        <v>Touch</v>
      </c>
      <c r="AS227" s="27"/>
      <c r="AT227" s="12" t="str">
        <f>IFERROR(__xludf.DUMMYFUNCTION("IFERROR(TEXTJOIN("", "", TRUE, FILTER(Validations!$I$2:$I$100, ISNUMBER(SEARCH(Validations!$I$2:$I$100, AS227)))), """")"),"")</f>
        <v/>
      </c>
      <c r="AU227" s="16" t="str">
        <f t="array" ref="AU227">IFERROR(INDEX(Validations!$J$2:$J$100, MATCH(TRUE, ISNUMBER(SEARCH(Validations!$I$2:$I$100, AT227)), 0)), "")</f>
        <v/>
      </c>
      <c r="AV227" s="12" t="str">
        <f>IFERROR(__xludf.DUMMYFUNCTION("IFERROR(VALUE(REGEXEXTRACT(AS227, ""\d+"")), """")"),"")</f>
        <v/>
      </c>
      <c r="AW227" s="12" t="str">
        <f>IFERROR(__xludf.DUMMYFUNCTION("IFERROR(TEXTJOIN("", "", TRUE, FILTER(Validations!$Q$2:$Q$100, ISNUMBER(SEARCH(Validations!$Q$2:$Q$100, AS227)))), """")"),"")</f>
        <v/>
      </c>
      <c r="AX227" s="28" t="s">
        <v>152</v>
      </c>
      <c r="AY227" s="28" t="str">
        <f>IFERROR(__xludf.DUMMYFUNCTION("TEXTJOIN("", "", TRUE, FILTER(Validations!$Y$2:$Y$100, ISNUMBER(SEARCH(Validations!$X$2:$X$100, AX227))))"),"V, S, R")</f>
        <v>V, S, R</v>
      </c>
      <c r="AZ227" s="20" t="s">
        <v>1092</v>
      </c>
      <c r="BA227" s="22"/>
      <c r="BB227" s="22"/>
      <c r="BC227" s="22"/>
      <c r="BD227" s="22"/>
      <c r="BE227" s="27"/>
      <c r="BF227" s="22"/>
      <c r="BG227" s="27"/>
      <c r="BH227" s="27"/>
      <c r="BI227" s="12" t="str">
        <f>IFERROR(__xludf.DUMMYFUNCTION("IFERROR(TEXTJOIN("", "", TRUE, FILTER(SRD!$A$2:$A$1000, EXACT(SRD!$A$2:$A$1000, J227))), """")"),"")</f>
        <v/>
      </c>
      <c r="BJ227" s="29"/>
      <c r="BK227" s="29"/>
    </row>
    <row r="228" ht="15.75" customHeight="1">
      <c r="A228" s="11" t="s">
        <v>1093</v>
      </c>
      <c r="B228" s="12"/>
      <c r="C228" s="13"/>
      <c r="D228" s="13" t="s">
        <v>1094</v>
      </c>
      <c r="E228" s="13"/>
      <c r="F228" s="14" t="s">
        <v>97</v>
      </c>
      <c r="G228" s="50" t="s">
        <v>945</v>
      </c>
      <c r="H228" s="31" t="s">
        <v>85</v>
      </c>
      <c r="I228" s="16" t="str">
        <f t="array" ref="I228">INDEX(Validations!$C$2:$C$100, MATCH(TRUE, ISNUMBER(SEARCH(Validations!$B$2:$B$100, H228)), 0))</f>
        <v>T</v>
      </c>
      <c r="J228" s="17" t="s">
        <v>1095</v>
      </c>
      <c r="K228" s="18"/>
      <c r="L228" s="17"/>
      <c r="M228" s="37" t="s">
        <v>1096</v>
      </c>
      <c r="N228" s="20" t="s">
        <v>1097</v>
      </c>
      <c r="O228" s="17"/>
      <c r="P228" s="21"/>
      <c r="Q228" s="21"/>
      <c r="R228" s="22"/>
      <c r="S228" s="17" t="str">
        <f>IFERROR(__xludf.DUMMYFUNCTION("IFERROR(REGEXEXTRACT(J228, ""(\d{1,3}[dD]\d{1,3})""), """")"),"")</f>
        <v/>
      </c>
      <c r="T228" s="17" t="str">
        <f>IFERROR(__xludf.DUMMYFUNCTION("IF(COUNTIF(ARRAYFORMULA(LOWER(Validations!$O$2:$O$100)), LOWER(REGEXEXTRACT(J228, ""\d{1,3}[dD]\d{1,3}\s+(\w+)"")))&gt;0, REGEXEXTRACT(J228, ""\d{1,3}[dD]\d{1,3}\s+(\w+)""), """")"),"")</f>
        <v/>
      </c>
      <c r="U228" s="17" t="str">
        <f>IFERROR(__xludf.DUMMYFUNCTION("IF(COUNTIF(ARRAYFORMULA(LOWER(Validations!$P$2:$P$100)), LOWER(REGEXEXTRACT(J228, ""\d{1,3}[dD]\d{1,3}\s+(\w+)"")))&gt;0, REGEXEXTRACT(J228, ""\d{1,3}[dD]\d{1,3}\s+(\w+)""), """")"),"")</f>
        <v/>
      </c>
      <c r="V228" s="12" t="str">
        <f>IFERROR(__xludf.DUMMYFUNCTION("TEXTJOIN("", "", TRUE, FILTER(Validations!$L$2:$L$100, ISNUMBER(SEARCH(Validations!$L$2:$L$100, J228))))"),"")</f>
        <v/>
      </c>
      <c r="W228" s="12" t="str">
        <f>IFERROR(__xludf.DUMMYFUNCTION("IFERROR(TEXTJOIN("", "", TRUE, FILTER(Validations!$M$2:$M$100, ISNUMBER(SEARCH(Validations!$M$2:$M$100 &amp; "" saving throw"", J228)))), """")"),"Charisma")</f>
        <v>Charisma</v>
      </c>
      <c r="X228" s="12"/>
      <c r="Y228" s="12"/>
      <c r="Z228" s="12" t="str">
        <f>IFERROR(__xludf.DUMMYFUNCTION("IFERROR(TEXTJOIN("", "", TRUE, FILTER(Validations!$N$2:$N$100, ISNUMBER(SEARCH(Validations!$N$2:$N$100 &amp; "" check"", J228)))), """")"),"")</f>
        <v/>
      </c>
      <c r="AA228" s="12" t="str">
        <f>IFERROR(__xludf.DUMMYFUNCTION("IFERROR(TEXTJOIN("", "", TRUE, FILTER(Validations!$N$2:$N$100, ISNUMBER(SEARCH(Validations!$N$2:$N$100 &amp; "" check"", W228)))), """")"),"")</f>
        <v/>
      </c>
      <c r="AB228" s="23" t="str">
        <f>IFERROR(__xludf.DUMMYFUNCTION("IFERROR(CONCATENATE(IF(ISNUMBER(SEARCH(Validations!$M$2:$M$100 &amp; "" spell save"", J228)),""Spell Save"",""""), REGEXEXTRACT(J228, ""DC (\d+)"")), """")"),"")</f>
        <v/>
      </c>
      <c r="AC228" s="24" t="b">
        <v>0</v>
      </c>
      <c r="AD228" s="24" t="b">
        <v>0</v>
      </c>
      <c r="AE228" s="12" t="s">
        <v>69</v>
      </c>
      <c r="AF228" s="25">
        <f>IFERROR(__xludf.DUMMYFUNCTION("IFERROR(VALUE(REGEXEXTRACT(AE228, ""\d+"")), 1)"),1.0)</f>
        <v>1</v>
      </c>
      <c r="AG228" s="12" t="str">
        <f>IFERROR(__xludf.DUMMYFUNCTION("IF(
  ISNUMBER(SEARCH(""Bonus Action"", AE228)),
  ""Bonus Action"",
  IF(
    ISNUMBER(SEARCH(""Reaction"", AE228)),
    ""Reaction"",
    IF(
      ISNUMBER(SEARCH(""Action"", AE228)),
      ""Action"",
      TEXTJOIN("", "", TRUE, FILTER(Validations!$S"&amp;"$2:$S$100, ISNUMBER(SEARCH(Validations!$S$2:$S$100, AE228))))
    )
  )
)"),"Action")</f>
        <v>Action</v>
      </c>
      <c r="AH228" s="12"/>
      <c r="AI228" s="26" t="s">
        <v>70</v>
      </c>
      <c r="AJ228" s="26" t="str">
        <f>IFERROR(__xludf.DUMMYFUNCTION("TEXTJOIN("", "", TRUE, FILTER(Validations!$T$2:$T$100, ISNUMBER(SEARCH(Validations!$T$2:$T$100, AI228))))"),"Instantaneous")</f>
        <v>Instantaneous</v>
      </c>
      <c r="AK228" s="26" t="str">
        <f>IFERROR(__xludf.DUMMYFUNCTION("IFERROR(VALUE(REGEXEXTRACT(AI228, ""\d+"")), """")"),"")</f>
        <v/>
      </c>
      <c r="AL228" s="26" t="str">
        <f>IFERROR(__xludf.DUMMYFUNCTION("TEXTJOIN("", "", TRUE, FILTER(Validations!$U$2:$U$100, ISNUMBER(SEARCH(Validations!$U$2:$U$100, AI228))))"),"")</f>
        <v/>
      </c>
      <c r="AM228" s="24" t="b">
        <f t="shared" si="1"/>
        <v>0</v>
      </c>
      <c r="AN228" s="24" t="b">
        <v>0</v>
      </c>
      <c r="AO228" s="36" t="s">
        <v>725</v>
      </c>
      <c r="AP228" s="12" t="str">
        <f>IFERROR(__xludf.DUMMYFUNCTION("IF(TEXTJOIN("", "", TRUE, FILTER(Validations!$Q$2:$Q$100, ISNUMBER(SEARCH(Validations!$Q$2:$Q$100, AO228)))) = """", Validations!$Q$2, TEXTJOIN("", "", TRUE, FILTER(Validations!$Q$2:$Q$100, ISNUMBER(SEARCH(Validations!$Q$2:$Q$100, AO228)))))"),"Point")</f>
        <v>Point</v>
      </c>
      <c r="AQ228" s="12">
        <f>IFERROR(__xludf.DUMMYFUNCTION("IFERROR(VALUE(REGEXEXTRACT(AO228, ""\d+"")), """")"),500.0)</f>
        <v>500</v>
      </c>
      <c r="AR228" s="12" t="str">
        <f>IFERROR(__xludf.DUMMYFUNCTION("TEXTJOIN("", "", TRUE, FILTER(Validations!$R$2:$R$100, ISNUMBER(SEARCH(Validations!$R$2:$R$100, AO228))))"),"Feet")</f>
        <v>Feet</v>
      </c>
      <c r="AS228" s="27"/>
      <c r="AT228" s="12" t="str">
        <f>IFERROR(__xludf.DUMMYFUNCTION("IFERROR(TEXTJOIN("", "", TRUE, FILTER(Validations!$I$2:$I$100, ISNUMBER(SEARCH(Validations!$I$2:$I$100, AS228)))), """")"),"")</f>
        <v/>
      </c>
      <c r="AU228" s="16" t="str">
        <f t="array" ref="AU228">IFERROR(INDEX(Validations!$J$2:$J$100, MATCH(TRUE, ISNUMBER(SEARCH(Validations!$I$2:$I$100, AT228)), 0)), "")</f>
        <v/>
      </c>
      <c r="AV228" s="12" t="str">
        <f>IFERROR(__xludf.DUMMYFUNCTION("IFERROR(VALUE(REGEXEXTRACT(AS228, ""\d+"")), """")"),"")</f>
        <v/>
      </c>
      <c r="AW228" s="12" t="str">
        <f>IFERROR(__xludf.DUMMYFUNCTION("IFERROR(TEXTJOIN("", "", TRUE, FILTER(Validations!$Q$2:$Q$100, ISNUMBER(SEARCH(Validations!$Q$2:$Q$100, AS228)))), """")"),"")</f>
        <v/>
      </c>
      <c r="AX228" s="28" t="s">
        <v>72</v>
      </c>
      <c r="AY228" s="28" t="str">
        <f>IFERROR(__xludf.DUMMYFUNCTION("TEXTJOIN("", "", TRUE, FILTER(Validations!$Y$2:$Y$100, ISNUMBER(SEARCH(Validations!$X$2:$X$100, AX228))))"),"V, S")</f>
        <v>V, S</v>
      </c>
      <c r="AZ228" s="26"/>
      <c r="BA228" s="12"/>
      <c r="BB228" s="22"/>
      <c r="BC228" s="22"/>
      <c r="BD228" s="22"/>
      <c r="BE228" s="27"/>
      <c r="BF228" s="22"/>
      <c r="BG228" s="27"/>
      <c r="BH228" s="27"/>
      <c r="BI228" s="12" t="str">
        <f>IFERROR(__xludf.DUMMYFUNCTION("IFERROR(TEXTJOIN("", "", TRUE, FILTER(SRD!$A$2:$A$1000, EXACT(SRD!$A$2:$A$1000, J228))), """")"),"")</f>
        <v/>
      </c>
      <c r="BJ228" s="29"/>
      <c r="BK228" s="29"/>
    </row>
    <row r="229" ht="15.75" customHeight="1">
      <c r="A229" s="30" t="s">
        <v>1098</v>
      </c>
      <c r="B229" s="22"/>
      <c r="C229" s="31"/>
      <c r="D229" s="31" t="s">
        <v>74</v>
      </c>
      <c r="E229" s="31"/>
      <c r="F229" s="32" t="s">
        <v>199</v>
      </c>
      <c r="G229" s="50" t="s">
        <v>945</v>
      </c>
      <c r="H229" s="31" t="s">
        <v>65</v>
      </c>
      <c r="I229" s="16" t="str">
        <f t="array" ref="I229">INDEX(Validations!$C$2:$C$100, MATCH(TRUE, ISNUMBER(SEARCH(Validations!$B$2:$B$100, H229)), 0))</f>
        <v>I</v>
      </c>
      <c r="J229" s="17" t="s">
        <v>1099</v>
      </c>
      <c r="K229" s="18"/>
      <c r="L229" s="17"/>
      <c r="M229" s="17"/>
      <c r="N229" s="27"/>
      <c r="O229" s="17"/>
      <c r="P229" s="21"/>
      <c r="Q229" s="21"/>
      <c r="R229" s="22"/>
      <c r="S229" s="17" t="str">
        <f>IFERROR(__xludf.DUMMYFUNCTION("IFERROR(REGEXEXTRACT(J229, ""(\d{1,3}[dD]\d{1,3})""), """")"),"")</f>
        <v/>
      </c>
      <c r="T229" s="17" t="str">
        <f>IFERROR(__xludf.DUMMYFUNCTION("IF(COUNTIF(ARRAYFORMULA(LOWER(Validations!$O$2:$O$100)), LOWER(REGEXEXTRACT(J229, ""\d{1,3}[dD]\d{1,3}\s+(\w+)"")))&gt;0, REGEXEXTRACT(J229, ""\d{1,3}[dD]\d{1,3}\s+(\w+)""), """")"),"")</f>
        <v/>
      </c>
      <c r="U229" s="17" t="str">
        <f>IFERROR(__xludf.DUMMYFUNCTION("IF(COUNTIF(ARRAYFORMULA(LOWER(Validations!$P$2:$P$100)), LOWER(REGEXEXTRACT(J229, ""\d{1,3}[dD]\d{1,3}\s+(\w+)"")))&gt;0, REGEXEXTRACT(J229, ""\d{1,3}[dD]\d{1,3}\s+(\w+)""), """")"),"")</f>
        <v/>
      </c>
      <c r="V229" s="12" t="str">
        <f>IFERROR(__xludf.DUMMYFUNCTION("TEXTJOIN("", "", TRUE, FILTER(Validations!$L$2:$L$100, ISNUMBER(SEARCH(Validations!$L$2:$L$100, J229))))"),"Altered")</f>
        <v>Altered</v>
      </c>
      <c r="W229" s="12" t="str">
        <f>IFERROR(__xludf.DUMMYFUNCTION("IFERROR(TEXTJOIN("", "", TRUE, FILTER(Validations!$M$2:$M$100, ISNUMBER(SEARCH(Validations!$M$2:$M$100 &amp; "" saving throw"", J229)))), """")"),"")</f>
        <v/>
      </c>
      <c r="X229" s="12"/>
      <c r="Y229" s="12"/>
      <c r="Z229" s="12" t="str">
        <f>IFERROR(__xludf.DUMMYFUNCTION("IFERROR(TEXTJOIN("", "", TRUE, FILTER(Validations!$N$2:$N$100, ISNUMBER(SEARCH(Validations!$N$2:$N$100 &amp; "" check"", J229)))), """")"),"")</f>
        <v/>
      </c>
      <c r="AA229" s="12" t="str">
        <f>IFERROR(__xludf.DUMMYFUNCTION("IFERROR(TEXTJOIN("", "", TRUE, FILTER(Validations!$N$2:$N$100, ISNUMBER(SEARCH(Validations!$N$2:$N$100 &amp; "" check"", W229)))), """")"),"")</f>
        <v/>
      </c>
      <c r="AB229" s="23" t="str">
        <f>IFERROR(__xludf.DUMMYFUNCTION("IFERROR(CONCATENATE(IF(ISNUMBER(SEARCH(Validations!$M$2:$M$100 &amp; "" spell save"", J229)),""Spell Save"",""""), REGEXEXTRACT(J229, ""DC (\d+)"")), """")"),"18")</f>
        <v>18</v>
      </c>
      <c r="AC229" s="24" t="b">
        <v>0</v>
      </c>
      <c r="AD229" s="24" t="b">
        <v>0</v>
      </c>
      <c r="AE229" s="36" t="s">
        <v>69</v>
      </c>
      <c r="AF229" s="25">
        <f>IFERROR(__xludf.DUMMYFUNCTION("IFERROR(VALUE(REGEXEXTRACT(AE229, ""\d+"")), 1)"),1.0)</f>
        <v>1</v>
      </c>
      <c r="AG229" s="12" t="str">
        <f>IFERROR(__xludf.DUMMYFUNCTION("IF(
  ISNUMBER(SEARCH(""Bonus Action"", AE229)),
  ""Bonus Action"",
  IF(
    ISNUMBER(SEARCH(""Reaction"", AE229)),
    ""Reaction"",
    IF(
      ISNUMBER(SEARCH(""Action"", AE229)),
      ""Action"",
      TEXTJOIN("", "", TRUE, FILTER(Validations!$S"&amp;"$2:$S$100, ISNUMBER(SEARCH(Validations!$S$2:$S$100, AE229))))
    )
  )
)"),"Action")</f>
        <v>Action</v>
      </c>
      <c r="AH229" s="36"/>
      <c r="AI229" s="20" t="s">
        <v>134</v>
      </c>
      <c r="AJ229" s="26" t="str">
        <f>IFERROR(__xludf.DUMMYFUNCTION("TEXTJOIN("", "", TRUE, FILTER(Validations!$T$2:$T$100, ISNUMBER(SEARCH(Validations!$T$2:$T$100, AI229))))"),"")</f>
        <v/>
      </c>
      <c r="AK229" s="26">
        <f>IFERROR(__xludf.DUMMYFUNCTION("IFERROR(VALUE(REGEXEXTRACT(AI229, ""\d+"")), """")"),10.0)</f>
        <v>10</v>
      </c>
      <c r="AL229" s="26" t="str">
        <f>IFERROR(__xludf.DUMMYFUNCTION("TEXTJOIN("", "", TRUE, FILTER(Validations!$U$2:$U$100, ISNUMBER(SEARCH(Validations!$U$2:$U$100, AI229))))"),"Minutes")</f>
        <v>Minutes</v>
      </c>
      <c r="AM229" s="24" t="b">
        <f t="shared" si="1"/>
        <v>0</v>
      </c>
      <c r="AN229" s="24" t="b">
        <v>0</v>
      </c>
      <c r="AO229" s="22" t="s">
        <v>71</v>
      </c>
      <c r="AP229" s="12" t="str">
        <f>IFERROR(__xludf.DUMMYFUNCTION("IF(TEXTJOIN("", "", TRUE, FILTER(Validations!$Q$2:$Q$100, ISNUMBER(SEARCH(Validations!$Q$2:$Q$100, AO229)))) = """", Validations!$Q$2, TEXTJOIN("", "", TRUE, FILTER(Validations!$Q$2:$Q$100, ISNUMBER(SEARCH(Validations!$Q$2:$Q$100, AO229)))))"),"Point")</f>
        <v>Point</v>
      </c>
      <c r="AQ229" s="12" t="str">
        <f>IFERROR(__xludf.DUMMYFUNCTION("IFERROR(VALUE(REGEXEXTRACT(AO229, ""\d+"")), """")"),"")</f>
        <v/>
      </c>
      <c r="AR229" s="12" t="str">
        <f>IFERROR(__xludf.DUMMYFUNCTION("TEXTJOIN("", "", TRUE, FILTER(Validations!$R$2:$R$100, ISNUMBER(SEARCH(Validations!$R$2:$R$100, AO229))))"),"Touch")</f>
        <v>Touch</v>
      </c>
      <c r="AS229" s="27"/>
      <c r="AT229" s="12" t="str">
        <f>IFERROR(__xludf.DUMMYFUNCTION("IFERROR(TEXTJOIN("", "", TRUE, FILTER(Validations!$I$2:$I$100, ISNUMBER(SEARCH(Validations!$I$2:$I$100, AS229)))), """")"),"")</f>
        <v/>
      </c>
      <c r="AU229" s="16" t="str">
        <f t="array" ref="AU229">IFERROR(INDEX(Validations!$J$2:$J$100, MATCH(TRUE, ISNUMBER(SEARCH(Validations!$I$2:$I$100, AT229)), 0)), "")</f>
        <v/>
      </c>
      <c r="AV229" s="12" t="str">
        <f>IFERROR(__xludf.DUMMYFUNCTION("IFERROR(VALUE(REGEXEXTRACT(AS229, ""\d+"")), """")"),"")</f>
        <v/>
      </c>
      <c r="AW229" s="12" t="str">
        <f>IFERROR(__xludf.DUMMYFUNCTION("IFERROR(TEXTJOIN("", "", TRUE, FILTER(Validations!$Q$2:$Q$100, ISNUMBER(SEARCH(Validations!$Q$2:$Q$100, AS229)))), """")"),"")</f>
        <v/>
      </c>
      <c r="AX229" s="28" t="s">
        <v>152</v>
      </c>
      <c r="AY229" s="28" t="str">
        <f>IFERROR(__xludf.DUMMYFUNCTION("TEXTJOIN("", "", TRUE, FILTER(Validations!$Y$2:$Y$100, ISNUMBER(SEARCH(Validations!$X$2:$X$100, AX229))))"),"V, S, R")</f>
        <v>V, S, R</v>
      </c>
      <c r="AZ229" s="20" t="s">
        <v>1100</v>
      </c>
      <c r="BA229" s="22"/>
      <c r="BB229" s="22"/>
      <c r="BC229" s="22"/>
      <c r="BD229" s="22"/>
      <c r="BE229" s="27"/>
      <c r="BF229" s="22"/>
      <c r="BG229" s="27"/>
      <c r="BH229" s="27"/>
      <c r="BI229" s="12" t="str">
        <f>IFERROR(__xludf.DUMMYFUNCTION("IFERROR(TEXTJOIN("", "", TRUE, FILTER(SRD!$A$2:$A$1000, EXACT(SRD!$A$2:$A$1000, J229))), """")"),"")</f>
        <v/>
      </c>
      <c r="BJ229" s="29"/>
      <c r="BK229" s="29"/>
    </row>
    <row r="230" ht="15.75" customHeight="1">
      <c r="A230" s="30" t="s">
        <v>1101</v>
      </c>
      <c r="B230" s="22"/>
      <c r="C230" s="16"/>
      <c r="D230" s="16" t="s">
        <v>1102</v>
      </c>
      <c r="E230" s="16"/>
      <c r="F230" s="32" t="s">
        <v>1103</v>
      </c>
      <c r="G230" s="50" t="s">
        <v>945</v>
      </c>
      <c r="H230" s="31" t="s">
        <v>76</v>
      </c>
      <c r="I230" s="16" t="str">
        <f t="array" ref="I230">INDEX(Validations!$C$2:$C$100, MATCH(TRUE, ISNUMBER(SEARCH(Validations!$B$2:$B$100, H230)), 0))</f>
        <v>V</v>
      </c>
      <c r="J230" s="17" t="s">
        <v>1104</v>
      </c>
      <c r="K230" s="18"/>
      <c r="L230" s="17"/>
      <c r="M230" s="17"/>
      <c r="N230" s="27"/>
      <c r="O230" s="17"/>
      <c r="P230" s="21"/>
      <c r="Q230" s="21"/>
      <c r="R230" s="22"/>
      <c r="S230" s="17" t="str">
        <f>IFERROR(__xludf.DUMMYFUNCTION("IFERROR(REGEXEXTRACT(J230, ""(\d{1,3}[dD]\d{1,3})""), """")"),"6d6")</f>
        <v>6d6</v>
      </c>
      <c r="T230" s="17" t="str">
        <f>IFERROR(__xludf.DUMMYFUNCTION("IF(COUNTIF(ARRAYFORMULA(LOWER(Validations!$O$2:$O$100)), LOWER(REGEXEXTRACT(J230, ""\d{1,3}[dD]\d{1,3}\s+(\w+)"")))&gt;0, REGEXEXTRACT(J230, ""\d{1,3}[dD]\d{1,3}\s+(\w+)""), """")"),"pyric")</f>
        <v>pyric</v>
      </c>
      <c r="U230" s="17" t="str">
        <f>IFERROR(__xludf.DUMMYFUNCTION("IF(COUNTIF(ARRAYFORMULA(LOWER(Validations!$P$2:$P$100)), LOWER(REGEXEXTRACT(J230, ""\d{1,3}[dD]\d{1,3}\s+(\w+)"")))&gt;0, REGEXEXTRACT(J230, ""\d{1,3}[dD]\d{1,3}\s+(\w+)""), """")"),"")</f>
        <v/>
      </c>
      <c r="V230" s="12" t="str">
        <f>IFERROR(__xludf.DUMMYFUNCTION("TEXTJOIN("", "", TRUE, FILTER(Validations!$L$2:$L$100, ISNUMBER(SEARCH(Validations!$L$2:$L$100, J230))))"),"")</f>
        <v/>
      </c>
      <c r="W230" s="12" t="str">
        <f>IFERROR(__xludf.DUMMYFUNCTION("IFERROR(TEXTJOIN("", "", TRUE, FILTER(Validations!$M$2:$M$100, ISNUMBER(SEARCH(Validations!$M$2:$M$100 &amp; "" saving throw"", J230)))), """")"),"Dexterity")</f>
        <v>Dexterity</v>
      </c>
      <c r="X230" s="12"/>
      <c r="Y230" s="12"/>
      <c r="Z230" s="12" t="str">
        <f>IFERROR(__xludf.DUMMYFUNCTION("IFERROR(TEXTJOIN("", "", TRUE, FILTER(Validations!$N$2:$N$100, ISNUMBER(SEARCH(Validations!$N$2:$N$100 &amp; "" check"", J230)))), """")"),"")</f>
        <v/>
      </c>
      <c r="AA230" s="12" t="str">
        <f>IFERROR(__xludf.DUMMYFUNCTION("IFERROR(TEXTJOIN("", "", TRUE, FILTER(Validations!$N$2:$N$100, ISNUMBER(SEARCH(Validations!$N$2:$N$100 &amp; "" check"", W230)))), """")"),"")</f>
        <v/>
      </c>
      <c r="AB230" s="23" t="str">
        <f>IFERROR(__xludf.DUMMYFUNCTION("IFERROR(CONCATENATE(IF(ISNUMBER(SEARCH(Validations!$M$2:$M$100 &amp; "" spell save"", J230)),""Spell Save"",""""), REGEXEXTRACT(J230, ""DC (\d+)"")), """")"),"")</f>
        <v/>
      </c>
      <c r="AC230" s="24" t="b">
        <v>0</v>
      </c>
      <c r="AD230" s="24" t="b">
        <v>0</v>
      </c>
      <c r="AE230" s="36" t="s">
        <v>69</v>
      </c>
      <c r="AF230" s="25">
        <f>IFERROR(__xludf.DUMMYFUNCTION("IFERROR(VALUE(REGEXEXTRACT(AE230, ""\d+"")), 1)"),1.0)</f>
        <v>1</v>
      </c>
      <c r="AG230" s="12" t="str">
        <f>IFERROR(__xludf.DUMMYFUNCTION("IF(
  ISNUMBER(SEARCH(""Bonus Action"", AE230)),
  ""Bonus Action"",
  IF(
    ISNUMBER(SEARCH(""Reaction"", AE230)),
    ""Reaction"",
    IF(
      ISNUMBER(SEARCH(""Action"", AE230)),
      ""Action"",
      TEXTJOIN("", "", TRUE, FILTER(Validations!$S"&amp;"$2:$S$100, ISNUMBER(SEARCH(Validations!$S$2:$S$100, AE230))))
    )
  )
)"),"Action")</f>
        <v>Action</v>
      </c>
      <c r="AH230" s="36"/>
      <c r="AI230" s="27" t="s">
        <v>70</v>
      </c>
      <c r="AJ230" s="26" t="str">
        <f>IFERROR(__xludf.DUMMYFUNCTION("TEXTJOIN("", "", TRUE, FILTER(Validations!$T$2:$T$100, ISNUMBER(SEARCH(Validations!$T$2:$T$100, AI230))))"),"Instantaneous")</f>
        <v>Instantaneous</v>
      </c>
      <c r="AK230" s="26" t="str">
        <f>IFERROR(__xludf.DUMMYFUNCTION("IFERROR(VALUE(REGEXEXTRACT(AI230, ""\d+"")), """")"),"")</f>
        <v/>
      </c>
      <c r="AL230" s="26" t="str">
        <f>IFERROR(__xludf.DUMMYFUNCTION("TEXTJOIN("", "", TRUE, FILTER(Validations!$U$2:$U$100, ISNUMBER(SEARCH(Validations!$U$2:$U$100, AI230))))"),"")</f>
        <v/>
      </c>
      <c r="AM230" s="24" t="b">
        <f t="shared" si="1"/>
        <v>0</v>
      </c>
      <c r="AN230" s="24" t="b">
        <v>0</v>
      </c>
      <c r="AO230" s="22" t="s">
        <v>502</v>
      </c>
      <c r="AP230" s="12" t="str">
        <f>IFERROR(__xludf.DUMMYFUNCTION("IF(TEXTJOIN("", "", TRUE, FILTER(Validations!$Q$2:$Q$100, ISNUMBER(SEARCH(Validations!$Q$2:$Q$100, AO230)))) = """", Validations!$Q$2, TEXTJOIN("", "", TRUE, FILTER(Validations!$Q$2:$Q$100, ISNUMBER(SEARCH(Validations!$Q$2:$Q$100, AO230)))))"),"Point")</f>
        <v>Point</v>
      </c>
      <c r="AQ230" s="12">
        <f>IFERROR(__xludf.DUMMYFUNCTION("IFERROR(VALUE(REGEXEXTRACT(AO230, ""\d+"")), """")"),120.0)</f>
        <v>120</v>
      </c>
      <c r="AR230" s="12" t="str">
        <f>IFERROR(__xludf.DUMMYFUNCTION("TEXTJOIN("", "", TRUE, FILTER(Validations!$R$2:$R$100, ISNUMBER(SEARCH(Validations!$R$2:$R$100, AO230))))"),"Feet")</f>
        <v>Feet</v>
      </c>
      <c r="AS230" s="27"/>
      <c r="AT230" s="12" t="str">
        <f>IFERROR(__xludf.DUMMYFUNCTION("IFERROR(TEXTJOIN("", "", TRUE, FILTER(Validations!$I$2:$I$100, ISNUMBER(SEARCH(Validations!$I$2:$I$100, AS230)))), """")"),"")</f>
        <v/>
      </c>
      <c r="AU230" s="16" t="str">
        <f t="array" ref="AU230">IFERROR(INDEX(Validations!$J$2:$J$100, MATCH(TRUE, ISNUMBER(SEARCH(Validations!$I$2:$I$100, AT230)), 0)), "")</f>
        <v/>
      </c>
      <c r="AV230" s="12" t="str">
        <f>IFERROR(__xludf.DUMMYFUNCTION("IFERROR(VALUE(REGEXEXTRACT(AS230, ""\d+"")), """")"),"")</f>
        <v/>
      </c>
      <c r="AW230" s="12" t="str">
        <f>IFERROR(__xludf.DUMMYFUNCTION("IFERROR(TEXTJOIN("", "", TRUE, FILTER(Validations!$Q$2:$Q$100, ISNUMBER(SEARCH(Validations!$Q$2:$Q$100, AS230)))), """")"),"")</f>
        <v/>
      </c>
      <c r="AX230" s="28" t="s">
        <v>152</v>
      </c>
      <c r="AY230" s="28" t="str">
        <f>IFERROR(__xludf.DUMMYFUNCTION("TEXTJOIN("", "", TRUE, FILTER(Validations!$Y$2:$Y$100, ISNUMBER(SEARCH(Validations!$X$2:$X$100, AX230))))"),"V, S, R")</f>
        <v>V, S, R</v>
      </c>
      <c r="AZ230" s="20" t="s">
        <v>1105</v>
      </c>
      <c r="BA230" s="22"/>
      <c r="BB230" s="22"/>
      <c r="BC230" s="22"/>
      <c r="BD230" s="22"/>
      <c r="BE230" s="27"/>
      <c r="BF230" s="22"/>
      <c r="BG230" s="27"/>
      <c r="BH230" s="27"/>
      <c r="BI230" s="12" t="str">
        <f>IFERROR(__xludf.DUMMYFUNCTION("IFERROR(TEXTJOIN("", "", TRUE, FILTER(SRD!$A$2:$A$1000, EXACT(SRD!$A$2:$A$1000, J230))), """")"),"")</f>
        <v/>
      </c>
      <c r="BJ230" s="29"/>
      <c r="BK230" s="29"/>
    </row>
    <row r="231" ht="15.75" customHeight="1">
      <c r="A231" s="30" t="s">
        <v>1106</v>
      </c>
      <c r="B231" s="22"/>
      <c r="C231" s="16"/>
      <c r="D231" s="16" t="s">
        <v>1107</v>
      </c>
      <c r="E231" s="16"/>
      <c r="F231" s="32" t="s">
        <v>1108</v>
      </c>
      <c r="G231" s="50" t="s">
        <v>945</v>
      </c>
      <c r="H231" s="31" t="s">
        <v>76</v>
      </c>
      <c r="I231" s="16" t="str">
        <f t="array" ref="I231">INDEX(Validations!$C$2:$C$100, MATCH(TRUE, ISNUMBER(SEARCH(Validations!$B$2:$B$100, H231)), 0))</f>
        <v>V</v>
      </c>
      <c r="J231" s="17" t="s">
        <v>1109</v>
      </c>
      <c r="K231" s="18"/>
      <c r="L231" s="17"/>
      <c r="M231" s="17"/>
      <c r="N231" s="27"/>
      <c r="O231" s="17"/>
      <c r="P231" s="21"/>
      <c r="Q231" s="21"/>
      <c r="R231" s="22"/>
      <c r="S231" s="17" t="str">
        <f>IFERROR(__xludf.DUMMYFUNCTION("IFERROR(REGEXEXTRACT(J231, ""(\d{1,3}[dD]\d{1,3})""), """")"),"1d8")</f>
        <v>1d8</v>
      </c>
      <c r="T231" s="17" t="str">
        <f>IFERROR(__xludf.DUMMYFUNCTION("IF(COUNTIF(ARRAYFORMULA(LOWER(Validations!$O$2:$O$100)), LOWER(REGEXEXTRACT(J231, ""\d{1,3}[dD]\d{1,3}\s+(\w+)"")))&gt;0, REGEXEXTRACT(J231, ""\d{1,3}[dD]\d{1,3}\s+(\w+)""), """")"),"")</f>
        <v/>
      </c>
      <c r="U231" s="17" t="str">
        <f>IFERROR(__xludf.DUMMYFUNCTION("IF(COUNTIF(ARRAYFORMULA(LOWER(Validations!$P$2:$P$100)), LOWER(REGEXEXTRACT(J231, ""\d{1,3}[dD]\d{1,3}\s+(\w+)"")))&gt;0, REGEXEXTRACT(J231, ""\d{1,3}[dD]\d{1,3}\s+(\w+)""), """")"),"")</f>
        <v/>
      </c>
      <c r="V231" s="12" t="str">
        <f>IFERROR(__xludf.DUMMYFUNCTION("TEXTJOIN("", "", TRUE, FILTER(Validations!$L$2:$L$100, ISNUMBER(SEARCH(Validations!$L$2:$L$100, J231))))"),"")</f>
        <v/>
      </c>
      <c r="W231" s="12" t="str">
        <f>IFERROR(__xludf.DUMMYFUNCTION("IFERROR(TEXTJOIN("", "", TRUE, FILTER(Validations!$M$2:$M$100, ISNUMBER(SEARCH(Validations!$M$2:$M$100 &amp; "" saving throw"", J231)))), """")"),"")</f>
        <v/>
      </c>
      <c r="X231" s="12"/>
      <c r="Y231" s="12"/>
      <c r="Z231" s="12" t="str">
        <f>IFERROR(__xludf.DUMMYFUNCTION("IFERROR(TEXTJOIN("", "", TRUE, FILTER(Validations!$N$2:$N$100, ISNUMBER(SEARCH(Validations!$N$2:$N$100 &amp; "" check"", J231)))), """")"),"")</f>
        <v/>
      </c>
      <c r="AA231" s="12" t="str">
        <f>IFERROR(__xludf.DUMMYFUNCTION("IFERROR(TEXTJOIN("", "", TRUE, FILTER(Validations!$N$2:$N$100, ISNUMBER(SEARCH(Validations!$N$2:$N$100 &amp; "" check"", W231)))), """")"),"")</f>
        <v/>
      </c>
      <c r="AB231" s="23" t="str">
        <f>IFERROR(__xludf.DUMMYFUNCTION("IFERROR(CONCATENATE(IF(ISNUMBER(SEARCH(Validations!$M$2:$M$100 &amp; "" spell save"", J231)),""Spell Save"",""""), REGEXEXTRACT(J231, ""DC (\d+)"")), """")"),"")</f>
        <v/>
      </c>
      <c r="AC231" s="24" t="b">
        <v>0</v>
      </c>
      <c r="AD231" s="24" t="b">
        <v>0</v>
      </c>
      <c r="AE231" s="36" t="s">
        <v>69</v>
      </c>
      <c r="AF231" s="25">
        <f>IFERROR(__xludf.DUMMYFUNCTION("IFERROR(VALUE(REGEXEXTRACT(AE231, ""\d+"")), 1)"),1.0)</f>
        <v>1</v>
      </c>
      <c r="AG231" s="12" t="str">
        <f>IFERROR(__xludf.DUMMYFUNCTION("IF(
  ISNUMBER(SEARCH(""Bonus Action"", AE231)),
  ""Bonus Action"",
  IF(
    ISNUMBER(SEARCH(""Reaction"", AE231)),
    ""Reaction"",
    IF(
      ISNUMBER(SEARCH(""Action"", AE231)),
      ""Action"",
      TEXTJOIN("", "", TRUE, FILTER(Validations!$S"&amp;"$2:$S$100, ISNUMBER(SEARCH(Validations!$S$2:$S$100, AE231))))
    )
  )
)"),"Action")</f>
        <v>Action</v>
      </c>
      <c r="AH231" s="36"/>
      <c r="AI231" s="20" t="s">
        <v>92</v>
      </c>
      <c r="AJ231" s="26" t="str">
        <f>IFERROR(__xludf.DUMMYFUNCTION("TEXTJOIN("", "", TRUE, FILTER(Validations!$T$2:$T$100, ISNUMBER(SEARCH(Validations!$T$2:$T$100, AI231))))"),"")</f>
        <v/>
      </c>
      <c r="AK231" s="26">
        <f>IFERROR(__xludf.DUMMYFUNCTION("IFERROR(VALUE(REGEXEXTRACT(AI231, ""\d+"")), """")"),1.0)</f>
        <v>1</v>
      </c>
      <c r="AL231" s="26" t="str">
        <f>IFERROR(__xludf.DUMMYFUNCTION("TEXTJOIN("", "", TRUE, FILTER(Validations!$U$2:$U$100, ISNUMBER(SEARCH(Validations!$U$2:$U$100, AI231))))"),"Minutes")</f>
        <v>Minutes</v>
      </c>
      <c r="AM231" s="24" t="b">
        <f t="shared" si="1"/>
        <v>0</v>
      </c>
      <c r="AN231" s="24" t="b">
        <v>1</v>
      </c>
      <c r="AO231" s="22" t="s">
        <v>71</v>
      </c>
      <c r="AP231" s="12" t="str">
        <f>IFERROR(__xludf.DUMMYFUNCTION("IF(TEXTJOIN("", "", TRUE, FILTER(Validations!$Q$2:$Q$100, ISNUMBER(SEARCH(Validations!$Q$2:$Q$100, AO231)))) = """", Validations!$Q$2, TEXTJOIN("", "", TRUE, FILTER(Validations!$Q$2:$Q$100, ISNUMBER(SEARCH(Validations!$Q$2:$Q$100, AO231)))))"),"Point")</f>
        <v>Point</v>
      </c>
      <c r="AQ231" s="12" t="str">
        <f>IFERROR(__xludf.DUMMYFUNCTION("IFERROR(VALUE(REGEXEXTRACT(AO231, ""\d+"")), """")"),"")</f>
        <v/>
      </c>
      <c r="AR231" s="12" t="str">
        <f>IFERROR(__xludf.DUMMYFUNCTION("TEXTJOIN("", "", TRUE, FILTER(Validations!$R$2:$R$100, ISNUMBER(SEARCH(Validations!$R$2:$R$100, AO231))))"),"Touch")</f>
        <v>Touch</v>
      </c>
      <c r="AS231" s="27"/>
      <c r="AT231" s="12" t="str">
        <f>IFERROR(__xludf.DUMMYFUNCTION("IFERROR(TEXTJOIN("", "", TRUE, FILTER(Validations!$I$2:$I$100, ISNUMBER(SEARCH(Validations!$I$2:$I$100, AS231)))), """")"),"")</f>
        <v/>
      </c>
      <c r="AU231" s="16" t="str">
        <f t="array" ref="AU231">IFERROR(INDEX(Validations!$J$2:$J$100, MATCH(TRUE, ISNUMBER(SEARCH(Validations!$I$2:$I$100, AT231)), 0)), "")</f>
        <v/>
      </c>
      <c r="AV231" s="12" t="str">
        <f>IFERROR(__xludf.DUMMYFUNCTION("IFERROR(VALUE(REGEXEXTRACT(AS231, ""\d+"")), """")"),"")</f>
        <v/>
      </c>
      <c r="AW231" s="12" t="str">
        <f>IFERROR(__xludf.DUMMYFUNCTION("IFERROR(TEXTJOIN("", "", TRUE, FILTER(Validations!$Q$2:$Q$100, ISNUMBER(SEARCH(Validations!$Q$2:$Q$100, AS231)))), """")"),"")</f>
        <v/>
      </c>
      <c r="AX231" s="28" t="s">
        <v>152</v>
      </c>
      <c r="AY231" s="28" t="str">
        <f>IFERROR(__xludf.DUMMYFUNCTION("TEXTJOIN("", "", TRUE, FILTER(Validations!$Y$2:$Y$100, ISNUMBER(SEARCH(Validations!$X$2:$X$100, AX231))))"),"V, S, R")</f>
        <v>V, S, R</v>
      </c>
      <c r="AZ231" s="20" t="s">
        <v>1110</v>
      </c>
      <c r="BA231" s="22"/>
      <c r="BB231" s="22"/>
      <c r="BC231" s="22"/>
      <c r="BD231" s="22"/>
      <c r="BE231" s="27"/>
      <c r="BF231" s="22"/>
      <c r="BG231" s="27"/>
      <c r="BH231" s="27"/>
      <c r="BI231" s="12" t="str">
        <f>IFERROR(__xludf.DUMMYFUNCTION("IFERROR(TEXTJOIN("", "", TRUE, FILTER(SRD!$A$2:$A$1000, EXACT(SRD!$A$2:$A$1000, J231))), """")"),"")</f>
        <v/>
      </c>
      <c r="BJ231" s="29"/>
      <c r="BK231" s="29"/>
    </row>
    <row r="232" ht="15.75" customHeight="1">
      <c r="A232" s="11" t="s">
        <v>1111</v>
      </c>
      <c r="B232" s="12"/>
      <c r="C232" s="16"/>
      <c r="D232" s="16" t="s">
        <v>1112</v>
      </c>
      <c r="E232" s="16"/>
      <c r="F232" s="32" t="s">
        <v>506</v>
      </c>
      <c r="G232" s="15" t="s">
        <v>945</v>
      </c>
      <c r="H232" s="16" t="s">
        <v>178</v>
      </c>
      <c r="I232" s="16" t="str">
        <f t="array" ref="I232">INDEX(Validations!$C$2:$C$100, MATCH(TRUE, ISNUMBER(SEARCH(Validations!$B$2:$B$100, H232)), 0))</f>
        <v>A</v>
      </c>
      <c r="J232" s="17" t="s">
        <v>1113</v>
      </c>
      <c r="K232" s="18"/>
      <c r="L232" s="17"/>
      <c r="M232" s="17"/>
      <c r="N232" s="27"/>
      <c r="O232" s="17" t="s">
        <v>1114</v>
      </c>
      <c r="P232" s="21"/>
      <c r="Q232" s="21"/>
      <c r="R232" s="22"/>
      <c r="S232" s="17" t="str">
        <f>IFERROR(__xludf.DUMMYFUNCTION("IFERROR(REGEXEXTRACT(J232, ""(\d{1,3}[dD]\d{1,3})""), """")"),"")</f>
        <v/>
      </c>
      <c r="T232" s="17" t="str">
        <f>IFERROR(__xludf.DUMMYFUNCTION("IF(COUNTIF(ARRAYFORMULA(LOWER(Validations!$O$2:$O$100)), LOWER(REGEXEXTRACT(J232, ""\d{1,3}[dD]\d{1,3}\s+(\w+)"")))&gt;0, REGEXEXTRACT(J232, ""\d{1,3}[dD]\d{1,3}\s+(\w+)""), """")"),"")</f>
        <v/>
      </c>
      <c r="U232" s="17" t="str">
        <f>IFERROR(__xludf.DUMMYFUNCTION("IF(COUNTIF(ARRAYFORMULA(LOWER(Validations!$P$2:$P$100)), LOWER(REGEXEXTRACT(J232, ""\d{1,3}[dD]\d{1,3}\s+(\w+)"")))&gt;0, REGEXEXTRACT(J232, ""\d{1,3}[dD]\d{1,3}\s+(\w+)""), """")"),"")</f>
        <v/>
      </c>
      <c r="V232" s="12" t="str">
        <f>IFERROR(__xludf.DUMMYFUNCTION("TEXTJOIN("", "", TRUE, FILTER(Validations!$L$2:$L$100, ISNUMBER(SEARCH(Validations!$L$2:$L$100, J232))))"),"Charmed")</f>
        <v>Charmed</v>
      </c>
      <c r="W232" s="12" t="str">
        <f>IFERROR(__xludf.DUMMYFUNCTION("IFERROR(TEXTJOIN("", "", TRUE, FILTER(Validations!$M$2:$M$100, ISNUMBER(SEARCH(Validations!$M$2:$M$100 &amp; "" saving throw"", J232)))), """")"),"")</f>
        <v/>
      </c>
      <c r="X232" s="12"/>
      <c r="Y232" s="12"/>
      <c r="Z232" s="12" t="str">
        <f>IFERROR(__xludf.DUMMYFUNCTION("IFERROR(TEXTJOIN("", "", TRUE, FILTER(Validations!$N$2:$N$100, ISNUMBER(SEARCH(Validations!$N$2:$N$100 &amp; "" check"", J232)))), """")"),"")</f>
        <v/>
      </c>
      <c r="AA232" s="12" t="str">
        <f>IFERROR(__xludf.DUMMYFUNCTION("IFERROR(TEXTJOIN("", "", TRUE, FILTER(Validations!$N$2:$N$100, ISNUMBER(SEARCH(Validations!$N$2:$N$100 &amp; "" check"", W232)))), """")"),"")</f>
        <v/>
      </c>
      <c r="AB232" s="23" t="str">
        <f>IFERROR(__xludf.DUMMYFUNCTION("IFERROR(CONCATENATE(IF(ISNUMBER(SEARCH(Validations!$M$2:$M$100 &amp; "" spell save"", J232)),""Spell Save"",""""), REGEXEXTRACT(J232, ""DC (\d+)"")), """")"),"")</f>
        <v/>
      </c>
      <c r="AC232" s="24" t="b">
        <v>0</v>
      </c>
      <c r="AD232" s="24" t="b">
        <v>0</v>
      </c>
      <c r="AE232" s="36" t="s">
        <v>69</v>
      </c>
      <c r="AF232" s="25">
        <f>IFERROR(__xludf.DUMMYFUNCTION("IFERROR(VALUE(REGEXEXTRACT(AE232, ""\d+"")), 1)"),1.0)</f>
        <v>1</v>
      </c>
      <c r="AG232" s="12" t="str">
        <f>IFERROR(__xludf.DUMMYFUNCTION("IF(
  ISNUMBER(SEARCH(""Bonus Action"", AE232)),
  ""Bonus Action"",
  IF(
    ISNUMBER(SEARCH(""Reaction"", AE232)),
    ""Reaction"",
    IF(
      ISNUMBER(SEARCH(""Action"", AE232)),
      ""Action"",
      TEXTJOIN("", "", TRUE, FILTER(Validations!$S"&amp;"$2:$S$100, ISNUMBER(SEARCH(Validations!$S$2:$S$100, AE232))))
    )
  )
)"),"Action")</f>
        <v>Action</v>
      </c>
      <c r="AH232" s="36"/>
      <c r="AI232" s="20" t="s">
        <v>1115</v>
      </c>
      <c r="AJ232" s="26" t="str">
        <f>IFERROR(__xludf.DUMMYFUNCTION("TEXTJOIN("", "", TRUE, FILTER(Validations!$T$2:$T$100, ISNUMBER(SEARCH(Validations!$T$2:$T$100, AI232))))"),"")</f>
        <v/>
      </c>
      <c r="AK232" s="26">
        <f>IFERROR(__xludf.DUMMYFUNCTION("IFERROR(VALUE(REGEXEXTRACT(AI232, ""\d+"")), """")"),1.0)</f>
        <v>1</v>
      </c>
      <c r="AL232" s="26" t="str">
        <f>IFERROR(__xludf.DUMMYFUNCTION("TEXTJOIN("", "", TRUE, FILTER(Validations!$U$2:$U$100, ISNUMBER(SEARCH(Validations!$U$2:$U$100, AI232))))"),"Hours")</f>
        <v>Hours</v>
      </c>
      <c r="AM232" s="24" t="b">
        <f t="shared" si="1"/>
        <v>0</v>
      </c>
      <c r="AN232" s="24" t="b">
        <v>0</v>
      </c>
      <c r="AO232" s="22" t="s">
        <v>71</v>
      </c>
      <c r="AP232" s="12" t="str">
        <f>IFERROR(__xludf.DUMMYFUNCTION("IF(TEXTJOIN("", "", TRUE, FILTER(Validations!$Q$2:$Q$100, ISNUMBER(SEARCH(Validations!$Q$2:$Q$100, AO232)))) = """", Validations!$Q$2, TEXTJOIN("", "", TRUE, FILTER(Validations!$Q$2:$Q$100, ISNUMBER(SEARCH(Validations!$Q$2:$Q$100, AO232)))))"),"Point")</f>
        <v>Point</v>
      </c>
      <c r="AQ232" s="12" t="str">
        <f>IFERROR(__xludf.DUMMYFUNCTION("IFERROR(VALUE(REGEXEXTRACT(AO232, ""\d+"")), """")"),"")</f>
        <v/>
      </c>
      <c r="AR232" s="12" t="str">
        <f>IFERROR(__xludf.DUMMYFUNCTION("TEXTJOIN("", "", TRUE, FILTER(Validations!$R$2:$R$100, ISNUMBER(SEARCH(Validations!$R$2:$R$100, AO232))))"),"Touch")</f>
        <v>Touch</v>
      </c>
      <c r="AS232" s="27"/>
      <c r="AT232" s="12" t="str">
        <f>IFERROR(__xludf.DUMMYFUNCTION("IFERROR(TEXTJOIN("", "", TRUE, FILTER(Validations!$I$2:$I$100, ISNUMBER(SEARCH(Validations!$I$2:$I$100, AS232)))), """")"),"")</f>
        <v/>
      </c>
      <c r="AU232" s="16" t="str">
        <f t="array" ref="AU232">IFERROR(INDEX(Validations!$J$2:$J$100, MATCH(TRUE, ISNUMBER(SEARCH(Validations!$I$2:$I$100, AT232)), 0)), "")</f>
        <v/>
      </c>
      <c r="AV232" s="12" t="str">
        <f>IFERROR(__xludf.DUMMYFUNCTION("IFERROR(VALUE(REGEXEXTRACT(AS232, ""\d+"")), """")"),"")</f>
        <v/>
      </c>
      <c r="AW232" s="12" t="str">
        <f>IFERROR(__xludf.DUMMYFUNCTION("IFERROR(TEXTJOIN("", "", TRUE, FILTER(Validations!$Q$2:$Q$100, ISNUMBER(SEARCH(Validations!$Q$2:$Q$100, AS232)))), """")"),"")</f>
        <v/>
      </c>
      <c r="AX232" s="28" t="s">
        <v>142</v>
      </c>
      <c r="AY232" s="28" t="str">
        <f>IFERROR(__xludf.DUMMYFUNCTION("TEXTJOIN("", "", TRUE, FILTER(Validations!$Y$2:$Y$100, ISNUMBER(SEARCH(Validations!$X$2:$X$100, AX232))))"),"V, S")</f>
        <v>V, S</v>
      </c>
      <c r="AZ232" s="27"/>
      <c r="BA232" s="22"/>
      <c r="BB232" s="22"/>
      <c r="BC232" s="22"/>
      <c r="BD232" s="22"/>
      <c r="BE232" s="27"/>
      <c r="BF232" s="22"/>
      <c r="BG232" s="27"/>
      <c r="BH232" s="27"/>
      <c r="BI232" s="12" t="str">
        <f>IFERROR(__xludf.DUMMYFUNCTION("IFERROR(TEXTJOIN("", "", TRUE, FILTER(SRD!$A$2:$A$1000, EXACT(SRD!$A$2:$A$1000, J232))), """")"),"")</f>
        <v/>
      </c>
      <c r="BJ232" s="29"/>
      <c r="BK232" s="29"/>
    </row>
    <row r="233" ht="15.75" customHeight="1">
      <c r="A233" s="30" t="s">
        <v>1116</v>
      </c>
      <c r="B233" s="22"/>
      <c r="C233" s="16"/>
      <c r="D233" s="16" t="s">
        <v>784</v>
      </c>
      <c r="E233" s="16"/>
      <c r="F233" s="32" t="s">
        <v>108</v>
      </c>
      <c r="G233" s="50" t="s">
        <v>945</v>
      </c>
      <c r="H233" s="16" t="s">
        <v>144</v>
      </c>
      <c r="I233" s="16" t="str">
        <f t="array" ref="I233">INDEX(Validations!$C$2:$C$100, MATCH(TRUE, ISNUMBER(SEARCH(Validations!$B$2:$B$100, H233)), 0))</f>
        <v>D</v>
      </c>
      <c r="J233" s="17" t="s">
        <v>1117</v>
      </c>
      <c r="K233" s="18"/>
      <c r="L233" s="17"/>
      <c r="M233" s="17"/>
      <c r="N233" s="27"/>
      <c r="O233" s="17"/>
      <c r="P233" s="21"/>
      <c r="Q233" s="21"/>
      <c r="R233" s="22"/>
      <c r="S233" s="17" t="str">
        <f>IFERROR(__xludf.DUMMYFUNCTION("IFERROR(REGEXEXTRACT(J233, ""(\d{1,3}[dD]\d{1,3})""), """")"),"")</f>
        <v/>
      </c>
      <c r="T233" s="17" t="str">
        <f>IFERROR(__xludf.DUMMYFUNCTION("IF(COUNTIF(ARRAYFORMULA(LOWER(Validations!$O$2:$O$100)), LOWER(REGEXEXTRACT(J233, ""\d{1,3}[dD]\d{1,3}\s+(\w+)"")))&gt;0, REGEXEXTRACT(J233, ""\d{1,3}[dD]\d{1,3}\s+(\w+)""), """")"),"")</f>
        <v/>
      </c>
      <c r="U233" s="17" t="str">
        <f>IFERROR(__xludf.DUMMYFUNCTION("IF(COUNTIF(ARRAYFORMULA(LOWER(Validations!$P$2:$P$100)), LOWER(REGEXEXTRACT(J233, ""\d{1,3}[dD]\d{1,3}\s+(\w+)"")))&gt;0, REGEXEXTRACT(J233, ""\d{1,3}[dD]\d{1,3}\s+(\w+)""), """")"),"")</f>
        <v/>
      </c>
      <c r="V233" s="12" t="str">
        <f>IFERROR(__xludf.DUMMYFUNCTION("TEXTJOIN("", "", TRUE, FILTER(Validations!$L$2:$L$100, ISNUMBER(SEARCH(Validations!$L$2:$L$100, J233))))"),"Compelled, Paranoid, Blinded, Charmed, Aroused, Frightened, Poisoned, Stunned")</f>
        <v>Compelled, Paranoid, Blinded, Charmed, Aroused, Frightened, Poisoned, Stunned</v>
      </c>
      <c r="W233" s="12" t="str">
        <f>IFERROR(__xludf.DUMMYFUNCTION("IFERROR(TEXTJOIN("", "", TRUE, FILTER(Validations!$M$2:$M$100, ISNUMBER(SEARCH(Validations!$M$2:$M$100 &amp; "" saving throw"", J233)))), """")"),"")</f>
        <v/>
      </c>
      <c r="X233" s="12"/>
      <c r="Y233" s="12"/>
      <c r="Z233" s="12" t="str">
        <f>IFERROR(__xludf.DUMMYFUNCTION("IFERROR(TEXTJOIN("", "", TRUE, FILTER(Validations!$N$2:$N$100, ISNUMBER(SEARCH(Validations!$N$2:$N$100 &amp; "" check"", J233)))), """")"),"")</f>
        <v/>
      </c>
      <c r="AA233" s="12" t="str">
        <f>IFERROR(__xludf.DUMMYFUNCTION("IFERROR(TEXTJOIN("", "", TRUE, FILTER(Validations!$N$2:$N$100, ISNUMBER(SEARCH(Validations!$N$2:$N$100 &amp; "" check"", W233)))), """")"),"")</f>
        <v/>
      </c>
      <c r="AB233" s="23" t="str">
        <f>IFERROR(__xludf.DUMMYFUNCTION("IFERROR(CONCATENATE(IF(ISNUMBER(SEARCH(Validations!$M$2:$M$100 &amp; "" spell save"", J233)),""Spell Save"",""""), REGEXEXTRACT(J233, ""DC (\d+)"")), """")"),"")</f>
        <v/>
      </c>
      <c r="AC233" s="24" t="b">
        <v>0</v>
      </c>
      <c r="AD233" s="24" t="b">
        <v>0</v>
      </c>
      <c r="AE233" s="36" t="s">
        <v>69</v>
      </c>
      <c r="AF233" s="25">
        <f>IFERROR(__xludf.DUMMYFUNCTION("IFERROR(VALUE(REGEXEXTRACT(AE233, ""\d+"")), 1)"),1.0)</f>
        <v>1</v>
      </c>
      <c r="AG233" s="12" t="str">
        <f>IFERROR(__xludf.DUMMYFUNCTION("IF(
  ISNUMBER(SEARCH(""Bonus Action"", AE233)),
  ""Bonus Action"",
  IF(
    ISNUMBER(SEARCH(""Reaction"", AE233)),
    ""Reaction"",
    IF(
      ISNUMBER(SEARCH(""Action"", AE233)),
      ""Action"",
      TEXTJOIN("", "", TRUE, FILTER(Validations!$S"&amp;"$2:$S$100, ISNUMBER(SEARCH(Validations!$S$2:$S$100, AE233))))
    )
  )
)"),"Action")</f>
        <v>Action</v>
      </c>
      <c r="AH233" s="36"/>
      <c r="AI233" s="27" t="s">
        <v>70</v>
      </c>
      <c r="AJ233" s="26" t="str">
        <f>IFERROR(__xludf.DUMMYFUNCTION("TEXTJOIN("", "", TRUE, FILTER(Validations!$T$2:$T$100, ISNUMBER(SEARCH(Validations!$T$2:$T$100, AI233))))"),"Instantaneous")</f>
        <v>Instantaneous</v>
      </c>
      <c r="AK233" s="26" t="str">
        <f>IFERROR(__xludf.DUMMYFUNCTION("IFERROR(VALUE(REGEXEXTRACT(AI233, ""\d+"")), """")"),"")</f>
        <v/>
      </c>
      <c r="AL233" s="26" t="str">
        <f>IFERROR(__xludf.DUMMYFUNCTION("TEXTJOIN("", "", TRUE, FILTER(Validations!$U$2:$U$100, ISNUMBER(SEARCH(Validations!$U$2:$U$100, AI233))))"),"")</f>
        <v/>
      </c>
      <c r="AM233" s="24" t="b">
        <f t="shared" si="1"/>
        <v>0</v>
      </c>
      <c r="AN233" s="24" t="b">
        <v>0</v>
      </c>
      <c r="AO233" s="22" t="s">
        <v>71</v>
      </c>
      <c r="AP233" s="12" t="str">
        <f>IFERROR(__xludf.DUMMYFUNCTION("IF(TEXTJOIN("", "", TRUE, FILTER(Validations!$Q$2:$Q$100, ISNUMBER(SEARCH(Validations!$Q$2:$Q$100, AO233)))) = """", Validations!$Q$2, TEXTJOIN("", "", TRUE, FILTER(Validations!$Q$2:$Q$100, ISNUMBER(SEARCH(Validations!$Q$2:$Q$100, AO233)))))"),"Point")</f>
        <v>Point</v>
      </c>
      <c r="AQ233" s="12" t="str">
        <f>IFERROR(__xludf.DUMMYFUNCTION("IFERROR(VALUE(REGEXEXTRACT(AO233, ""\d+"")), """")"),"")</f>
        <v/>
      </c>
      <c r="AR233" s="12" t="str">
        <f>IFERROR(__xludf.DUMMYFUNCTION("TEXTJOIN("", "", TRUE, FILTER(Validations!$R$2:$R$100, ISNUMBER(SEARCH(Validations!$R$2:$R$100, AO233))))"),"Touch")</f>
        <v>Touch</v>
      </c>
      <c r="AS233" s="27"/>
      <c r="AT233" s="12" t="str">
        <f>IFERROR(__xludf.DUMMYFUNCTION("IFERROR(TEXTJOIN("", "", TRUE, FILTER(Validations!$I$2:$I$100, ISNUMBER(SEARCH(Validations!$I$2:$I$100, AS233)))), """")"),"")</f>
        <v/>
      </c>
      <c r="AU233" s="16" t="str">
        <f t="array" ref="AU233">IFERROR(INDEX(Validations!$J$2:$J$100, MATCH(TRUE, ISNUMBER(SEARCH(Validations!$I$2:$I$100, AT233)), 0)), "")</f>
        <v/>
      </c>
      <c r="AV233" s="12" t="str">
        <f>IFERROR(__xludf.DUMMYFUNCTION("IFERROR(VALUE(REGEXEXTRACT(AS233, ""\d+"")), """")"),"")</f>
        <v/>
      </c>
      <c r="AW233" s="12" t="str">
        <f>IFERROR(__xludf.DUMMYFUNCTION("IFERROR(TEXTJOIN("", "", TRUE, FILTER(Validations!$Q$2:$Q$100, ISNUMBER(SEARCH(Validations!$Q$2:$Q$100, AS233)))), """")"),"")</f>
        <v/>
      </c>
      <c r="AX233" s="28" t="s">
        <v>152</v>
      </c>
      <c r="AY233" s="28" t="str">
        <f>IFERROR(__xludf.DUMMYFUNCTION("TEXTJOIN("", "", TRUE, FILTER(Validations!$Y$2:$Y$100, ISNUMBER(SEARCH(Validations!$X$2:$X$100, AX233))))"),"V, S, R")</f>
        <v>V, S, R</v>
      </c>
      <c r="AZ233" s="20" t="s">
        <v>1118</v>
      </c>
      <c r="BA233" s="22"/>
      <c r="BB233" s="22"/>
      <c r="BC233" s="22"/>
      <c r="BD233" s="22"/>
      <c r="BE233" s="27"/>
      <c r="BF233" s="22"/>
      <c r="BG233" s="27"/>
      <c r="BH233" s="27"/>
      <c r="BI233" s="12" t="str">
        <f>IFERROR(__xludf.DUMMYFUNCTION("IFERROR(TEXTJOIN("", "", TRUE, FILTER(SRD!$A$2:$A$1000, EXACT(SRD!$A$2:$A$1000, J233))), """")"),"")</f>
        <v/>
      </c>
      <c r="BJ233" s="29"/>
      <c r="BK233" s="29"/>
    </row>
    <row r="234" ht="15.75" customHeight="1">
      <c r="A234" s="30" t="s">
        <v>1119</v>
      </c>
      <c r="B234" s="22"/>
      <c r="C234" s="16"/>
      <c r="D234" s="16" t="s">
        <v>1120</v>
      </c>
      <c r="E234" s="16"/>
      <c r="F234" s="32" t="s">
        <v>97</v>
      </c>
      <c r="G234" s="50" t="s">
        <v>945</v>
      </c>
      <c r="H234" s="16" t="s">
        <v>103</v>
      </c>
      <c r="I234" s="16" t="str">
        <f t="array" ref="I234">INDEX(Validations!$C$2:$C$100, MATCH(TRUE, ISNUMBER(SEARCH(Validations!$B$2:$B$100, H234)), 0))</f>
        <v>C</v>
      </c>
      <c r="J234" s="17" t="s">
        <v>1121</v>
      </c>
      <c r="K234" s="18"/>
      <c r="L234" s="17"/>
      <c r="M234" s="17"/>
      <c r="N234" s="27"/>
      <c r="O234" s="17"/>
      <c r="P234" s="21"/>
      <c r="Q234" s="21"/>
      <c r="R234" s="22"/>
      <c r="S234" s="17" t="str">
        <f>IFERROR(__xludf.DUMMYFUNCTION("IFERROR(REGEXEXTRACT(J234, ""(\d{1,3}[dD]\d{1,3})""), """")"),"")</f>
        <v/>
      </c>
      <c r="T234" s="17" t="str">
        <f>IFERROR(__xludf.DUMMYFUNCTION("IF(COUNTIF(ARRAYFORMULA(LOWER(Validations!$O$2:$O$100)), LOWER(REGEXEXTRACT(J234, ""\d{1,3}[dD]\d{1,3}\s+(\w+)"")))&gt;0, REGEXEXTRACT(J234, ""\d{1,3}[dD]\d{1,3}\s+(\w+)""), """")"),"")</f>
        <v/>
      </c>
      <c r="U234" s="17" t="str">
        <f>IFERROR(__xludf.DUMMYFUNCTION("IF(COUNTIF(ARRAYFORMULA(LOWER(Validations!$P$2:$P$100)), LOWER(REGEXEXTRACT(J234, ""\d{1,3}[dD]\d{1,3}\s+(\w+)"")))&gt;0, REGEXEXTRACT(J234, ""\d{1,3}[dD]\d{1,3}\s+(\w+)""), """")"),"")</f>
        <v/>
      </c>
      <c r="V234" s="12" t="str">
        <f>IFERROR(__xludf.DUMMYFUNCTION("TEXTJOIN("", "", TRUE, FILTER(Validations!$L$2:$L$100, ISNUMBER(SEARCH(Validations!$L$2:$L$100, J234))))"),"")</f>
        <v/>
      </c>
      <c r="W234" s="12" t="str">
        <f>IFERROR(__xludf.DUMMYFUNCTION("IFERROR(TEXTJOIN("", "", TRUE, FILTER(Validations!$M$2:$M$100, ISNUMBER(SEARCH(Validations!$M$2:$M$100 &amp; "" saving throw"", J234)))), """")"),"")</f>
        <v/>
      </c>
      <c r="X234" s="12"/>
      <c r="Y234" s="12"/>
      <c r="Z234" s="12" t="str">
        <f>IFERROR(__xludf.DUMMYFUNCTION("IFERROR(TEXTJOIN("", "", TRUE, FILTER(Validations!$N$2:$N$100, ISNUMBER(SEARCH(Validations!$N$2:$N$100 &amp; "" check"", J234)))), """")"),"")</f>
        <v/>
      </c>
      <c r="AA234" s="12" t="str">
        <f>IFERROR(__xludf.DUMMYFUNCTION("IFERROR(TEXTJOIN("", "", TRUE, FILTER(Validations!$N$2:$N$100, ISNUMBER(SEARCH(Validations!$N$2:$N$100 &amp; "" check"", W234)))), """")"),"")</f>
        <v/>
      </c>
      <c r="AB234" s="23" t="str">
        <f>IFERROR(__xludf.DUMMYFUNCTION("IFERROR(CONCATENATE(IF(ISNUMBER(SEARCH(Validations!$M$2:$M$100 &amp; "" spell save"", J234)),""Spell Save"",""""), REGEXEXTRACT(J234, ""DC (\d+)"")), """")"),"")</f>
        <v/>
      </c>
      <c r="AC234" s="24" t="b">
        <v>0</v>
      </c>
      <c r="AD234" s="24" t="b">
        <v>0</v>
      </c>
      <c r="AE234" s="36" t="s">
        <v>134</v>
      </c>
      <c r="AF234" s="25">
        <f>IFERROR(__xludf.DUMMYFUNCTION("IFERROR(VALUE(REGEXEXTRACT(AE234, ""\d+"")), 1)"),10.0)</f>
        <v>10</v>
      </c>
      <c r="AG234" s="12" t="str">
        <f>IFERROR(__xludf.DUMMYFUNCTION("IF(
  ISNUMBER(SEARCH(""Bonus Action"", AE234)),
  ""Bonus Action"",
  IF(
    ISNUMBER(SEARCH(""Reaction"", AE234)),
    ""Reaction"",
    IF(
      ISNUMBER(SEARCH(""Action"", AE234)),
      ""Action"",
      TEXTJOIN("", "", TRUE, FILTER(Validations!$S"&amp;"$2:$S$100, ISNUMBER(SEARCH(Validations!$S$2:$S$100, AE234))))
    )
  )
)"),"Minutes")</f>
        <v>Minutes</v>
      </c>
      <c r="AH234" s="22"/>
      <c r="AI234" s="20" t="s">
        <v>1008</v>
      </c>
      <c r="AJ234" s="26" t="str">
        <f>IFERROR(__xludf.DUMMYFUNCTION("TEXTJOIN("", "", TRUE, FILTER(Validations!$T$2:$T$100, ISNUMBER(SEARCH(Validations!$T$2:$T$100, AI234))))"),"")</f>
        <v/>
      </c>
      <c r="AK234" s="26">
        <f>IFERROR(__xludf.DUMMYFUNCTION("IFERROR(VALUE(REGEXEXTRACT(AI234, ""\d+"")), """")"),8.0)</f>
        <v>8</v>
      </c>
      <c r="AL234" s="26" t="str">
        <f>IFERROR(__xludf.DUMMYFUNCTION("TEXTJOIN("", "", TRUE, FILTER(Validations!$U$2:$U$100, ISNUMBER(SEARCH(Validations!$U$2:$U$100, AI234))))"),"Hours")</f>
        <v>Hours</v>
      </c>
      <c r="AM234" s="24" t="b">
        <f t="shared" si="1"/>
        <v>0</v>
      </c>
      <c r="AN234" s="24" t="b">
        <v>0</v>
      </c>
      <c r="AO234" s="22" t="s">
        <v>112</v>
      </c>
      <c r="AP234" s="12" t="str">
        <f>IFERROR(__xludf.DUMMYFUNCTION("IF(TEXTJOIN("", "", TRUE, FILTER(Validations!$Q$2:$Q$100, ISNUMBER(SEARCH(Validations!$Q$2:$Q$100, AO234)))) = """", Validations!$Q$2, TEXTJOIN("", "", TRUE, FILTER(Validations!$Q$2:$Q$100, ISNUMBER(SEARCH(Validations!$Q$2:$Q$100, AO234)))))"),"Point")</f>
        <v>Point</v>
      </c>
      <c r="AQ234" s="12">
        <f>IFERROR(__xludf.DUMMYFUNCTION("IFERROR(VALUE(REGEXEXTRACT(AO234, ""\d+"")), """")"),30.0)</f>
        <v>30</v>
      </c>
      <c r="AR234" s="12" t="str">
        <f>IFERROR(__xludf.DUMMYFUNCTION("TEXTJOIN("", "", TRUE, FILTER(Validations!$R$2:$R$100, ISNUMBER(SEARCH(Validations!$R$2:$R$100, AO234))))"),"Feet")</f>
        <v>Feet</v>
      </c>
      <c r="AS234" s="27"/>
      <c r="AT234" s="12" t="str">
        <f>IFERROR(__xludf.DUMMYFUNCTION("IFERROR(TEXTJOIN("", "", TRUE, FILTER(Validations!$I$2:$I$100, ISNUMBER(SEARCH(Validations!$I$2:$I$100, AS234)))), """")"),"")</f>
        <v/>
      </c>
      <c r="AU234" s="16" t="str">
        <f t="array" ref="AU234">IFERROR(INDEX(Validations!$J$2:$J$100, MATCH(TRUE, ISNUMBER(SEARCH(Validations!$I$2:$I$100, AT234)), 0)), "")</f>
        <v/>
      </c>
      <c r="AV234" s="12" t="str">
        <f>IFERROR(__xludf.DUMMYFUNCTION("IFERROR(VALUE(REGEXEXTRACT(AS234, ""\d+"")), """")"),"")</f>
        <v/>
      </c>
      <c r="AW234" s="12" t="str">
        <f>IFERROR(__xludf.DUMMYFUNCTION("IFERROR(TEXTJOIN("", "", TRUE, FILTER(Validations!$Q$2:$Q$100, ISNUMBER(SEARCH(Validations!$Q$2:$Q$100, AS234)))), """")"),"")</f>
        <v/>
      </c>
      <c r="AX234" s="28" t="s">
        <v>152</v>
      </c>
      <c r="AY234" s="28" t="str">
        <f>IFERROR(__xludf.DUMMYFUNCTION("TEXTJOIN("", "", TRUE, FILTER(Validations!$Y$2:$Y$100, ISNUMBER(SEARCH(Validations!$X$2:$X$100, AX234))))"),"V, S, R")</f>
        <v>V, S, R</v>
      </c>
      <c r="AZ234" s="20" t="s">
        <v>1122</v>
      </c>
      <c r="BA234" s="22"/>
      <c r="BB234" s="22"/>
      <c r="BC234" s="22"/>
      <c r="BD234" s="22"/>
      <c r="BE234" s="27"/>
      <c r="BF234" s="22"/>
      <c r="BG234" s="27"/>
      <c r="BH234" s="27"/>
      <c r="BI234" s="12" t="str">
        <f>IFERROR(__xludf.DUMMYFUNCTION("IFERROR(TEXTJOIN("", "", TRUE, FILTER(SRD!$A$2:$A$1000, EXACT(SRD!$A$2:$A$1000, J234))), """")"),"")</f>
        <v/>
      </c>
      <c r="BJ234" s="29"/>
      <c r="BK234" s="29"/>
    </row>
    <row r="235" ht="15.75" customHeight="1">
      <c r="A235" s="30" t="s">
        <v>1123</v>
      </c>
      <c r="B235" s="22"/>
      <c r="C235" s="16"/>
      <c r="D235" s="16" t="s">
        <v>345</v>
      </c>
      <c r="E235" s="16"/>
      <c r="F235" s="32" t="s">
        <v>796</v>
      </c>
      <c r="G235" s="50" t="s">
        <v>945</v>
      </c>
      <c r="H235" s="31" t="s">
        <v>183</v>
      </c>
      <c r="I235" s="16" t="str">
        <f t="array" ref="I235">INDEX(Validations!$C$2:$C$100, MATCH(TRUE, ISNUMBER(SEARCH(Validations!$B$2:$B$100, H235)), 0))</f>
        <v>E</v>
      </c>
      <c r="J235" s="17" t="s">
        <v>1124</v>
      </c>
      <c r="K235" s="18"/>
      <c r="L235" s="17"/>
      <c r="M235" s="17"/>
      <c r="N235" s="27"/>
      <c r="O235" s="17"/>
      <c r="P235" s="21"/>
      <c r="Q235" s="21"/>
      <c r="R235" s="22"/>
      <c r="S235" s="17" t="str">
        <f>IFERROR(__xludf.DUMMYFUNCTION("IFERROR(REGEXEXTRACT(J235, ""(\d{1,3}[dD]\d{1,3})""), """")"),"")</f>
        <v/>
      </c>
      <c r="T235" s="17" t="str">
        <f>IFERROR(__xludf.DUMMYFUNCTION("IF(COUNTIF(ARRAYFORMULA(LOWER(Validations!$O$2:$O$100)), LOWER(REGEXEXTRACT(J235, ""\d{1,3}[dD]\d{1,3}\s+(\w+)"")))&gt;0, REGEXEXTRACT(J235, ""\d{1,3}[dD]\d{1,3}\s+(\w+)""), """")"),"")</f>
        <v/>
      </c>
      <c r="U235" s="17" t="str">
        <f>IFERROR(__xludf.DUMMYFUNCTION("IF(COUNTIF(ARRAYFORMULA(LOWER(Validations!$P$2:$P$100)), LOWER(REGEXEXTRACT(J235, ""\d{1,3}[dD]\d{1,3}\s+(\w+)"")))&gt;0, REGEXEXTRACT(J235, ""\d{1,3}[dD]\d{1,3}\s+(\w+)""), """")"),"")</f>
        <v/>
      </c>
      <c r="V235" s="12" t="str">
        <f>IFERROR(__xludf.DUMMYFUNCTION("TEXTJOIN("", "", TRUE, FILTER(Validations!$L$2:$L$100, ISNUMBER(SEARCH(Validations!$L$2:$L$100, J235))))"),"")</f>
        <v/>
      </c>
      <c r="W235" s="12" t="str">
        <f>IFERROR(__xludf.DUMMYFUNCTION("IFERROR(TEXTJOIN("", "", TRUE, FILTER(Validations!$M$2:$M$100, ISNUMBER(SEARCH(Validations!$M$2:$M$100 &amp; "" saving throw"", J235)))), """")"),"Wisdom")</f>
        <v>Wisdom</v>
      </c>
      <c r="X235" s="12"/>
      <c r="Y235" s="12"/>
      <c r="Z235" s="12" t="str">
        <f>IFERROR(__xludf.DUMMYFUNCTION("IFERROR(TEXTJOIN("", "", TRUE, FILTER(Validations!$N$2:$N$100, ISNUMBER(SEARCH(Validations!$N$2:$N$100 &amp; "" check"", J235)))), """")"),"")</f>
        <v/>
      </c>
      <c r="AA235" s="12" t="str">
        <f>IFERROR(__xludf.DUMMYFUNCTION("IFERROR(TEXTJOIN("", "", TRUE, FILTER(Validations!$N$2:$N$100, ISNUMBER(SEARCH(Validations!$N$2:$N$100 &amp; "" check"", W235)))), """")"),"")</f>
        <v/>
      </c>
      <c r="AB235" s="23" t="str">
        <f>IFERROR(__xludf.DUMMYFUNCTION("IFERROR(CONCATENATE(IF(ISNUMBER(SEARCH(Validations!$M$2:$M$100 &amp; "" spell save"", J235)),""Spell Save"",""""), REGEXEXTRACT(J235, ""DC (\d+)"")), """")"),"")</f>
        <v/>
      </c>
      <c r="AC235" s="24" t="b">
        <v>0</v>
      </c>
      <c r="AD235" s="24" t="b">
        <v>0</v>
      </c>
      <c r="AE235" s="36" t="s">
        <v>69</v>
      </c>
      <c r="AF235" s="25">
        <f>IFERROR(__xludf.DUMMYFUNCTION("IFERROR(VALUE(REGEXEXTRACT(AE235, ""\d+"")), 1)"),1.0)</f>
        <v>1</v>
      </c>
      <c r="AG235" s="12" t="str">
        <f>IFERROR(__xludf.DUMMYFUNCTION("IF(
  ISNUMBER(SEARCH(""Bonus Action"", AE235)),
  ""Bonus Action"",
  IF(
    ISNUMBER(SEARCH(""Reaction"", AE235)),
    ""Reaction"",
    IF(
      ISNUMBER(SEARCH(""Action"", AE235)),
      ""Action"",
      TEXTJOIN("", "", TRUE, FILTER(Validations!$S"&amp;"$2:$S$100, ISNUMBER(SEARCH(Validations!$S$2:$S$100, AE235))))
    )
  )
)"),"Action")</f>
        <v>Action</v>
      </c>
      <c r="AH235" s="36"/>
      <c r="AI235" s="20" t="s">
        <v>530</v>
      </c>
      <c r="AJ235" s="26" t="str">
        <f>IFERROR(__xludf.DUMMYFUNCTION("TEXTJOIN("", "", TRUE, FILTER(Validations!$T$2:$T$100, ISNUMBER(SEARCH(Validations!$T$2:$T$100, AI235))))"),"")</f>
        <v/>
      </c>
      <c r="AK235" s="26">
        <f>IFERROR(__xludf.DUMMYFUNCTION("IFERROR(VALUE(REGEXEXTRACT(AI235, ""\d+"")), """")"),1.0)</f>
        <v>1</v>
      </c>
      <c r="AL235" s="26" t="str">
        <f>IFERROR(__xludf.DUMMYFUNCTION("TEXTJOIN("", "", TRUE, FILTER(Validations!$U$2:$U$100, ISNUMBER(SEARCH(Validations!$U$2:$U$100, AI235))))"),"Rounds")</f>
        <v>Rounds</v>
      </c>
      <c r="AM235" s="24" t="b">
        <f t="shared" si="1"/>
        <v>0</v>
      </c>
      <c r="AN235" s="24" t="b">
        <v>0</v>
      </c>
      <c r="AO235" s="22" t="s">
        <v>71</v>
      </c>
      <c r="AP235" s="12" t="str">
        <f>IFERROR(__xludf.DUMMYFUNCTION("IF(TEXTJOIN("", "", TRUE, FILTER(Validations!$Q$2:$Q$100, ISNUMBER(SEARCH(Validations!$Q$2:$Q$100, AO235)))) = """", Validations!$Q$2, TEXTJOIN("", "", TRUE, FILTER(Validations!$Q$2:$Q$100, ISNUMBER(SEARCH(Validations!$Q$2:$Q$100, AO235)))))"),"Point")</f>
        <v>Point</v>
      </c>
      <c r="AQ235" s="12" t="str">
        <f>IFERROR(__xludf.DUMMYFUNCTION("IFERROR(VALUE(REGEXEXTRACT(AO235, ""\d+"")), """")"),"")</f>
        <v/>
      </c>
      <c r="AR235" s="12" t="str">
        <f>IFERROR(__xludf.DUMMYFUNCTION("TEXTJOIN("", "", TRUE, FILTER(Validations!$R$2:$R$100, ISNUMBER(SEARCH(Validations!$R$2:$R$100, AO235))))"),"Touch")</f>
        <v>Touch</v>
      </c>
      <c r="AS235" s="27"/>
      <c r="AT235" s="12" t="str">
        <f>IFERROR(__xludf.DUMMYFUNCTION("IFERROR(TEXTJOIN("", "", TRUE, FILTER(Validations!$I$2:$I$100, ISNUMBER(SEARCH(Validations!$I$2:$I$100, AS235)))), """")"),"")</f>
        <v/>
      </c>
      <c r="AU235" s="16" t="str">
        <f t="array" ref="AU235">IFERROR(INDEX(Validations!$J$2:$J$100, MATCH(TRUE, ISNUMBER(SEARCH(Validations!$I$2:$I$100, AT235)), 0)), "")</f>
        <v/>
      </c>
      <c r="AV235" s="12" t="str">
        <f>IFERROR(__xludf.DUMMYFUNCTION("IFERROR(VALUE(REGEXEXTRACT(AS235, ""\d+"")), """")"),"")</f>
        <v/>
      </c>
      <c r="AW235" s="12" t="str">
        <f>IFERROR(__xludf.DUMMYFUNCTION("IFERROR(TEXTJOIN("", "", TRUE, FILTER(Validations!$Q$2:$Q$100, ISNUMBER(SEARCH(Validations!$Q$2:$Q$100, AS235)))), """")"),"")</f>
        <v/>
      </c>
      <c r="AX235" s="28" t="s">
        <v>152</v>
      </c>
      <c r="AY235" s="28" t="str">
        <f>IFERROR(__xludf.DUMMYFUNCTION("TEXTJOIN("", "", TRUE, FILTER(Validations!$Y$2:$Y$100, ISNUMBER(SEARCH(Validations!$X$2:$X$100, AX235))))"),"V, S, R")</f>
        <v>V, S, R</v>
      </c>
      <c r="AZ235" s="20" t="s">
        <v>1125</v>
      </c>
      <c r="BA235" s="22"/>
      <c r="BB235" s="22"/>
      <c r="BC235" s="22"/>
      <c r="BD235" s="22"/>
      <c r="BE235" s="27"/>
      <c r="BF235" s="28" t="s">
        <v>497</v>
      </c>
      <c r="BG235" s="27"/>
      <c r="BH235" s="27"/>
      <c r="BI235" s="12" t="str">
        <f>IFERROR(__xludf.DUMMYFUNCTION("IFERROR(TEXTJOIN("", "", TRUE, FILTER(SRD!$A$2:$A$1000, EXACT(SRD!$A$2:$A$1000, J235))), """")"),"")</f>
        <v/>
      </c>
      <c r="BJ235" s="29"/>
      <c r="BK235" s="29"/>
    </row>
    <row r="236" ht="15.75" customHeight="1">
      <c r="A236" s="55" t="s">
        <v>1126</v>
      </c>
      <c r="B236" s="12"/>
      <c r="C236" s="61"/>
      <c r="D236" s="61" t="s">
        <v>1127</v>
      </c>
      <c r="E236" s="61"/>
      <c r="F236" s="32" t="s">
        <v>443</v>
      </c>
      <c r="G236" s="57" t="s">
        <v>945</v>
      </c>
      <c r="H236" s="58" t="s">
        <v>76</v>
      </c>
      <c r="I236" s="16" t="str">
        <f t="array" ref="I236">INDEX(Validations!$C$2:$C$100, MATCH(TRUE, ISNUMBER(SEARCH(Validations!$B$2:$B$100, H236)), 0))</f>
        <v>V</v>
      </c>
      <c r="J236" s="36" t="s">
        <v>1128</v>
      </c>
      <c r="K236" s="34"/>
      <c r="L236" s="36"/>
      <c r="M236" s="59"/>
      <c r="N236" s="20" t="s">
        <v>1129</v>
      </c>
      <c r="O236" s="59"/>
      <c r="P236" s="60"/>
      <c r="Q236" s="60"/>
      <c r="R236" s="22"/>
      <c r="S236" s="17" t="str">
        <f>IFERROR(__xludf.DUMMYFUNCTION("IFERROR(REGEXEXTRACT(J236, ""(\d{1,3}[dD]\d{1,3})""), """")"),"")</f>
        <v/>
      </c>
      <c r="T236" s="17" t="str">
        <f>IFERROR(__xludf.DUMMYFUNCTION("IF(COUNTIF(ARRAYFORMULA(LOWER(Validations!$O$2:$O$100)), LOWER(REGEXEXTRACT(J236, ""\d{1,3}[dD]\d{1,3}\s+(\w+)"")))&gt;0, REGEXEXTRACT(J236, ""\d{1,3}[dD]\d{1,3}\s+(\w+)""), """")"),"")</f>
        <v/>
      </c>
      <c r="U236" s="17" t="str">
        <f>IFERROR(__xludf.DUMMYFUNCTION("IF(COUNTIF(ARRAYFORMULA(LOWER(Validations!$P$2:$P$100)), LOWER(REGEXEXTRACT(J236, ""\d{1,3}[dD]\d{1,3}\s+(\w+)"")))&gt;0, REGEXEXTRACT(J236, ""\d{1,3}[dD]\d{1,3}\s+(\w+)""), """")"),"")</f>
        <v/>
      </c>
      <c r="V236" s="12"/>
      <c r="W236" s="12" t="str">
        <f>IFERROR(__xludf.DUMMYFUNCTION("IFERROR(TEXTJOIN("", "", TRUE, FILTER(Validations!$M$2:$M$100, ISNUMBER(SEARCH(Validations!$M$2:$M$100 &amp; "" saving throw"", J236)))), """")"),"")</f>
        <v/>
      </c>
      <c r="X236" s="12"/>
      <c r="Y236" s="12"/>
      <c r="Z236" s="12" t="str">
        <f>IFERROR(__xludf.DUMMYFUNCTION("IFERROR(TEXTJOIN("", "", TRUE, FILTER(Validations!$N$2:$N$100, ISNUMBER(SEARCH(Validations!$N$2:$N$100 &amp; "" check"", J236)))), """")"),"")</f>
        <v/>
      </c>
      <c r="AA236" s="12" t="str">
        <f>IFERROR(__xludf.DUMMYFUNCTION("IFERROR(TEXTJOIN("", "", TRUE, FILTER(Validations!$N$2:$N$100, ISNUMBER(SEARCH(Validations!$N$2:$N$100 &amp; "" check"", W236)))), """")"),"")</f>
        <v/>
      </c>
      <c r="AB236" s="23" t="str">
        <f>IFERROR(__xludf.DUMMYFUNCTION("IFERROR(CONCATENATE(IF(ISNUMBER(SEARCH(Validations!$M$2:$M$100 &amp; "" spell save"", J236)),""Spell Save"",""""), REGEXEXTRACT(J236, ""DC (\d+)"")), """")"),"")</f>
        <v/>
      </c>
      <c r="AC236" s="24" t="b">
        <v>0</v>
      </c>
      <c r="AD236" s="24" t="b">
        <v>0</v>
      </c>
      <c r="AE236" s="36" t="s">
        <v>69</v>
      </c>
      <c r="AF236" s="25">
        <f>IFERROR(__xludf.DUMMYFUNCTION("IFERROR(VALUE(REGEXEXTRACT(AE236, ""\d+"")), 1)"),1.0)</f>
        <v>1</v>
      </c>
      <c r="AG236" s="12" t="str">
        <f>IFERROR(__xludf.DUMMYFUNCTION("IF(
  ISNUMBER(SEARCH(""Bonus Action"", AE236)),
  ""Bonus Action"",
  IF(
    ISNUMBER(SEARCH(""Reaction"", AE236)),
    ""Reaction"",
    IF(
      ISNUMBER(SEARCH(""Action"", AE236)),
      ""Action"",
      TEXTJOIN("", "", TRUE, FILTER(Validations!$S"&amp;"$2:$S$100, ISNUMBER(SEARCH(Validations!$S$2:$S$100, AE236))))
    )
  )
)"),"Action")</f>
        <v>Action</v>
      </c>
      <c r="AH236" s="36"/>
      <c r="AI236" s="20" t="s">
        <v>1130</v>
      </c>
      <c r="AJ236" s="26" t="str">
        <f>IFERROR(__xludf.DUMMYFUNCTION("TEXTJOIN("", "", TRUE, FILTER(Validations!$T$2:$T$100, ISNUMBER(SEARCH(Validations!$T$2:$T$100, AI236))))"),"")</f>
        <v/>
      </c>
      <c r="AK236" s="26" t="str">
        <f>IFERROR(__xludf.DUMMYFUNCTION("IFERROR(VALUE(REGEXEXTRACT(AI236, ""\d+"")), """")"),"")</f>
        <v/>
      </c>
      <c r="AL236" s="26" t="str">
        <f>IFERROR(__xludf.DUMMYFUNCTION("TEXTJOIN("", "", TRUE, FILTER(Validations!$U$2:$U$100, ISNUMBER(SEARCH(Validations!$U$2:$U$100, AI236))))"),"")</f>
        <v/>
      </c>
      <c r="AM236" s="24" t="b">
        <f t="shared" si="1"/>
        <v>0</v>
      </c>
      <c r="AN236" s="41" t="b">
        <v>0</v>
      </c>
      <c r="AO236" s="36" t="s">
        <v>1131</v>
      </c>
      <c r="AP236" s="12" t="str">
        <f>IFERROR(__xludf.DUMMYFUNCTION("IF(TEXTJOIN("", "", TRUE, FILTER(Validations!$Q$2:$Q$100, ISNUMBER(SEARCH(Validations!$Q$2:$Q$100, AO236)))) = """", Validations!$Q$2, TEXTJOIN("", "", TRUE, FILTER(Validations!$Q$2:$Q$100, ISNUMBER(SEARCH(Validations!$Q$2:$Q$100, AO236)))))"),"Point")</f>
        <v>Point</v>
      </c>
      <c r="AQ236" s="12" t="str">
        <f>IFERROR(__xludf.DUMMYFUNCTION("IFERROR(VALUE(REGEXEXTRACT(AO236, ""\d+"")), """")"),"")</f>
        <v/>
      </c>
      <c r="AR236" s="12" t="str">
        <f>IFERROR(__xludf.DUMMYFUNCTION("TEXTJOIN("", "", TRUE, FILTER(Validations!$R$2:$R$100, ISNUMBER(SEARCH(Validations!$R$2:$R$100, AO236))))"),"")</f>
        <v/>
      </c>
      <c r="AS236" s="27"/>
      <c r="AT236" s="12" t="str">
        <f>IFERROR(__xludf.DUMMYFUNCTION("IFERROR(TEXTJOIN("", "", TRUE, FILTER(Validations!$I$2:$I$100, ISNUMBER(SEARCH(Validations!$I$2:$I$100, AS236)))), """")"),"")</f>
        <v/>
      </c>
      <c r="AU236" s="16" t="str">
        <f t="array" ref="AU236">IFERROR(INDEX(Validations!$J$2:$J$100, MATCH(TRUE, ISNUMBER(SEARCH(Validations!$I$2:$I$100, AT236)), 0)), "")</f>
        <v/>
      </c>
      <c r="AV236" s="12" t="str">
        <f>IFERROR(__xludf.DUMMYFUNCTION("IFERROR(VALUE(REGEXEXTRACT(AS236, ""\d+"")), """")"),"")</f>
        <v/>
      </c>
      <c r="AW236" s="12" t="str">
        <f>IFERROR(__xludf.DUMMYFUNCTION("IFERROR(TEXTJOIN("", "", TRUE, FILTER(Validations!$Q$2:$Q$100, ISNUMBER(SEARCH(Validations!$Q$2:$Q$100, AS236)))), """")"),"")</f>
        <v/>
      </c>
      <c r="AX236" s="28" t="s">
        <v>142</v>
      </c>
      <c r="AY236" s="28" t="str">
        <f>IFERROR(__xludf.DUMMYFUNCTION("TEXTJOIN("", "", TRUE, FILTER(Validations!$Y$2:$Y$100, ISNUMBER(SEARCH(Validations!$X$2:$X$100, AX236))))"),"V, S")</f>
        <v>V, S</v>
      </c>
      <c r="AZ236" s="26"/>
      <c r="BA236" s="59"/>
      <c r="BB236" s="22"/>
      <c r="BC236" s="22"/>
      <c r="BD236" s="22"/>
      <c r="BE236" s="27"/>
      <c r="BF236" s="22"/>
      <c r="BG236" s="27"/>
      <c r="BH236" s="27"/>
      <c r="BI236" s="12" t="str">
        <f>IFERROR(__xludf.DUMMYFUNCTION("IFERROR(TEXTJOIN("", "", TRUE, FILTER(SRD!$A$2:$A$1000, EXACT(SRD!$A$2:$A$1000, J236))), """")"),"")</f>
        <v/>
      </c>
      <c r="BJ236" s="29"/>
      <c r="BK236" s="29"/>
    </row>
    <row r="237" ht="15.75" customHeight="1">
      <c r="A237" s="11" t="s">
        <v>1132</v>
      </c>
      <c r="B237" s="12"/>
      <c r="C237" s="16"/>
      <c r="D237" s="16" t="s">
        <v>576</v>
      </c>
      <c r="E237" s="16"/>
      <c r="F237" s="32" t="s">
        <v>250</v>
      </c>
      <c r="G237" s="50" t="s">
        <v>945</v>
      </c>
      <c r="H237" s="16" t="s">
        <v>140</v>
      </c>
      <c r="I237" s="16" t="str">
        <f t="array" ref="I237">INDEX(Validations!$C$2:$C$100, MATCH(TRUE, ISNUMBER(SEARCH(Validations!$B$2:$B$100, H237)), 0))</f>
        <v>N</v>
      </c>
      <c r="J237" s="17" t="s">
        <v>1133</v>
      </c>
      <c r="K237" s="18"/>
      <c r="L237" s="17"/>
      <c r="M237" s="17"/>
      <c r="N237" s="27"/>
      <c r="O237" s="17"/>
      <c r="P237" s="21"/>
      <c r="Q237" s="21"/>
      <c r="R237" s="22"/>
      <c r="S237" s="17" t="str">
        <f>IFERROR(__xludf.DUMMYFUNCTION("IFERROR(REGEXEXTRACT(J237, ""(\d{1,3}[dD]\d{1,3})""), """")"),"")</f>
        <v/>
      </c>
      <c r="T237" s="17" t="str">
        <f>IFERROR(__xludf.DUMMYFUNCTION("IF(COUNTIF(ARRAYFORMULA(LOWER(Validations!$O$2:$O$100)), LOWER(REGEXEXTRACT(J237, ""\d{1,3}[dD]\d{1,3}\s+(\w+)"")))&gt;0, REGEXEXTRACT(J237, ""\d{1,3}[dD]\d{1,3}\s+(\w+)""), """")"),"")</f>
        <v/>
      </c>
      <c r="U237" s="17" t="str">
        <f>IFERROR(__xludf.DUMMYFUNCTION("IF(COUNTIF(ARRAYFORMULA(LOWER(Validations!$P$2:$P$100)), LOWER(REGEXEXTRACT(J237, ""\d{1,3}[dD]\d{1,3}\s+(\w+)"")))&gt;0, REGEXEXTRACT(J237, ""\d{1,3}[dD]\d{1,3}\s+(\w+)""), """")"),"")</f>
        <v/>
      </c>
      <c r="V237" s="12" t="str">
        <f>IFERROR(__xludf.DUMMYFUNCTION("TEXTJOIN("", "", TRUE, FILTER(Validations!$L$2:$L$100, ISNUMBER(SEARCH(Validations!$L$2:$L$100, J237))))"),"")</f>
        <v/>
      </c>
      <c r="W237" s="12" t="str">
        <f>IFERROR(__xludf.DUMMYFUNCTION("IFERROR(TEXTJOIN("", "", TRUE, FILTER(Validations!$M$2:$M$100, ISNUMBER(SEARCH(Validations!$M$2:$M$100 &amp; "" saving throw"", J237)))), """")"),"")</f>
        <v/>
      </c>
      <c r="X237" s="12"/>
      <c r="Y237" s="12"/>
      <c r="Z237" s="12" t="str">
        <f>IFERROR(__xludf.DUMMYFUNCTION("IFERROR(TEXTJOIN("", "", TRUE, FILTER(Validations!$N$2:$N$100, ISNUMBER(SEARCH(Validations!$N$2:$N$100 &amp; "" check"", J237)))), """")"),"Medicine")</f>
        <v>Medicine</v>
      </c>
      <c r="AA237" s="12" t="str">
        <f>IFERROR(__xludf.DUMMYFUNCTION("IFERROR(TEXTJOIN("", "", TRUE, FILTER(Validations!$N$2:$N$100, ISNUMBER(SEARCH(Validations!$N$2:$N$100 &amp; "" check"", W237)))), """")"),"")</f>
        <v/>
      </c>
      <c r="AB237" s="23" t="str">
        <f>IFERROR(__xludf.DUMMYFUNCTION("IFERROR(CONCATENATE(IF(ISNUMBER(SEARCH(Validations!$M$2:$M$100 &amp; "" spell save"", J237)),""Spell Save"",""""), REGEXEXTRACT(J237, ""DC (\d+)"")), """")"),"")</f>
        <v/>
      </c>
      <c r="AC237" s="24" t="b">
        <v>0</v>
      </c>
      <c r="AD237" s="24" t="b">
        <v>0</v>
      </c>
      <c r="AE237" s="36" t="s">
        <v>69</v>
      </c>
      <c r="AF237" s="25">
        <f>IFERROR(__xludf.DUMMYFUNCTION("IFERROR(VALUE(REGEXEXTRACT(AE237, ""\d+"")), 1)"),1.0)</f>
        <v>1</v>
      </c>
      <c r="AG237" s="12" t="str">
        <f>IFERROR(__xludf.DUMMYFUNCTION("IF(
  ISNUMBER(SEARCH(""Bonus Action"", AE237)),
  ""Bonus Action"",
  IF(
    ISNUMBER(SEARCH(""Reaction"", AE237)),
    ""Reaction"",
    IF(
      ISNUMBER(SEARCH(""Action"", AE237)),
      ""Action"",
      TEXTJOIN("", "", TRUE, FILTER(Validations!$S"&amp;"$2:$S$100, ISNUMBER(SEARCH(Validations!$S$2:$S$100, AE237))))
    )
  )
)"),"Action")</f>
        <v>Action</v>
      </c>
      <c r="AH237" s="36"/>
      <c r="AI237" s="27" t="s">
        <v>1134</v>
      </c>
      <c r="AJ237" s="26" t="str">
        <f>IFERROR(__xludf.DUMMYFUNCTION("TEXTJOIN("", "", TRUE, FILTER(Validations!$T$2:$T$100, ISNUMBER(SEARCH(Validations!$T$2:$T$100, AI237))))"),"Permanent")</f>
        <v>Permanent</v>
      </c>
      <c r="AK237" s="26" t="str">
        <f>IFERROR(__xludf.DUMMYFUNCTION("IFERROR(VALUE(REGEXEXTRACT(AI237, ""\d+"")), """")"),"")</f>
        <v/>
      </c>
      <c r="AL237" s="26" t="str">
        <f>IFERROR(__xludf.DUMMYFUNCTION("TEXTJOIN("", "", TRUE, FILTER(Validations!$U$2:$U$100, ISNUMBER(SEARCH(Validations!$U$2:$U$100, AI237))))"),"")</f>
        <v/>
      </c>
      <c r="AM237" s="24" t="b">
        <f t="shared" si="1"/>
        <v>0</v>
      </c>
      <c r="AN237" s="24" t="b">
        <v>0</v>
      </c>
      <c r="AO237" s="22" t="s">
        <v>71</v>
      </c>
      <c r="AP237" s="12" t="str">
        <f>IFERROR(__xludf.DUMMYFUNCTION("IF(TEXTJOIN("", "", TRUE, FILTER(Validations!$Q$2:$Q$100, ISNUMBER(SEARCH(Validations!$Q$2:$Q$100, AO237)))) = """", Validations!$Q$2, TEXTJOIN("", "", TRUE, FILTER(Validations!$Q$2:$Q$100, ISNUMBER(SEARCH(Validations!$Q$2:$Q$100, AO237)))))"),"Point")</f>
        <v>Point</v>
      </c>
      <c r="AQ237" s="12" t="str">
        <f>IFERROR(__xludf.DUMMYFUNCTION("IFERROR(VALUE(REGEXEXTRACT(AO237, ""\d+"")), """")"),"")</f>
        <v/>
      </c>
      <c r="AR237" s="12" t="str">
        <f>IFERROR(__xludf.DUMMYFUNCTION("TEXTJOIN("", "", TRUE, FILTER(Validations!$R$2:$R$100, ISNUMBER(SEARCH(Validations!$R$2:$R$100, AO237))))"),"Touch")</f>
        <v>Touch</v>
      </c>
      <c r="AS237" s="27"/>
      <c r="AT237" s="12" t="str">
        <f>IFERROR(__xludf.DUMMYFUNCTION("IFERROR(TEXTJOIN("", "", TRUE, FILTER(Validations!$I$2:$I$100, ISNUMBER(SEARCH(Validations!$I$2:$I$100, AS237)))), """")"),"")</f>
        <v/>
      </c>
      <c r="AU237" s="16" t="str">
        <f t="array" ref="AU237">IFERROR(INDEX(Validations!$J$2:$J$100, MATCH(TRUE, ISNUMBER(SEARCH(Validations!$I$2:$I$100, AT237)), 0)), "")</f>
        <v/>
      </c>
      <c r="AV237" s="12" t="str">
        <f>IFERROR(__xludf.DUMMYFUNCTION("IFERROR(VALUE(REGEXEXTRACT(AS237, ""\d+"")), """")"),"")</f>
        <v/>
      </c>
      <c r="AW237" s="12" t="str">
        <f>IFERROR(__xludf.DUMMYFUNCTION("IFERROR(TEXTJOIN("", "", TRUE, FILTER(Validations!$Q$2:$Q$100, ISNUMBER(SEARCH(Validations!$Q$2:$Q$100, AS237)))), """")"),"")</f>
        <v/>
      </c>
      <c r="AX237" s="28" t="s">
        <v>106</v>
      </c>
      <c r="AY237" s="28" t="str">
        <f>IFERROR(__xludf.DUMMYFUNCTION("TEXTJOIN("", "", TRUE, FILTER(Validations!$Y$2:$Y$100, ISNUMBER(SEARCH(Validations!$X$2:$X$100, AX237))))"),"S")</f>
        <v>S</v>
      </c>
      <c r="AZ237" s="27"/>
      <c r="BA237" s="22"/>
      <c r="BB237" s="22"/>
      <c r="BC237" s="22"/>
      <c r="BD237" s="22"/>
      <c r="BE237" s="27"/>
      <c r="BF237" s="22"/>
      <c r="BG237" s="27"/>
      <c r="BH237" s="27"/>
      <c r="BI237" s="12" t="str">
        <f>IFERROR(__xludf.DUMMYFUNCTION("IFERROR(TEXTJOIN("", "", TRUE, FILTER(SRD!$A$2:$A$1000, EXACT(SRD!$A$2:$A$1000, J237))), """")"),"")</f>
        <v/>
      </c>
      <c r="BJ237" s="29"/>
      <c r="BK237" s="29"/>
    </row>
    <row r="238" ht="15.75" customHeight="1">
      <c r="A238" s="30" t="s">
        <v>1135</v>
      </c>
      <c r="B238" s="22"/>
      <c r="C238" s="31"/>
      <c r="D238" s="31" t="s">
        <v>74</v>
      </c>
      <c r="E238" s="31"/>
      <c r="F238" s="32" t="s">
        <v>102</v>
      </c>
      <c r="G238" s="50" t="s">
        <v>945</v>
      </c>
      <c r="H238" s="31" t="s">
        <v>183</v>
      </c>
      <c r="I238" s="16" t="str">
        <f t="array" ref="I238">INDEX(Validations!$C$2:$C$100, MATCH(TRUE, ISNUMBER(SEARCH(Validations!$B$2:$B$100, H238)), 0))</f>
        <v>E</v>
      </c>
      <c r="J238" s="17" t="s">
        <v>1136</v>
      </c>
      <c r="K238" s="18"/>
      <c r="L238" s="17"/>
      <c r="M238" s="17"/>
      <c r="N238" s="27"/>
      <c r="O238" s="17"/>
      <c r="P238" s="21"/>
      <c r="Q238" s="21"/>
      <c r="R238" s="22"/>
      <c r="S238" s="17" t="str">
        <f>IFERROR(__xludf.DUMMYFUNCTION("IFERROR(REGEXEXTRACT(J238, ""(\d{1,3}[dD]\d{1,3})""), """")"),"1d6")</f>
        <v>1d6</v>
      </c>
      <c r="T238" s="17" t="str">
        <f>IFERROR(__xludf.DUMMYFUNCTION("IF(COUNTIF(ARRAYFORMULA(LOWER(Validations!$O$2:$O$100)), LOWER(REGEXEXTRACT(J238, ""\d{1,3}[dD]\d{1,3}\s+(\w+)"")))&gt;0, REGEXEXTRACT(J238, ""\d{1,3}[dD]\d{1,3}\s+(\w+)""), """")"),"cognitive")</f>
        <v>cognitive</v>
      </c>
      <c r="U238" s="17" t="str">
        <f>IFERROR(__xludf.DUMMYFUNCTION("IF(COUNTIF(ARRAYFORMULA(LOWER(Validations!$P$2:$P$100)), LOWER(REGEXEXTRACT(J238, ""\d{1,3}[dD]\d{1,3}\s+(\w+)"")))&gt;0, REGEXEXTRACT(J238, ""\d{1,3}[dD]\d{1,3}\s+(\w+)""), """")"),"")</f>
        <v/>
      </c>
      <c r="V238" s="12" t="str">
        <f>IFERROR(__xludf.DUMMYFUNCTION("TEXTJOIN("", "", TRUE, FILTER(Validations!$L$2:$L$100, ISNUMBER(SEARCH(Validations!$L$2:$L$100, J238))))"),"")</f>
        <v/>
      </c>
      <c r="W238" s="12" t="str">
        <f>IFERROR(__xludf.DUMMYFUNCTION("IFERROR(TEXTJOIN("", "", TRUE, FILTER(Validations!$M$2:$M$100, ISNUMBER(SEARCH(Validations!$M$2:$M$100 &amp; "" saving throw"", J238)))), """")"),"Charisma")</f>
        <v>Charisma</v>
      </c>
      <c r="X238" s="12"/>
      <c r="Y238" s="12"/>
      <c r="Z238" s="12" t="str">
        <f>IFERROR(__xludf.DUMMYFUNCTION("IFERROR(TEXTJOIN("", "", TRUE, FILTER(Validations!$N$2:$N$100, ISNUMBER(SEARCH(Validations!$N$2:$N$100 &amp; "" check"", J238)))), """")"),"")</f>
        <v/>
      </c>
      <c r="AA238" s="12" t="str">
        <f>IFERROR(__xludf.DUMMYFUNCTION("IFERROR(TEXTJOIN("", "", TRUE, FILTER(Validations!$N$2:$N$100, ISNUMBER(SEARCH(Validations!$N$2:$N$100 &amp; "" check"", W238)))), """")"),"")</f>
        <v/>
      </c>
      <c r="AB238" s="23" t="str">
        <f>IFERROR(__xludf.DUMMYFUNCTION("IFERROR(CONCATENATE(IF(ISNUMBER(SEARCH(Validations!$M$2:$M$100 &amp; "" spell save"", J238)),""Spell Save"",""""), REGEXEXTRACT(J238, ""DC (\d+)"")), """")"),"16")</f>
        <v>16</v>
      </c>
      <c r="AC238" s="24" t="b">
        <v>0</v>
      </c>
      <c r="AD238" s="24" t="b">
        <v>0</v>
      </c>
      <c r="AE238" s="36" t="s">
        <v>69</v>
      </c>
      <c r="AF238" s="25">
        <f>IFERROR(__xludf.DUMMYFUNCTION("IFERROR(VALUE(REGEXEXTRACT(AE238, ""\d+"")), 1)"),1.0)</f>
        <v>1</v>
      </c>
      <c r="AG238" s="12" t="str">
        <f>IFERROR(__xludf.DUMMYFUNCTION("IF(
  ISNUMBER(SEARCH(""Bonus Action"", AE238)),
  ""Bonus Action"",
  IF(
    ISNUMBER(SEARCH(""Reaction"", AE238)),
    ""Reaction"",
    IF(
      ISNUMBER(SEARCH(""Action"", AE238)),
      ""Action"",
      TEXTJOIN("", "", TRUE, FILTER(Validations!$S"&amp;"$2:$S$100, ISNUMBER(SEARCH(Validations!$S$2:$S$100, AE238))))
    )
  )
)"),"Action")</f>
        <v>Action</v>
      </c>
      <c r="AH238" s="36"/>
      <c r="AI238" s="20" t="s">
        <v>92</v>
      </c>
      <c r="AJ238" s="26" t="str">
        <f>IFERROR(__xludf.DUMMYFUNCTION("TEXTJOIN("", "", TRUE, FILTER(Validations!$T$2:$T$100, ISNUMBER(SEARCH(Validations!$T$2:$T$100, AI238))))"),"")</f>
        <v/>
      </c>
      <c r="AK238" s="26">
        <f>IFERROR(__xludf.DUMMYFUNCTION("IFERROR(VALUE(REGEXEXTRACT(AI238, ""\d+"")), """")"),1.0)</f>
        <v>1</v>
      </c>
      <c r="AL238" s="26" t="str">
        <f>IFERROR(__xludf.DUMMYFUNCTION("TEXTJOIN("", "", TRUE, FILTER(Validations!$U$2:$U$100, ISNUMBER(SEARCH(Validations!$U$2:$U$100, AI238))))"),"Minutes")</f>
        <v>Minutes</v>
      </c>
      <c r="AM238" s="24" t="b">
        <f t="shared" si="1"/>
        <v>0</v>
      </c>
      <c r="AN238" s="24" t="b">
        <v>1</v>
      </c>
      <c r="AO238" s="22" t="s">
        <v>112</v>
      </c>
      <c r="AP238" s="12" t="str">
        <f>IFERROR(__xludf.DUMMYFUNCTION("IF(TEXTJOIN("", "", TRUE, FILTER(Validations!$Q$2:$Q$100, ISNUMBER(SEARCH(Validations!$Q$2:$Q$100, AO238)))) = """", Validations!$Q$2, TEXTJOIN("", "", TRUE, FILTER(Validations!$Q$2:$Q$100, ISNUMBER(SEARCH(Validations!$Q$2:$Q$100, AO238)))))"),"Point")</f>
        <v>Point</v>
      </c>
      <c r="AQ238" s="12">
        <f>IFERROR(__xludf.DUMMYFUNCTION("IFERROR(VALUE(REGEXEXTRACT(AO238, ""\d+"")), """")"),30.0)</f>
        <v>30</v>
      </c>
      <c r="AR238" s="12" t="str">
        <f>IFERROR(__xludf.DUMMYFUNCTION("TEXTJOIN("", "", TRUE, FILTER(Validations!$R$2:$R$100, ISNUMBER(SEARCH(Validations!$R$2:$R$100, AO238))))"),"Feet")</f>
        <v>Feet</v>
      </c>
      <c r="AS238" s="27"/>
      <c r="AT238" s="12" t="str">
        <f>IFERROR(__xludf.DUMMYFUNCTION("IFERROR(TEXTJOIN("", "", TRUE, FILTER(Validations!$I$2:$I$100, ISNUMBER(SEARCH(Validations!$I$2:$I$100, AS238)))), """")"),"")</f>
        <v/>
      </c>
      <c r="AU238" s="16" t="str">
        <f t="array" ref="AU238">IFERROR(INDEX(Validations!$J$2:$J$100, MATCH(TRUE, ISNUMBER(SEARCH(Validations!$I$2:$I$100, AT238)), 0)), "")</f>
        <v/>
      </c>
      <c r="AV238" s="12" t="str">
        <f>IFERROR(__xludf.DUMMYFUNCTION("IFERROR(VALUE(REGEXEXTRACT(AS238, ""\d+"")), """")"),"")</f>
        <v/>
      </c>
      <c r="AW238" s="12" t="str">
        <f>IFERROR(__xludf.DUMMYFUNCTION("IFERROR(TEXTJOIN("", "", TRUE, FILTER(Validations!$Q$2:$Q$100, ISNUMBER(SEARCH(Validations!$Q$2:$Q$100, AS238)))), """")"),"")</f>
        <v/>
      </c>
      <c r="AX238" s="28" t="s">
        <v>152</v>
      </c>
      <c r="AY238" s="28" t="str">
        <f>IFERROR(__xludf.DUMMYFUNCTION("TEXTJOIN("", "", TRUE, FILTER(Validations!$Y$2:$Y$100, ISNUMBER(SEARCH(Validations!$X$2:$X$100, AX238))))"),"V, S, R")</f>
        <v>V, S, R</v>
      </c>
      <c r="AZ238" s="20" t="s">
        <v>1137</v>
      </c>
      <c r="BA238" s="22"/>
      <c r="BB238" s="22"/>
      <c r="BC238" s="22"/>
      <c r="BD238" s="22"/>
      <c r="BE238" s="27"/>
      <c r="BF238" s="22"/>
      <c r="BG238" s="27"/>
      <c r="BH238" s="27"/>
      <c r="BI238" s="12" t="str">
        <f>IFERROR(__xludf.DUMMYFUNCTION("IFERROR(TEXTJOIN("", "", TRUE, FILTER(SRD!$A$2:$A$1000, EXACT(SRD!$A$2:$A$1000, J238))), """")"),"")</f>
        <v/>
      </c>
      <c r="BJ238" s="29"/>
      <c r="BK238" s="29"/>
    </row>
    <row r="239" ht="15.75" customHeight="1">
      <c r="A239" s="30" t="s">
        <v>1138</v>
      </c>
      <c r="B239" s="22"/>
      <c r="C239" s="16"/>
      <c r="D239" s="16" t="s">
        <v>302</v>
      </c>
      <c r="E239" s="16"/>
      <c r="F239" s="32" t="s">
        <v>443</v>
      </c>
      <c r="G239" s="50" t="s">
        <v>945</v>
      </c>
      <c r="H239" s="16" t="s">
        <v>178</v>
      </c>
      <c r="I239" s="16" t="str">
        <f t="array" ref="I239">INDEX(Validations!$C$2:$C$100, MATCH(TRUE, ISNUMBER(SEARCH(Validations!$B$2:$B$100, H239)), 0))</f>
        <v>A</v>
      </c>
      <c r="J239" s="17" t="s">
        <v>1139</v>
      </c>
      <c r="K239" s="18"/>
      <c r="L239" s="17"/>
      <c r="M239" s="17"/>
      <c r="N239" s="27"/>
      <c r="O239" s="17"/>
      <c r="P239" s="21"/>
      <c r="Q239" s="21"/>
      <c r="R239" s="22"/>
      <c r="S239" s="17" t="str">
        <f>IFERROR(__xludf.DUMMYFUNCTION("IFERROR(REGEXEXTRACT(J239, ""(\d{1,3}[dD]\d{1,3})""), """")"),"")</f>
        <v/>
      </c>
      <c r="T239" s="17" t="str">
        <f>IFERROR(__xludf.DUMMYFUNCTION("IF(COUNTIF(ARRAYFORMULA(LOWER(Validations!$O$2:$O$100)), LOWER(REGEXEXTRACT(J239, ""\d{1,3}[dD]\d{1,3}\s+(\w+)"")))&gt;0, REGEXEXTRACT(J239, ""\d{1,3}[dD]\d{1,3}\s+(\w+)""), """")"),"")</f>
        <v/>
      </c>
      <c r="U239" s="17" t="str">
        <f>IFERROR(__xludf.DUMMYFUNCTION("IF(COUNTIF(ARRAYFORMULA(LOWER(Validations!$P$2:$P$100)), LOWER(REGEXEXTRACT(J239, ""\d{1,3}[dD]\d{1,3}\s+(\w+)"")))&gt;0, REGEXEXTRACT(J239, ""\d{1,3}[dD]\d{1,3}\s+(\w+)""), """")"),"")</f>
        <v/>
      </c>
      <c r="V239" s="12" t="str">
        <f>IFERROR(__xludf.DUMMYFUNCTION("TEXTJOIN("", "", TRUE, FILTER(Validations!$L$2:$L$100, ISNUMBER(SEARCH(Validations!$L$2:$L$100, J239))))"),"")</f>
        <v/>
      </c>
      <c r="W239" s="12" t="str">
        <f>IFERROR(__xludf.DUMMYFUNCTION("IFERROR(TEXTJOIN("", "", TRUE, FILTER(Validations!$M$2:$M$100, ISNUMBER(SEARCH(Validations!$M$2:$M$100 &amp; "" saving throw"", J239)))), """")"),"")</f>
        <v/>
      </c>
      <c r="X239" s="12"/>
      <c r="Y239" s="12"/>
      <c r="Z239" s="12" t="str">
        <f>IFERROR(__xludf.DUMMYFUNCTION("IFERROR(TEXTJOIN("", "", TRUE, FILTER(Validations!$N$2:$N$100, ISNUMBER(SEARCH(Validations!$N$2:$N$100 &amp; "" check"", J239)))), """")"),"")</f>
        <v/>
      </c>
      <c r="AA239" s="12" t="str">
        <f>IFERROR(__xludf.DUMMYFUNCTION("IFERROR(TEXTJOIN("", "", TRUE, FILTER(Validations!$N$2:$N$100, ISNUMBER(SEARCH(Validations!$N$2:$N$100 &amp; "" check"", W239)))), """")"),"")</f>
        <v/>
      </c>
      <c r="AB239" s="23" t="str">
        <f>IFERROR(__xludf.DUMMYFUNCTION("IFERROR(CONCATENATE(IF(ISNUMBER(SEARCH(Validations!$M$2:$M$100 &amp; "" spell save"", J239)),""Spell Save"",""""), REGEXEXTRACT(J239, ""DC (\d+)"")), """")"),"")</f>
        <v/>
      </c>
      <c r="AC239" s="24" t="b">
        <v>0</v>
      </c>
      <c r="AD239" s="24" t="b">
        <v>0</v>
      </c>
      <c r="AE239" s="36" t="s">
        <v>69</v>
      </c>
      <c r="AF239" s="25">
        <f>IFERROR(__xludf.DUMMYFUNCTION("IFERROR(VALUE(REGEXEXTRACT(AE239, ""\d+"")), 1)"),1.0)</f>
        <v>1</v>
      </c>
      <c r="AG239" s="12" t="str">
        <f>IFERROR(__xludf.DUMMYFUNCTION("IF(
  ISNUMBER(SEARCH(""Bonus Action"", AE239)),
  ""Bonus Action"",
  IF(
    ISNUMBER(SEARCH(""Reaction"", AE239)),
    ""Reaction"",
    IF(
      ISNUMBER(SEARCH(""Action"", AE239)),
      ""Action"",
      TEXTJOIN("", "", TRUE, FILTER(Validations!$S"&amp;"$2:$S$100, ISNUMBER(SEARCH(Validations!$S$2:$S$100, AE239))))
    )
  )
)"),"Action")</f>
        <v>Action</v>
      </c>
      <c r="AH239" s="36"/>
      <c r="AI239" s="20" t="s">
        <v>134</v>
      </c>
      <c r="AJ239" s="26" t="str">
        <f>IFERROR(__xludf.DUMMYFUNCTION("TEXTJOIN("", "", TRUE, FILTER(Validations!$T$2:$T$100, ISNUMBER(SEARCH(Validations!$T$2:$T$100, AI239))))"),"")</f>
        <v/>
      </c>
      <c r="AK239" s="26">
        <f>IFERROR(__xludf.DUMMYFUNCTION("IFERROR(VALUE(REGEXEXTRACT(AI239, ""\d+"")), """")"),10.0)</f>
        <v>10</v>
      </c>
      <c r="AL239" s="26" t="str">
        <f>IFERROR(__xludf.DUMMYFUNCTION("TEXTJOIN("", "", TRUE, FILTER(Validations!$U$2:$U$100, ISNUMBER(SEARCH(Validations!$U$2:$U$100, AI239))))"),"Minutes")</f>
        <v>Minutes</v>
      </c>
      <c r="AM239" s="24" t="b">
        <f t="shared" si="1"/>
        <v>0</v>
      </c>
      <c r="AN239" s="24" t="b">
        <v>1</v>
      </c>
      <c r="AO239" s="22" t="s">
        <v>78</v>
      </c>
      <c r="AP239" s="12" t="str">
        <f>IFERROR(__xludf.DUMMYFUNCTION("IF(TEXTJOIN("", "", TRUE, FILTER(Validations!$Q$2:$Q$100, ISNUMBER(SEARCH(Validations!$Q$2:$Q$100, AO239)))) = """", Validations!$Q$2, TEXTJOIN("", "", TRUE, FILTER(Validations!$Q$2:$Q$100, ISNUMBER(SEARCH(Validations!$Q$2:$Q$100, AO239)))))"),"Point")</f>
        <v>Point</v>
      </c>
      <c r="AQ239" s="12" t="str">
        <f>IFERROR(__xludf.DUMMYFUNCTION("IFERROR(VALUE(REGEXEXTRACT(AO239, ""\d+"")), """")"),"")</f>
        <v/>
      </c>
      <c r="AR239" s="12" t="str">
        <f>IFERROR(__xludf.DUMMYFUNCTION("TEXTJOIN("", "", TRUE, FILTER(Validations!$R$2:$R$100, ISNUMBER(SEARCH(Validations!$R$2:$R$100, AO239))))"),"Self")</f>
        <v>Self</v>
      </c>
      <c r="AS239" s="27"/>
      <c r="AT239" s="12" t="str">
        <f>IFERROR(__xludf.DUMMYFUNCTION("IFERROR(TEXTJOIN("", "", TRUE, FILTER(Validations!$I$2:$I$100, ISNUMBER(SEARCH(Validations!$I$2:$I$100, AS239)))), """")"),"")</f>
        <v/>
      </c>
      <c r="AU239" s="16" t="str">
        <f t="array" ref="AU239">IFERROR(INDEX(Validations!$J$2:$J$100, MATCH(TRUE, ISNUMBER(SEARCH(Validations!$I$2:$I$100, AT239)), 0)), "")</f>
        <v/>
      </c>
      <c r="AV239" s="12" t="str">
        <f>IFERROR(__xludf.DUMMYFUNCTION("IFERROR(VALUE(REGEXEXTRACT(AS239, ""\d+"")), """")"),"")</f>
        <v/>
      </c>
      <c r="AW239" s="12" t="str">
        <f>IFERROR(__xludf.DUMMYFUNCTION("IFERROR(TEXTJOIN("", "", TRUE, FILTER(Validations!$Q$2:$Q$100, ISNUMBER(SEARCH(Validations!$Q$2:$Q$100, AS239)))), """")"),"")</f>
        <v/>
      </c>
      <c r="AX239" s="28" t="s">
        <v>142</v>
      </c>
      <c r="AY239" s="28" t="str">
        <f>IFERROR(__xludf.DUMMYFUNCTION("TEXTJOIN("", "", TRUE, FILTER(Validations!$Y$2:$Y$100, ISNUMBER(SEARCH(Validations!$X$2:$X$100, AX239))))"),"V, S")</f>
        <v>V, S</v>
      </c>
      <c r="AZ239" s="27"/>
      <c r="BA239" s="22"/>
      <c r="BB239" s="22"/>
      <c r="BC239" s="22"/>
      <c r="BD239" s="22"/>
      <c r="BE239" s="27"/>
      <c r="BF239" s="22"/>
      <c r="BG239" s="27"/>
      <c r="BH239" s="27"/>
      <c r="BI239" s="12" t="str">
        <f>IFERROR(__xludf.DUMMYFUNCTION("IFERROR(TEXTJOIN("", "", TRUE, FILTER(SRD!$A$2:$A$1000, EXACT(SRD!$A$2:$A$1000, J239))), """")"),"")</f>
        <v/>
      </c>
      <c r="BJ239" s="29"/>
      <c r="BK239" s="29"/>
    </row>
    <row r="240" ht="15.75" customHeight="1">
      <c r="A240" s="11" t="s">
        <v>1140</v>
      </c>
      <c r="B240" s="12"/>
      <c r="C240" s="13"/>
      <c r="D240" s="13" t="s">
        <v>62</v>
      </c>
      <c r="E240" s="13"/>
      <c r="F240" s="14" t="s">
        <v>1141</v>
      </c>
      <c r="G240" s="50" t="s">
        <v>945</v>
      </c>
      <c r="H240" s="16" t="s">
        <v>183</v>
      </c>
      <c r="I240" s="16" t="str">
        <f t="array" ref="I240">INDEX(Validations!$C$2:$C$100, MATCH(TRUE, ISNUMBER(SEARCH(Validations!$B$2:$B$100, H240)), 0))</f>
        <v>E</v>
      </c>
      <c r="J240" s="17" t="s">
        <v>1142</v>
      </c>
      <c r="K240" s="18"/>
      <c r="L240" s="17"/>
      <c r="M240" s="37" t="s">
        <v>1143</v>
      </c>
      <c r="N240" s="27"/>
      <c r="O240" s="17" t="s">
        <v>1144</v>
      </c>
      <c r="P240" s="21"/>
      <c r="Q240" s="21"/>
      <c r="R240" s="22"/>
      <c r="S240" s="17" t="str">
        <f>IFERROR(__xludf.DUMMYFUNCTION("IFERROR(REGEXEXTRACT(J240, ""(\d{1,3}[dD]\d{1,3})""), """")"),"")</f>
        <v/>
      </c>
      <c r="T240" s="17" t="str">
        <f>IFERROR(__xludf.DUMMYFUNCTION("IF(COUNTIF(ARRAYFORMULA(LOWER(Validations!$O$2:$O$100)), LOWER(REGEXEXTRACT(J240, ""\d{1,3}[dD]\d{1,3}\s+(\w+)"")))&gt;0, REGEXEXTRACT(J240, ""\d{1,3}[dD]\d{1,3}\s+(\w+)""), """")"),"")</f>
        <v/>
      </c>
      <c r="U240" s="17" t="str">
        <f>IFERROR(__xludf.DUMMYFUNCTION("IF(COUNTIF(ARRAYFORMULA(LOWER(Validations!$P$2:$P$100)), LOWER(REGEXEXTRACT(J240, ""\d{1,3}[dD]\d{1,3}\s+(\w+)"")))&gt;0, REGEXEXTRACT(J240, ""\d{1,3}[dD]\d{1,3}\s+(\w+)""), """")"),"")</f>
        <v/>
      </c>
      <c r="V240" s="12" t="str">
        <f>IFERROR(__xludf.DUMMYFUNCTION("TEXTJOIN("", "", TRUE, FILTER(Validations!$L$2:$L$100, ISNUMBER(SEARCH(Validations!$L$2:$L$100, J240))))"),"Charmed")</f>
        <v>Charmed</v>
      </c>
      <c r="W240" s="12" t="str">
        <f>IFERROR(__xludf.DUMMYFUNCTION("IFERROR(TEXTJOIN("", "", TRUE, FILTER(Validations!$M$2:$M$100, ISNUMBER(SEARCH(Validations!$M$2:$M$100 &amp; "" saving throw"", J240)))), """")"),"Wisdom")</f>
        <v>Wisdom</v>
      </c>
      <c r="X240" s="12"/>
      <c r="Y240" s="12"/>
      <c r="Z240" s="12" t="str">
        <f>IFERROR(__xludf.DUMMYFUNCTION("IFERROR(TEXTJOIN("", "", TRUE, FILTER(Validations!$N$2:$N$100, ISNUMBER(SEARCH(Validations!$N$2:$N$100 &amp; "" check"", J240)))), """")"),"")</f>
        <v/>
      </c>
      <c r="AA240" s="12" t="str">
        <f>IFERROR(__xludf.DUMMYFUNCTION("IFERROR(TEXTJOIN("", "", TRUE, FILTER(Validations!$N$2:$N$100, ISNUMBER(SEARCH(Validations!$N$2:$N$100 &amp; "" check"", W240)))), """")"),"")</f>
        <v/>
      </c>
      <c r="AB240" s="23" t="str">
        <f>IFERROR(__xludf.DUMMYFUNCTION("IFERROR(CONCATENATE(IF(ISNUMBER(SEARCH(Validations!$M$2:$M$100 &amp; "" spell save"", J240)),""Spell Save"",""""), REGEXEXTRACT(J240, ""DC (\d+)"")), """")"),"")</f>
        <v/>
      </c>
      <c r="AC240" s="24" t="b">
        <v>0</v>
      </c>
      <c r="AD240" s="24" t="b">
        <v>0</v>
      </c>
      <c r="AE240" s="12" t="s">
        <v>69</v>
      </c>
      <c r="AF240" s="25">
        <f>IFERROR(__xludf.DUMMYFUNCTION("IFERROR(VALUE(REGEXEXTRACT(AE240, ""\d+"")), 1)"),1.0)</f>
        <v>1</v>
      </c>
      <c r="AG240" s="12" t="str">
        <f>IFERROR(__xludf.DUMMYFUNCTION("IF(
  ISNUMBER(SEARCH(""Bonus Action"", AE240)),
  ""Bonus Action"",
  IF(
    ISNUMBER(SEARCH(""Reaction"", AE240)),
    ""Reaction"",
    IF(
      ISNUMBER(SEARCH(""Action"", AE240)),
      ""Action"",
      TEXTJOIN("", "", TRUE, FILTER(Validations!$S"&amp;"$2:$S$100, ISNUMBER(SEARCH(Validations!$S$2:$S$100, AE240))))
    )
  )
)"),"Action")</f>
        <v>Action</v>
      </c>
      <c r="AH240" s="12"/>
      <c r="AI240" s="20" t="s">
        <v>92</v>
      </c>
      <c r="AJ240" s="26" t="str">
        <f>IFERROR(__xludf.DUMMYFUNCTION("TEXTJOIN("", "", TRUE, FILTER(Validations!$T$2:$T$100, ISNUMBER(SEARCH(Validations!$T$2:$T$100, AI240))))"),"")</f>
        <v/>
      </c>
      <c r="AK240" s="26">
        <f>IFERROR(__xludf.DUMMYFUNCTION("IFERROR(VALUE(REGEXEXTRACT(AI240, ""\d+"")), """")"),1.0)</f>
        <v>1</v>
      </c>
      <c r="AL240" s="26" t="str">
        <f>IFERROR(__xludf.DUMMYFUNCTION("TEXTJOIN("", "", TRUE, FILTER(Validations!$U$2:$U$100, ISNUMBER(SEARCH(Validations!$U$2:$U$100, AI240))))"),"Minutes")</f>
        <v>Minutes</v>
      </c>
      <c r="AM240" s="24" t="b">
        <f t="shared" si="1"/>
        <v>0</v>
      </c>
      <c r="AN240" s="42" t="b">
        <v>1</v>
      </c>
      <c r="AO240" s="36" t="s">
        <v>440</v>
      </c>
      <c r="AP240" s="12" t="str">
        <f>IFERROR(__xludf.DUMMYFUNCTION("IF(TEXTJOIN("", "", TRUE, FILTER(Validations!$Q$2:$Q$100, ISNUMBER(SEARCH(Validations!$Q$2:$Q$100, AO240)))) = """", Validations!$Q$2, TEXTJOIN("", "", TRUE, FILTER(Validations!$Q$2:$Q$100, ISNUMBER(SEARCH(Validations!$Q$2:$Q$100, AO240)))))"),"Point")</f>
        <v>Point</v>
      </c>
      <c r="AQ240" s="12">
        <f>IFERROR(__xludf.DUMMYFUNCTION("IFERROR(VALUE(REGEXEXTRACT(AO240, ""\d+"")), """")"),60.0)</f>
        <v>60</v>
      </c>
      <c r="AR240" s="12" t="str">
        <f>IFERROR(__xludf.DUMMYFUNCTION("TEXTJOIN("", "", TRUE, FILTER(Validations!$R$2:$R$100, ISNUMBER(SEARCH(Validations!$R$2:$R$100, AO240))))"),"Feet")</f>
        <v>Feet</v>
      </c>
      <c r="AS240" s="27"/>
      <c r="AT240" s="12" t="str">
        <f>IFERROR(__xludf.DUMMYFUNCTION("IFERROR(TEXTJOIN("", "", TRUE, FILTER(Validations!$I$2:$I$100, ISNUMBER(SEARCH(Validations!$I$2:$I$100, AS240)))), """")"),"")</f>
        <v/>
      </c>
      <c r="AU240" s="16" t="str">
        <f t="array" ref="AU240">IFERROR(INDEX(Validations!$J$2:$J$100, MATCH(TRUE, ISNUMBER(SEARCH(Validations!$I$2:$I$100, AT240)), 0)), "")</f>
        <v/>
      </c>
      <c r="AV240" s="12" t="str">
        <f>IFERROR(__xludf.DUMMYFUNCTION("IFERROR(VALUE(REGEXEXTRACT(AS240, ""\d+"")), """")"),"")</f>
        <v/>
      </c>
      <c r="AW240" s="12" t="str">
        <f>IFERROR(__xludf.DUMMYFUNCTION("IFERROR(TEXTJOIN("", "", TRUE, FILTER(Validations!$Q$2:$Q$100, ISNUMBER(SEARCH(Validations!$Q$2:$Q$100, AS240)))), """")"),"")</f>
        <v/>
      </c>
      <c r="AX240" s="28" t="s">
        <v>72</v>
      </c>
      <c r="AY240" s="28" t="str">
        <f>IFERROR(__xludf.DUMMYFUNCTION("TEXTJOIN("", "", TRUE, FILTER(Validations!$Y$2:$Y$100, ISNUMBER(SEARCH(Validations!$X$2:$X$100, AX240))))"),"V, S")</f>
        <v>V, S</v>
      </c>
      <c r="AZ240" s="26"/>
      <c r="BA240" s="12"/>
      <c r="BB240" s="22"/>
      <c r="BC240" s="22"/>
      <c r="BD240" s="22"/>
      <c r="BE240" s="27"/>
      <c r="BF240" s="22"/>
      <c r="BG240" s="27"/>
      <c r="BH240" s="27"/>
      <c r="BI240" s="12" t="str">
        <f>IFERROR(__xludf.DUMMYFUNCTION("IFERROR(TEXTJOIN("", "", TRUE, FILTER(SRD!$A$2:$A$1000, EXACT(SRD!$A$2:$A$1000, J240))), """")"),"")</f>
        <v/>
      </c>
      <c r="BJ240" s="29"/>
      <c r="BK240" s="29"/>
    </row>
    <row r="241" ht="15.75" customHeight="1">
      <c r="A241" s="30" t="s">
        <v>1145</v>
      </c>
      <c r="B241" s="22"/>
      <c r="C241" s="16"/>
      <c r="D241" s="16" t="s">
        <v>302</v>
      </c>
      <c r="E241" s="16"/>
      <c r="F241" s="32" t="s">
        <v>250</v>
      </c>
      <c r="G241" s="50" t="s">
        <v>945</v>
      </c>
      <c r="H241" s="16" t="s">
        <v>85</v>
      </c>
      <c r="I241" s="16" t="str">
        <f t="array" ref="I241">INDEX(Validations!$C$2:$C$100, MATCH(TRUE, ISNUMBER(SEARCH(Validations!$B$2:$B$100, H241)), 0))</f>
        <v>T</v>
      </c>
      <c r="J241" s="17" t="s">
        <v>1146</v>
      </c>
      <c r="K241" s="18"/>
      <c r="L241" s="17"/>
      <c r="M241" s="17"/>
      <c r="N241" s="27"/>
      <c r="O241" s="17"/>
      <c r="P241" s="21"/>
      <c r="Q241" s="21"/>
      <c r="R241" s="36" t="s">
        <v>1147</v>
      </c>
      <c r="S241" s="17" t="str">
        <f>IFERROR(__xludf.DUMMYFUNCTION("IFERROR(REGEXEXTRACT(J241, ""(\d{1,3}[dD]\d{1,3})""), """")"),"")</f>
        <v/>
      </c>
      <c r="T241" s="17" t="str">
        <f>IFERROR(__xludf.DUMMYFUNCTION("IF(COUNTIF(ARRAYFORMULA(LOWER(Validations!$O$2:$O$100)), LOWER(REGEXEXTRACT(J241, ""\d{1,3}[dD]\d{1,3}\s+(\w+)"")))&gt;0, REGEXEXTRACT(J241, ""\d{1,3}[dD]\d{1,3}\s+(\w+)""), """")"),"")</f>
        <v/>
      </c>
      <c r="U241" s="17" t="str">
        <f>IFERROR(__xludf.DUMMYFUNCTION("IF(COUNTIF(ARRAYFORMULA(LOWER(Validations!$P$2:$P$100)), LOWER(REGEXEXTRACT(J241, ""\d{1,3}[dD]\d{1,3}\s+(\w+)"")))&gt;0, REGEXEXTRACT(J241, ""\d{1,3}[dD]\d{1,3}\s+(\w+)""), """")"),"")</f>
        <v/>
      </c>
      <c r="V241" s="12" t="str">
        <f>IFERROR(__xludf.DUMMYFUNCTION("TEXTJOIN("", "", TRUE, FILTER(Validations!$L$2:$L$100, ISNUMBER(SEARCH(Validations!$L$2:$L$100, J241))))"),"Altered")</f>
        <v>Altered</v>
      </c>
      <c r="W241" s="12" t="str">
        <f>IFERROR(__xludf.DUMMYFUNCTION("IFERROR(TEXTJOIN("", "", TRUE, FILTER(Validations!$M$2:$M$100, ISNUMBER(SEARCH(Validations!$M$2:$M$100 &amp; "" saving throw"", J241)))), """")"),"")</f>
        <v/>
      </c>
      <c r="X241" s="12"/>
      <c r="Y241" s="12"/>
      <c r="Z241" s="12" t="str">
        <f>IFERROR(__xludf.DUMMYFUNCTION("IFERROR(TEXTJOIN("", "", TRUE, FILTER(Validations!$N$2:$N$100, ISNUMBER(SEARCH(Validations!$N$2:$N$100 &amp; "" check"", J241)))), """")"),"")</f>
        <v/>
      </c>
      <c r="AA241" s="12" t="str">
        <f>IFERROR(__xludf.DUMMYFUNCTION("IFERROR(TEXTJOIN("", "", TRUE, FILTER(Validations!$N$2:$N$100, ISNUMBER(SEARCH(Validations!$N$2:$N$100 &amp; "" check"", W241)))), """")"),"")</f>
        <v/>
      </c>
      <c r="AB241" s="23" t="str">
        <f>IFERROR(__xludf.DUMMYFUNCTION("IFERROR(CONCATENATE(IF(ISNUMBER(SEARCH(Validations!$M$2:$M$100 &amp; "" spell save"", J241)),""Spell Save"",""""), REGEXEXTRACT(J241, ""DC (\d+)"")), """")"),"")</f>
        <v/>
      </c>
      <c r="AC241" s="24" t="b">
        <v>0</v>
      </c>
      <c r="AD241" s="24" t="b">
        <v>0</v>
      </c>
      <c r="AE241" s="36" t="s">
        <v>296</v>
      </c>
      <c r="AF241" s="25">
        <f>IFERROR(__xludf.DUMMYFUNCTION("IFERROR(VALUE(REGEXEXTRACT(AE241, ""\d+"")), 1)"),1.0)</f>
        <v>1</v>
      </c>
      <c r="AG241" s="12" t="str">
        <f>IFERROR(__xludf.DUMMYFUNCTION("IF(
  ISNUMBER(SEARCH(""Bonus Action"", AE241)),
  ""Bonus Action"",
  IF(
    ISNUMBER(SEARCH(""Reaction"", AE241)),
    ""Reaction"",
    IF(
      ISNUMBER(SEARCH(""Action"", AE241)),
      ""Action"",
      TEXTJOIN("", "", TRUE, FILTER(Validations!$S"&amp;"$2:$S$100, ISNUMBER(SEARCH(Validations!$S$2:$S$100, AE241))))
    )
  )
)"),"Hours")</f>
        <v>Hours</v>
      </c>
      <c r="AH241" s="22"/>
      <c r="AI241" s="27" t="s">
        <v>255</v>
      </c>
      <c r="AJ241" s="26" t="str">
        <f>IFERROR(__xludf.DUMMYFUNCTION("TEXTJOIN("", "", TRUE, FILTER(Validations!$T$2:$T$100, ISNUMBER(SEARCH(Validations!$T$2:$T$100, AI241))))"),"Permanent")</f>
        <v>Permanent</v>
      </c>
      <c r="AK241" s="26" t="str">
        <f>IFERROR(__xludf.DUMMYFUNCTION("IFERROR(VALUE(REGEXEXTRACT(AI241, ""\d+"")), """")"),"")</f>
        <v/>
      </c>
      <c r="AL241" s="26" t="str">
        <f>IFERROR(__xludf.DUMMYFUNCTION("TEXTJOIN("", "", TRUE, FILTER(Validations!$U$2:$U$100, ISNUMBER(SEARCH(Validations!$U$2:$U$100, AI241))))"),"")</f>
        <v/>
      </c>
      <c r="AM241" s="24" t="b">
        <f t="shared" si="1"/>
        <v>0</v>
      </c>
      <c r="AN241" s="24" t="b">
        <v>0</v>
      </c>
      <c r="AO241" s="22" t="s">
        <v>71</v>
      </c>
      <c r="AP241" s="12" t="str">
        <f>IFERROR(__xludf.DUMMYFUNCTION("IF(TEXTJOIN("", "", TRUE, FILTER(Validations!$Q$2:$Q$100, ISNUMBER(SEARCH(Validations!$Q$2:$Q$100, AO241)))) = """", Validations!$Q$2, TEXTJOIN("", "", TRUE, FILTER(Validations!$Q$2:$Q$100, ISNUMBER(SEARCH(Validations!$Q$2:$Q$100, AO241)))))"),"Point")</f>
        <v>Point</v>
      </c>
      <c r="AQ241" s="12" t="str">
        <f>IFERROR(__xludf.DUMMYFUNCTION("IFERROR(VALUE(REGEXEXTRACT(AO241, ""\d+"")), """")"),"")</f>
        <v/>
      </c>
      <c r="AR241" s="12" t="str">
        <f>IFERROR(__xludf.DUMMYFUNCTION("TEXTJOIN("", "", TRUE, FILTER(Validations!$R$2:$R$100, ISNUMBER(SEARCH(Validations!$R$2:$R$100, AO241))))"),"Touch")</f>
        <v>Touch</v>
      </c>
      <c r="AS241" s="27"/>
      <c r="AT241" s="12" t="str">
        <f>IFERROR(__xludf.DUMMYFUNCTION("IFERROR(TEXTJOIN("", "", TRUE, FILTER(Validations!$I$2:$I$100, ISNUMBER(SEARCH(Validations!$I$2:$I$100, AS241)))), """")"),"")</f>
        <v/>
      </c>
      <c r="AU241" s="16" t="str">
        <f t="array" ref="AU241">IFERROR(INDEX(Validations!$J$2:$J$100, MATCH(TRUE, ISNUMBER(SEARCH(Validations!$I$2:$I$100, AT241)), 0)), "")</f>
        <v/>
      </c>
      <c r="AV241" s="12" t="str">
        <f>IFERROR(__xludf.DUMMYFUNCTION("IFERROR(VALUE(REGEXEXTRACT(AS241, ""\d+"")), """")"),"")</f>
        <v/>
      </c>
      <c r="AW241" s="12" t="str">
        <f>IFERROR(__xludf.DUMMYFUNCTION("IFERROR(TEXTJOIN("", "", TRUE, FILTER(Validations!$Q$2:$Q$100, ISNUMBER(SEARCH(Validations!$Q$2:$Q$100, AS241)))), """")"),"")</f>
        <v/>
      </c>
      <c r="AX241" s="28" t="s">
        <v>152</v>
      </c>
      <c r="AY241" s="28" t="str">
        <f>IFERROR(__xludf.DUMMYFUNCTION("TEXTJOIN("", "", TRUE, FILTER(Validations!$Y$2:$Y$100, ISNUMBER(SEARCH(Validations!$X$2:$X$100, AX241))))"),"V, S, R")</f>
        <v>V, S, R</v>
      </c>
      <c r="AZ241" s="20" t="s">
        <v>1148</v>
      </c>
      <c r="BA241" s="22"/>
      <c r="BB241" s="22"/>
      <c r="BC241" s="22"/>
      <c r="BD241" s="22"/>
      <c r="BE241" s="27"/>
      <c r="BF241" s="28" t="s">
        <v>352</v>
      </c>
      <c r="BG241" s="27"/>
      <c r="BH241" s="27"/>
      <c r="BI241" s="12" t="str">
        <f>IFERROR(__xludf.DUMMYFUNCTION("IFERROR(TEXTJOIN("", "", TRUE, FILTER(SRD!$A$2:$A$1000, EXACT(SRD!$A$2:$A$1000, J241))), """")"),"")</f>
        <v/>
      </c>
      <c r="BJ241" s="29"/>
      <c r="BK241" s="29"/>
    </row>
    <row r="242" ht="15.75" customHeight="1">
      <c r="A242" s="11" t="s">
        <v>1149</v>
      </c>
      <c r="B242" s="12"/>
      <c r="C242" s="13"/>
      <c r="D242" s="13" t="s">
        <v>62</v>
      </c>
      <c r="E242" s="13"/>
      <c r="F242" s="14" t="s">
        <v>560</v>
      </c>
      <c r="G242" s="50" t="s">
        <v>945</v>
      </c>
      <c r="H242" s="16" t="s">
        <v>103</v>
      </c>
      <c r="I242" s="16" t="str">
        <f t="array" ref="I242">INDEX(Validations!$C$2:$C$100, MATCH(TRUE, ISNUMBER(SEARCH(Validations!$B$2:$B$100, H242)), 0))</f>
        <v>C</v>
      </c>
      <c r="J242" s="17" t="s">
        <v>1150</v>
      </c>
      <c r="K242" s="18"/>
      <c r="L242" s="17"/>
      <c r="M242" s="67"/>
      <c r="N242" s="27"/>
      <c r="O242" s="17"/>
      <c r="P242" s="21"/>
      <c r="Q242" s="21"/>
      <c r="R242" s="22"/>
      <c r="S242" s="17" t="str">
        <f>IFERROR(__xludf.DUMMYFUNCTION("IFERROR(REGEXEXTRACT(J242, ""(\d{1,3}[dD]\d{1,3})""), """")"),"1d6")</f>
        <v>1d6</v>
      </c>
      <c r="T242" s="17" t="str">
        <f>IFERROR(__xludf.DUMMYFUNCTION("IF(COUNTIF(ARRAYFORMULA(LOWER(Validations!$O$2:$O$100)), LOWER(REGEXEXTRACT(J242, ""\d{1,3}[dD]\d{1,3}\s+(\w+)"")))&gt;0, REGEXEXTRACT(J242, ""\d{1,3}[dD]\d{1,3}\s+(\w+)""), """")"),"")</f>
        <v/>
      </c>
      <c r="U242" s="17" t="str">
        <f>IFERROR(__xludf.DUMMYFUNCTION("IF(COUNTIF(ARRAYFORMULA(LOWER(Validations!$P$2:$P$100)), LOWER(REGEXEXTRACT(J242, ""\d{1,3}[dD]\d{1,3}\s+(\w+)"")))&gt;0, REGEXEXTRACT(J242, ""\d{1,3}[dD]\d{1,3}\s+(\w+)""), """")"),"")</f>
        <v/>
      </c>
      <c r="V242" s="12" t="str">
        <f>IFERROR(__xludf.DUMMYFUNCTION("TEXTJOIN("", "", TRUE, FILTER(Validations!$L$2:$L$100, ISNUMBER(SEARCH(Validations!$L$2:$L$100, J242))))"),"")</f>
        <v/>
      </c>
      <c r="W242" s="12" t="str">
        <f>IFERROR(__xludf.DUMMYFUNCTION("IFERROR(TEXTJOIN("", "", TRUE, FILTER(Validations!$M$2:$M$100, ISNUMBER(SEARCH(Validations!$M$2:$M$100 &amp; "" saving throw"", J242)))), """")"),"")</f>
        <v/>
      </c>
      <c r="X242" s="12"/>
      <c r="Y242" s="12"/>
      <c r="Z242" s="12" t="str">
        <f>IFERROR(__xludf.DUMMYFUNCTION("IFERROR(TEXTJOIN("", "", TRUE, FILTER(Validations!$N$2:$N$100, ISNUMBER(SEARCH(Validations!$N$2:$N$100 &amp; "" check"", J242)))), """")"),"")</f>
        <v/>
      </c>
      <c r="AA242" s="12" t="str">
        <f>IFERROR(__xludf.DUMMYFUNCTION("IFERROR(TEXTJOIN("", "", TRUE, FILTER(Validations!$N$2:$N$100, ISNUMBER(SEARCH(Validations!$N$2:$N$100 &amp; "" check"", W242)))), """")"),"")</f>
        <v/>
      </c>
      <c r="AB242" s="23" t="str">
        <f>IFERROR(__xludf.DUMMYFUNCTION("IFERROR(CONCATENATE(IF(ISNUMBER(SEARCH(Validations!$M$2:$M$100 &amp; "" spell save"", J242)),""Spell Save"",""""), REGEXEXTRACT(J242, ""DC (\d+)"")), """")"),"")</f>
        <v/>
      </c>
      <c r="AC242" s="24" t="b">
        <v>0</v>
      </c>
      <c r="AD242" s="24" t="b">
        <v>0</v>
      </c>
      <c r="AE242" s="12" t="s">
        <v>69</v>
      </c>
      <c r="AF242" s="25">
        <f>IFERROR(__xludf.DUMMYFUNCTION("IFERROR(VALUE(REGEXEXTRACT(AE242, ""\d+"")), 1)"),1.0)</f>
        <v>1</v>
      </c>
      <c r="AG242" s="12" t="str">
        <f>IFERROR(__xludf.DUMMYFUNCTION("IF(
  ISNUMBER(SEARCH(""Bonus Action"", AE242)),
  ""Bonus Action"",
  IF(
    ISNUMBER(SEARCH(""Reaction"", AE242)),
    ""Reaction"",
    IF(
      ISNUMBER(SEARCH(""Action"", AE242)),
      ""Action"",
      TEXTJOIN("", "", TRUE, FILTER(Validations!$S"&amp;"$2:$S$100, ISNUMBER(SEARCH(Validations!$S$2:$S$100, AE242))))
    )
  )
)"),"Action")</f>
        <v>Action</v>
      </c>
      <c r="AH242" s="12"/>
      <c r="AI242" s="26" t="s">
        <v>70</v>
      </c>
      <c r="AJ242" s="26" t="str">
        <f>IFERROR(__xludf.DUMMYFUNCTION("TEXTJOIN("", "", TRUE, FILTER(Validations!$T$2:$T$100, ISNUMBER(SEARCH(Validations!$T$2:$T$100, AI242))))"),"Instantaneous")</f>
        <v>Instantaneous</v>
      </c>
      <c r="AK242" s="26" t="str">
        <f>IFERROR(__xludf.DUMMYFUNCTION("IFERROR(VALUE(REGEXEXTRACT(AI242, ""\d+"")), """")"),"")</f>
        <v/>
      </c>
      <c r="AL242" s="26" t="str">
        <f>IFERROR(__xludf.DUMMYFUNCTION("TEXTJOIN("", "", TRUE, FILTER(Validations!$U$2:$U$100, ISNUMBER(SEARCH(Validations!$U$2:$U$100, AI242))))"),"")</f>
        <v/>
      </c>
      <c r="AM242" s="24" t="b">
        <f t="shared" si="1"/>
        <v>0</v>
      </c>
      <c r="AN242" s="24" t="b">
        <v>0</v>
      </c>
      <c r="AO242" s="36" t="s">
        <v>502</v>
      </c>
      <c r="AP242" s="12" t="str">
        <f>IFERROR(__xludf.DUMMYFUNCTION("IF(TEXTJOIN("", "", TRUE, FILTER(Validations!$Q$2:$Q$100, ISNUMBER(SEARCH(Validations!$Q$2:$Q$100, AO242)))) = """", Validations!$Q$2, TEXTJOIN("", "", TRUE, FILTER(Validations!$Q$2:$Q$100, ISNUMBER(SEARCH(Validations!$Q$2:$Q$100, AO242)))))"),"Point")</f>
        <v>Point</v>
      </c>
      <c r="AQ242" s="12">
        <f>IFERROR(__xludf.DUMMYFUNCTION("IFERROR(VALUE(REGEXEXTRACT(AO242, ""\d+"")), """")"),120.0)</f>
        <v>120</v>
      </c>
      <c r="AR242" s="12" t="str">
        <f>IFERROR(__xludf.DUMMYFUNCTION("TEXTJOIN("", "", TRUE, FILTER(Validations!$R$2:$R$100, ISNUMBER(SEARCH(Validations!$R$2:$R$100, AO242))))"),"Feet")</f>
        <v>Feet</v>
      </c>
      <c r="AS242" s="27"/>
      <c r="AT242" s="12" t="str">
        <f>IFERROR(__xludf.DUMMYFUNCTION("IFERROR(TEXTJOIN("", "", TRUE, FILTER(Validations!$I$2:$I$100, ISNUMBER(SEARCH(Validations!$I$2:$I$100, AS242)))), """")"),"")</f>
        <v/>
      </c>
      <c r="AU242" s="16" t="str">
        <f t="array" ref="AU242">IFERROR(INDEX(Validations!$J$2:$J$100, MATCH(TRUE, ISNUMBER(SEARCH(Validations!$I$2:$I$100, AT242)), 0)), "")</f>
        <v/>
      </c>
      <c r="AV242" s="12" t="str">
        <f>IFERROR(__xludf.DUMMYFUNCTION("IFERROR(VALUE(REGEXEXTRACT(AS242, ""\d+"")), """")"),"")</f>
        <v/>
      </c>
      <c r="AW242" s="12" t="str">
        <f>IFERROR(__xludf.DUMMYFUNCTION("IFERROR(TEXTJOIN("", "", TRUE, FILTER(Validations!$Q$2:$Q$100, ISNUMBER(SEARCH(Validations!$Q$2:$Q$100, AS242)))), """")"),"")</f>
        <v/>
      </c>
      <c r="AX242" s="28" t="s">
        <v>808</v>
      </c>
      <c r="AY242" s="28" t="str">
        <f>IFERROR(__xludf.DUMMYFUNCTION("TEXTJOIN("", "", TRUE, FILTER(Validations!$Y$2:$Y$100, ISNUMBER(SEARCH(Validations!$X$2:$X$100, AX242))))"),"R")</f>
        <v>R</v>
      </c>
      <c r="AZ242" s="20" t="s">
        <v>1151</v>
      </c>
      <c r="BA242" s="12"/>
      <c r="BB242" s="22"/>
      <c r="BC242" s="22"/>
      <c r="BD242" s="22"/>
      <c r="BE242" s="27"/>
      <c r="BF242" s="22"/>
      <c r="BG242" s="27"/>
      <c r="BH242" s="27"/>
      <c r="BI242" s="12" t="str">
        <f>IFERROR(__xludf.DUMMYFUNCTION("IFERROR(TEXTJOIN("", "", TRUE, FILTER(SRD!$A$2:$A$1000, EXACT(SRD!$A$2:$A$1000, J242))), """")"),"")</f>
        <v/>
      </c>
      <c r="BJ242" s="29"/>
      <c r="BK242" s="29"/>
    </row>
    <row r="243" ht="15.75" customHeight="1">
      <c r="A243" s="30" t="s">
        <v>1152</v>
      </c>
      <c r="B243" s="22"/>
      <c r="C243" s="16"/>
      <c r="D243" s="16" t="s">
        <v>1153</v>
      </c>
      <c r="E243" s="16"/>
      <c r="F243" s="32" t="s">
        <v>515</v>
      </c>
      <c r="G243" s="50" t="s">
        <v>945</v>
      </c>
      <c r="H243" s="16" t="s">
        <v>144</v>
      </c>
      <c r="I243" s="16" t="str">
        <f t="array" ref="I243">INDEX(Validations!$C$2:$C$100, MATCH(TRUE, ISNUMBER(SEARCH(Validations!$B$2:$B$100, H243)), 0))</f>
        <v>D</v>
      </c>
      <c r="J243" s="17" t="s">
        <v>1154</v>
      </c>
      <c r="K243" s="18"/>
      <c r="L243" s="17"/>
      <c r="M243" s="17"/>
      <c r="N243" s="27"/>
      <c r="O243" s="17"/>
      <c r="P243" s="21"/>
      <c r="Q243" s="21"/>
      <c r="R243" s="22"/>
      <c r="S243" s="17" t="str">
        <f>IFERROR(__xludf.DUMMYFUNCTION("IFERROR(REGEXEXTRACT(J243, ""(\d{1,3}[dD]\d{1,3})""), """")"),"")</f>
        <v/>
      </c>
      <c r="T243" s="17" t="str">
        <f>IFERROR(__xludf.DUMMYFUNCTION("IF(COUNTIF(ARRAYFORMULA(LOWER(Validations!$O$2:$O$100)), LOWER(REGEXEXTRACT(J243, ""\d{1,3}[dD]\d{1,3}\s+(\w+)"")))&gt;0, REGEXEXTRACT(J243, ""\d{1,3}[dD]\d{1,3}\s+(\w+)""), """")"),"")</f>
        <v/>
      </c>
      <c r="U243" s="17" t="str">
        <f>IFERROR(__xludf.DUMMYFUNCTION("IF(COUNTIF(ARRAYFORMULA(LOWER(Validations!$P$2:$P$100)), LOWER(REGEXEXTRACT(J243, ""\d{1,3}[dD]\d{1,3}\s+(\w+)"")))&gt;0, REGEXEXTRACT(J243, ""\d{1,3}[dD]\d{1,3}\s+(\w+)""), """")"),"")</f>
        <v/>
      </c>
      <c r="V243" s="12" t="str">
        <f>IFERROR(__xludf.DUMMYFUNCTION("TEXTJOIN("", "", TRUE, FILTER(Validations!$L$2:$L$100, ISNUMBER(SEARCH(Validations!$L$2:$L$100, J243))))"),"")</f>
        <v/>
      </c>
      <c r="W243" s="12" t="str">
        <f>IFERROR(__xludf.DUMMYFUNCTION("IFERROR(TEXTJOIN("", "", TRUE, FILTER(Validations!$M$2:$M$100, ISNUMBER(SEARCH(Validations!$M$2:$M$100 &amp; "" saving throw"", J243)))), """")"),"")</f>
        <v/>
      </c>
      <c r="X243" s="12"/>
      <c r="Y243" s="12"/>
      <c r="Z243" s="12" t="str">
        <f>IFERROR(__xludf.DUMMYFUNCTION("IFERROR(TEXTJOIN("", "", TRUE, FILTER(Validations!$N$2:$N$100, ISNUMBER(SEARCH(Validations!$N$2:$N$100 &amp; "" check"", J243)))), """")"),"")</f>
        <v/>
      </c>
      <c r="AA243" s="12" t="str">
        <f>IFERROR(__xludf.DUMMYFUNCTION("IFERROR(TEXTJOIN("", "", TRUE, FILTER(Validations!$N$2:$N$100, ISNUMBER(SEARCH(Validations!$N$2:$N$100 &amp; "" check"", W243)))), """")"),"")</f>
        <v/>
      </c>
      <c r="AB243" s="23" t="str">
        <f>IFERROR(__xludf.DUMMYFUNCTION("IFERROR(CONCATENATE(IF(ISNUMBER(SEARCH(Validations!$M$2:$M$100 &amp; "" spell save"", J243)),""Spell Save"",""""), REGEXEXTRACT(J243, ""DC (\d+)"")), """")"),"")</f>
        <v/>
      </c>
      <c r="AC243" s="24" t="b">
        <v>0</v>
      </c>
      <c r="AD243" s="24" t="b">
        <v>0</v>
      </c>
      <c r="AE243" s="36" t="s">
        <v>69</v>
      </c>
      <c r="AF243" s="25">
        <f>IFERROR(__xludf.DUMMYFUNCTION("IFERROR(VALUE(REGEXEXTRACT(AE243, ""\d+"")), 1)"),1.0)</f>
        <v>1</v>
      </c>
      <c r="AG243" s="12" t="str">
        <f>IFERROR(__xludf.DUMMYFUNCTION("IF(
  ISNUMBER(SEARCH(""Bonus Action"", AE243)),
  ""Bonus Action"",
  IF(
    ISNUMBER(SEARCH(""Reaction"", AE243)),
    ""Reaction"",
    IF(
      ISNUMBER(SEARCH(""Action"", AE243)),
      ""Action"",
      TEXTJOIN("", "", TRUE, FILTER(Validations!$S"&amp;"$2:$S$100, ISNUMBER(SEARCH(Validations!$S$2:$S$100, AE243))))
    )
  )
)"),"Action")</f>
        <v>Action</v>
      </c>
      <c r="AH243" s="36"/>
      <c r="AI243" s="20" t="s">
        <v>92</v>
      </c>
      <c r="AJ243" s="26" t="str">
        <f>IFERROR(__xludf.DUMMYFUNCTION("TEXTJOIN("", "", TRUE, FILTER(Validations!$T$2:$T$100, ISNUMBER(SEARCH(Validations!$T$2:$T$100, AI243))))"),"")</f>
        <v/>
      </c>
      <c r="AK243" s="26">
        <f>IFERROR(__xludf.DUMMYFUNCTION("IFERROR(VALUE(REGEXEXTRACT(AI243, ""\d+"")), """")"),1.0)</f>
        <v>1</v>
      </c>
      <c r="AL243" s="26" t="str">
        <f>IFERROR(__xludf.DUMMYFUNCTION("TEXTJOIN("", "", TRUE, FILTER(Validations!$U$2:$U$100, ISNUMBER(SEARCH(Validations!$U$2:$U$100, AI243))))"),"Minutes")</f>
        <v>Minutes</v>
      </c>
      <c r="AM243" s="24" t="b">
        <f t="shared" si="1"/>
        <v>0</v>
      </c>
      <c r="AN243" s="24" t="b">
        <v>1</v>
      </c>
      <c r="AO243" s="22" t="s">
        <v>502</v>
      </c>
      <c r="AP243" s="12" t="str">
        <f>IFERROR(__xludf.DUMMYFUNCTION("IF(TEXTJOIN("", "", TRUE, FILTER(Validations!$Q$2:$Q$100, ISNUMBER(SEARCH(Validations!$Q$2:$Q$100, AO243)))) = """", Validations!$Q$2, TEXTJOIN("", "", TRUE, FILTER(Validations!$Q$2:$Q$100, ISNUMBER(SEARCH(Validations!$Q$2:$Q$100, AO243)))))"),"Point")</f>
        <v>Point</v>
      </c>
      <c r="AQ243" s="12">
        <f>IFERROR(__xludf.DUMMYFUNCTION("IFERROR(VALUE(REGEXEXTRACT(AO243, ""\d+"")), """")"),120.0)</f>
        <v>120</v>
      </c>
      <c r="AR243" s="12" t="str">
        <f>IFERROR(__xludf.DUMMYFUNCTION("TEXTJOIN("", "", TRUE, FILTER(Validations!$R$2:$R$100, ISNUMBER(SEARCH(Validations!$R$2:$R$100, AO243))))"),"Feet")</f>
        <v>Feet</v>
      </c>
      <c r="AS243" s="27"/>
      <c r="AT243" s="12" t="str">
        <f>IFERROR(__xludf.DUMMYFUNCTION("IFERROR(TEXTJOIN("", "", TRUE, FILTER(Validations!$I$2:$I$100, ISNUMBER(SEARCH(Validations!$I$2:$I$100, AS243)))), """")"),"")</f>
        <v/>
      </c>
      <c r="AU243" s="16" t="str">
        <f t="array" ref="AU243">IFERROR(INDEX(Validations!$J$2:$J$100, MATCH(TRUE, ISNUMBER(SEARCH(Validations!$I$2:$I$100, AT243)), 0)), "")</f>
        <v/>
      </c>
      <c r="AV243" s="12" t="str">
        <f>IFERROR(__xludf.DUMMYFUNCTION("IFERROR(VALUE(REGEXEXTRACT(AS243, ""\d+"")), """")"),"")</f>
        <v/>
      </c>
      <c r="AW243" s="12" t="str">
        <f>IFERROR(__xludf.DUMMYFUNCTION("IFERROR(TEXTJOIN("", "", TRUE, FILTER(Validations!$Q$2:$Q$100, ISNUMBER(SEARCH(Validations!$Q$2:$Q$100, AS243)))), """")"),"")</f>
        <v/>
      </c>
      <c r="AX243" s="28" t="s">
        <v>152</v>
      </c>
      <c r="AY243" s="28" t="str">
        <f>IFERROR(__xludf.DUMMYFUNCTION("TEXTJOIN("", "", TRUE, FILTER(Validations!$Y$2:$Y$100, ISNUMBER(SEARCH(Validations!$X$2:$X$100, AX243))))"),"V, S, R")</f>
        <v>V, S, R</v>
      </c>
      <c r="AZ243" s="20" t="s">
        <v>1155</v>
      </c>
      <c r="BA243" s="22"/>
      <c r="BB243" s="22"/>
      <c r="BC243" s="22"/>
      <c r="BD243" s="22"/>
      <c r="BE243" s="27"/>
      <c r="BF243" s="22"/>
      <c r="BG243" s="27"/>
      <c r="BH243" s="27"/>
      <c r="BI243" s="12" t="str">
        <f>IFERROR(__xludf.DUMMYFUNCTION("IFERROR(TEXTJOIN("", "", TRUE, FILTER(SRD!$A$2:$A$1000, EXACT(SRD!$A$2:$A$1000, J243))), """")"),"")</f>
        <v/>
      </c>
      <c r="BJ243" s="29"/>
      <c r="BK243" s="29"/>
    </row>
    <row r="244" ht="15.75" customHeight="1">
      <c r="A244" s="30" t="s">
        <v>1156</v>
      </c>
      <c r="B244" s="22"/>
      <c r="C244" s="16"/>
      <c r="D244" s="16" t="s">
        <v>302</v>
      </c>
      <c r="E244" s="16"/>
      <c r="F244" s="32" t="s">
        <v>186</v>
      </c>
      <c r="G244" s="50" t="s">
        <v>945</v>
      </c>
      <c r="H244" s="16" t="s">
        <v>178</v>
      </c>
      <c r="I244" s="16" t="str">
        <f t="array" ref="I244">INDEX(Validations!$C$2:$C$100, MATCH(TRUE, ISNUMBER(SEARCH(Validations!$B$2:$B$100, H244)), 0))</f>
        <v>A</v>
      </c>
      <c r="J244" s="17" t="s">
        <v>1157</v>
      </c>
      <c r="K244" s="18"/>
      <c r="L244" s="17"/>
      <c r="M244" s="17"/>
      <c r="N244" s="27"/>
      <c r="O244" s="17"/>
      <c r="P244" s="21"/>
      <c r="Q244" s="21"/>
      <c r="R244" s="22"/>
      <c r="S244" s="17" t="str">
        <f>IFERROR(__xludf.DUMMYFUNCTION("IFERROR(REGEXEXTRACT(J244, ""(\d{1,3}[dD]\d{1,3})""), """")"),"")</f>
        <v/>
      </c>
      <c r="T244" s="17" t="str">
        <f>IFERROR(__xludf.DUMMYFUNCTION("IF(COUNTIF(ARRAYFORMULA(LOWER(Validations!$O$2:$O$100)), LOWER(REGEXEXTRACT(J244, ""\d{1,3}[dD]\d{1,3}\s+(\w+)"")))&gt;0, REGEXEXTRACT(J244, ""\d{1,3}[dD]\d{1,3}\s+(\w+)""), """")"),"")</f>
        <v/>
      </c>
      <c r="U244" s="17" t="str">
        <f>IFERROR(__xludf.DUMMYFUNCTION("IF(COUNTIF(ARRAYFORMULA(LOWER(Validations!$P$2:$P$100)), LOWER(REGEXEXTRACT(J244, ""\d{1,3}[dD]\d{1,3}\s+(\w+)"")))&gt;0, REGEXEXTRACT(J244, ""\d{1,3}[dD]\d{1,3}\s+(\w+)""), """")"),"")</f>
        <v/>
      </c>
      <c r="V244" s="12" t="str">
        <f>IFERROR(__xludf.DUMMYFUNCTION("TEXTJOIN("", "", TRUE, FILTER(Validations!$L$2:$L$100, ISNUMBER(SEARCH(Validations!$L$2:$L$100, J244))))"),"")</f>
        <v/>
      </c>
      <c r="W244" s="12" t="str">
        <f>IFERROR(__xludf.DUMMYFUNCTION("IFERROR(TEXTJOIN("", "", TRUE, FILTER(Validations!$M$2:$M$100, ISNUMBER(SEARCH(Validations!$M$2:$M$100 &amp; "" saving throw"", J244)))), """")"),"Wisdom")</f>
        <v>Wisdom</v>
      </c>
      <c r="X244" s="12"/>
      <c r="Y244" s="12"/>
      <c r="Z244" s="12" t="str">
        <f>IFERROR(__xludf.DUMMYFUNCTION("IFERROR(TEXTJOIN("", "", TRUE, FILTER(Validations!$N$2:$N$100, ISNUMBER(SEARCH(Validations!$N$2:$N$100 &amp; "" check"", J244)))), """")"),"Deception")</f>
        <v>Deception</v>
      </c>
      <c r="AA244" s="12" t="str">
        <f>IFERROR(__xludf.DUMMYFUNCTION("IFERROR(TEXTJOIN("", "", TRUE, FILTER(Validations!$N$2:$N$100, ISNUMBER(SEARCH(Validations!$N$2:$N$100 &amp; "" check"", W244)))), """")"),"")</f>
        <v/>
      </c>
      <c r="AB244" s="23" t="str">
        <f>IFERROR(__xludf.DUMMYFUNCTION("IFERROR(CONCATENATE(IF(ISNUMBER(SEARCH(Validations!$M$2:$M$100 &amp; "" spell save"", J244)),""Spell Save"",""""), REGEXEXTRACT(J244, ""DC (\d+)"")), """")"),"15")</f>
        <v>15</v>
      </c>
      <c r="AC244" s="24" t="b">
        <v>0</v>
      </c>
      <c r="AD244" s="24" t="b">
        <v>0</v>
      </c>
      <c r="AE244" s="36" t="s">
        <v>69</v>
      </c>
      <c r="AF244" s="25">
        <f>IFERROR(__xludf.DUMMYFUNCTION("IFERROR(VALUE(REGEXEXTRACT(AE244, ""\d+"")), 1)"),1.0)</f>
        <v>1</v>
      </c>
      <c r="AG244" s="12" t="str">
        <f>IFERROR(__xludf.DUMMYFUNCTION("IF(
  ISNUMBER(SEARCH(""Bonus Action"", AE244)),
  ""Bonus Action"",
  IF(
    ISNUMBER(SEARCH(""Reaction"", AE244)),
    ""Reaction"",
    IF(
      ISNUMBER(SEARCH(""Action"", AE244)),
      ""Action"",
      TEXTJOIN("", "", TRUE, FILTER(Validations!$S"&amp;"$2:$S$100, ISNUMBER(SEARCH(Validations!$S$2:$S$100, AE244))))
    )
  )
)"),"Action")</f>
        <v>Action</v>
      </c>
      <c r="AH244" s="36"/>
      <c r="AI244" s="20" t="s">
        <v>296</v>
      </c>
      <c r="AJ244" s="26" t="str">
        <f>IFERROR(__xludf.DUMMYFUNCTION("TEXTJOIN("", "", TRUE, FILTER(Validations!$T$2:$T$100, ISNUMBER(SEARCH(Validations!$T$2:$T$100, AI244))))"),"")</f>
        <v/>
      </c>
      <c r="AK244" s="26">
        <f>IFERROR(__xludf.DUMMYFUNCTION("IFERROR(VALUE(REGEXEXTRACT(AI244, ""\d+"")), """")"),1.0)</f>
        <v>1</v>
      </c>
      <c r="AL244" s="26" t="str">
        <f>IFERROR(__xludf.DUMMYFUNCTION("TEXTJOIN("", "", TRUE, FILTER(Validations!$U$2:$U$100, ISNUMBER(SEARCH(Validations!$U$2:$U$100, AI244))))"),"Hours")</f>
        <v>Hours</v>
      </c>
      <c r="AM244" s="24" t="b">
        <f t="shared" si="1"/>
        <v>0</v>
      </c>
      <c r="AN244" s="24" t="b">
        <v>0</v>
      </c>
      <c r="AO244" s="22" t="s">
        <v>78</v>
      </c>
      <c r="AP244" s="12" t="str">
        <f>IFERROR(__xludf.DUMMYFUNCTION("IF(TEXTJOIN("", "", TRUE, FILTER(Validations!$Q$2:$Q$100, ISNUMBER(SEARCH(Validations!$Q$2:$Q$100, AO244)))) = """", Validations!$Q$2, TEXTJOIN("", "", TRUE, FILTER(Validations!$Q$2:$Q$100, ISNUMBER(SEARCH(Validations!$Q$2:$Q$100, AO244)))))"),"Point")</f>
        <v>Point</v>
      </c>
      <c r="AQ244" s="12" t="str">
        <f>IFERROR(__xludf.DUMMYFUNCTION("IFERROR(VALUE(REGEXEXTRACT(AO244, ""\d+"")), """")"),"")</f>
        <v/>
      </c>
      <c r="AR244" s="12" t="str">
        <f>IFERROR(__xludf.DUMMYFUNCTION("TEXTJOIN("", "", TRUE, FILTER(Validations!$R$2:$R$100, ISNUMBER(SEARCH(Validations!$R$2:$R$100, AO244))))"),"Self")</f>
        <v>Self</v>
      </c>
      <c r="AS244" s="27"/>
      <c r="AT244" s="12" t="str">
        <f>IFERROR(__xludf.DUMMYFUNCTION("IFERROR(TEXTJOIN("", "", TRUE, FILTER(Validations!$I$2:$I$100, ISNUMBER(SEARCH(Validations!$I$2:$I$100, AS244)))), """")"),"")</f>
        <v/>
      </c>
      <c r="AU244" s="16" t="str">
        <f t="array" ref="AU244">IFERROR(INDEX(Validations!$J$2:$J$100, MATCH(TRUE, ISNUMBER(SEARCH(Validations!$I$2:$I$100, AT244)), 0)), "")</f>
        <v/>
      </c>
      <c r="AV244" s="12" t="str">
        <f>IFERROR(__xludf.DUMMYFUNCTION("IFERROR(VALUE(REGEXEXTRACT(AS244, ""\d+"")), """")"),"")</f>
        <v/>
      </c>
      <c r="AW244" s="12" t="str">
        <f>IFERROR(__xludf.DUMMYFUNCTION("IFERROR(TEXTJOIN("", "", TRUE, FILTER(Validations!$Q$2:$Q$100, ISNUMBER(SEARCH(Validations!$Q$2:$Q$100, AS244)))), """")"),"")</f>
        <v/>
      </c>
      <c r="AX244" s="28" t="s">
        <v>152</v>
      </c>
      <c r="AY244" s="28" t="str">
        <f>IFERROR(__xludf.DUMMYFUNCTION("TEXTJOIN("", "", TRUE, FILTER(Validations!$Y$2:$Y$100, ISNUMBER(SEARCH(Validations!$X$2:$X$100, AX244))))"),"V, S, R")</f>
        <v>V, S, R</v>
      </c>
      <c r="AZ244" s="20" t="s">
        <v>1158</v>
      </c>
      <c r="BA244" s="22"/>
      <c r="BB244" s="22"/>
      <c r="BC244" s="22"/>
      <c r="BD244" s="22"/>
      <c r="BE244" s="27"/>
      <c r="BF244" s="22"/>
      <c r="BG244" s="27"/>
      <c r="BH244" s="27"/>
      <c r="BI244" s="12" t="str">
        <f>IFERROR(__xludf.DUMMYFUNCTION("IFERROR(TEXTJOIN("", "", TRUE, FILTER(SRD!$A$2:$A$1000, EXACT(SRD!$A$2:$A$1000, J244))), """")"),"")</f>
        <v/>
      </c>
      <c r="BJ244" s="29"/>
      <c r="BK244" s="29"/>
    </row>
    <row r="245" ht="15.75" customHeight="1">
      <c r="A245" s="38" t="s">
        <v>1159</v>
      </c>
      <c r="B245" s="12"/>
      <c r="C245" s="13"/>
      <c r="D245" s="13" t="s">
        <v>617</v>
      </c>
      <c r="E245" s="13"/>
      <c r="F245" s="14" t="s">
        <v>924</v>
      </c>
      <c r="G245" s="50" t="s">
        <v>945</v>
      </c>
      <c r="H245" s="16" t="s">
        <v>178</v>
      </c>
      <c r="I245" s="16" t="str">
        <f t="array" ref="I245">INDEX(Validations!$C$2:$C$100, MATCH(TRUE, ISNUMBER(SEARCH(Validations!$B$2:$B$100, H245)), 0))</f>
        <v>A</v>
      </c>
      <c r="J245" s="17" t="s">
        <v>1160</v>
      </c>
      <c r="K245" s="51"/>
      <c r="L245" s="52"/>
      <c r="M245" s="52"/>
      <c r="N245" s="20" t="s">
        <v>1161</v>
      </c>
      <c r="O245" s="17" t="s">
        <v>1162</v>
      </c>
      <c r="P245" s="21"/>
      <c r="Q245" s="21"/>
      <c r="R245" s="36" t="s">
        <v>1163</v>
      </c>
      <c r="S245" s="17" t="str">
        <f>IFERROR(__xludf.DUMMYFUNCTION("IFERROR(REGEXEXTRACT(J245, ""(\d{1,3}[dD]\d{1,3})""), """")"),"")</f>
        <v/>
      </c>
      <c r="T245" s="17" t="str">
        <f>IFERROR(__xludf.DUMMYFUNCTION("IF(COUNTIF(ARRAYFORMULA(LOWER(Validations!$O$2:$O$100)), LOWER(REGEXEXTRACT(J245, ""\d{1,3}[dD]\d{1,3}\s+(\w+)"")))&gt;0, REGEXEXTRACT(J245, ""\d{1,3}[dD]\d{1,3}\s+(\w+)""), """")"),"")</f>
        <v/>
      </c>
      <c r="U245" s="17" t="str">
        <f>IFERROR(__xludf.DUMMYFUNCTION("IF(COUNTIF(ARRAYFORMULA(LOWER(Validations!$P$2:$P$100)), LOWER(REGEXEXTRACT(J245, ""\d{1,3}[dD]\d{1,3}\s+(\w+)"")))&gt;0, REGEXEXTRACT(J245, ""\d{1,3}[dD]\d{1,3}\s+(\w+)""), """")"),"")</f>
        <v/>
      </c>
      <c r="V245" s="12" t="str">
        <f>IFERROR(__xludf.DUMMYFUNCTION("TEXTJOIN("", "", TRUE, FILTER(Validations!$L$2:$L$100, ISNUMBER(SEARCH(Validations!$L$2:$L$100, J245))))"),"")</f>
        <v/>
      </c>
      <c r="W245" s="12" t="str">
        <f>IFERROR(__xludf.DUMMYFUNCTION("IFERROR(TEXTJOIN("", "", TRUE, FILTER(Validations!$M$2:$M$100, ISNUMBER(SEARCH(Validations!$M$2:$M$100 &amp; "" saving throw"", J245)))), """")"),"")</f>
        <v/>
      </c>
      <c r="X245" s="12"/>
      <c r="Y245" s="12"/>
      <c r="Z245" s="12" t="str">
        <f>IFERROR(__xludf.DUMMYFUNCTION("IFERROR(TEXTJOIN("", "", TRUE, FILTER(Validations!$N$2:$N$100, ISNUMBER(SEARCH(Validations!$N$2:$N$100 &amp; "" check"", J245)))), """")"),"")</f>
        <v/>
      </c>
      <c r="AA245" s="12" t="str">
        <f>IFERROR(__xludf.DUMMYFUNCTION("IFERROR(TEXTJOIN("", "", TRUE, FILTER(Validations!$N$2:$N$100, ISNUMBER(SEARCH(Validations!$N$2:$N$100 &amp; "" check"", W245)))), """")"),"")</f>
        <v/>
      </c>
      <c r="AB245" s="23" t="str">
        <f>IFERROR(__xludf.DUMMYFUNCTION("IFERROR(CONCATENATE(IF(ISNUMBER(SEARCH(Validations!$M$2:$M$100 &amp; "" spell save"", J245)),""Spell Save"",""""), REGEXEXTRACT(J245, ""DC (\d+)"")), """")"),"")</f>
        <v/>
      </c>
      <c r="AC245" s="24" t="b">
        <v>0</v>
      </c>
      <c r="AD245" s="24" t="b">
        <v>0</v>
      </c>
      <c r="AE245" s="12" t="s">
        <v>69</v>
      </c>
      <c r="AF245" s="25">
        <f>IFERROR(__xludf.DUMMYFUNCTION("IFERROR(VALUE(REGEXEXTRACT(AE245, ""\d+"")), 1)"),1.0)</f>
        <v>1</v>
      </c>
      <c r="AG245" s="12" t="str">
        <f>IFERROR(__xludf.DUMMYFUNCTION("IF(
  ISNUMBER(SEARCH(""Bonus Action"", AE245)),
  ""Bonus Action"",
  IF(
    ISNUMBER(SEARCH(""Reaction"", AE245)),
    ""Reaction"",
    IF(
      ISNUMBER(SEARCH(""Action"", AE245)),
      ""Action"",
      TEXTJOIN("", "", TRUE, FILTER(Validations!$S"&amp;"$2:$S$100, ISNUMBER(SEARCH(Validations!$S$2:$S$100, AE245))))
    )
  )
)"),"Action")</f>
        <v>Action</v>
      </c>
      <c r="AH245" s="12"/>
      <c r="AI245" s="20" t="s">
        <v>92</v>
      </c>
      <c r="AJ245" s="26" t="str">
        <f>IFERROR(__xludf.DUMMYFUNCTION("TEXTJOIN("", "", TRUE, FILTER(Validations!$T$2:$T$100, ISNUMBER(SEARCH(Validations!$T$2:$T$100, AI245))))"),"")</f>
        <v/>
      </c>
      <c r="AK245" s="26">
        <f>IFERROR(__xludf.DUMMYFUNCTION("IFERROR(VALUE(REGEXEXTRACT(AI245, ""\d+"")), """")"),1.0)</f>
        <v>1</v>
      </c>
      <c r="AL245" s="26" t="str">
        <f>IFERROR(__xludf.DUMMYFUNCTION("TEXTJOIN("", "", TRUE, FILTER(Validations!$U$2:$U$100, ISNUMBER(SEARCH(Validations!$U$2:$U$100, AI245))))"),"Minutes")</f>
        <v>Minutes</v>
      </c>
      <c r="AM245" s="24" t="b">
        <f t="shared" si="1"/>
        <v>0</v>
      </c>
      <c r="AN245" s="24" t="b">
        <v>0</v>
      </c>
      <c r="AO245" s="12" t="s">
        <v>78</v>
      </c>
      <c r="AP245" s="12" t="str">
        <f>IFERROR(__xludf.DUMMYFUNCTION("IF(TEXTJOIN("", "", TRUE, FILTER(Validations!$Q$2:$Q$100, ISNUMBER(SEARCH(Validations!$Q$2:$Q$100, AO245)))) = """", Validations!$Q$2, TEXTJOIN("", "", TRUE, FILTER(Validations!$Q$2:$Q$100, ISNUMBER(SEARCH(Validations!$Q$2:$Q$100, AO245)))))"),"Point")</f>
        <v>Point</v>
      </c>
      <c r="AQ245" s="12" t="str">
        <f>IFERROR(__xludf.DUMMYFUNCTION("IFERROR(VALUE(REGEXEXTRACT(AO245, ""\d+"")), """")"),"")</f>
        <v/>
      </c>
      <c r="AR245" s="12" t="str">
        <f>IFERROR(__xludf.DUMMYFUNCTION("TEXTJOIN("", "", TRUE, FILTER(Validations!$R$2:$R$100, ISNUMBER(SEARCH(Validations!$R$2:$R$100, AO245))))"),"Self")</f>
        <v>Self</v>
      </c>
      <c r="AS245" s="27"/>
      <c r="AT245" s="12" t="str">
        <f>IFERROR(__xludf.DUMMYFUNCTION("IFERROR(TEXTJOIN("", "", TRUE, FILTER(Validations!$I$2:$I$100, ISNUMBER(SEARCH(Validations!$I$2:$I$100, AS245)))), """")"),"")</f>
        <v/>
      </c>
      <c r="AU245" s="16" t="str">
        <f t="array" ref="AU245">IFERROR(INDEX(Validations!$J$2:$J$100, MATCH(TRUE, ISNUMBER(SEARCH(Validations!$I$2:$I$100, AT245)), 0)), "")</f>
        <v/>
      </c>
      <c r="AV245" s="12" t="str">
        <f>IFERROR(__xludf.DUMMYFUNCTION("IFERROR(VALUE(REGEXEXTRACT(AS245, ""\d+"")), """")"),"")</f>
        <v/>
      </c>
      <c r="AW245" s="12" t="str">
        <f>IFERROR(__xludf.DUMMYFUNCTION("IFERROR(TEXTJOIN("", "", TRUE, FILTER(Validations!$Q$2:$Q$100, ISNUMBER(SEARCH(Validations!$Q$2:$Q$100, AS245)))), """")"),"")</f>
        <v/>
      </c>
      <c r="AX245" s="28" t="s">
        <v>152</v>
      </c>
      <c r="AY245" s="28" t="str">
        <f>IFERROR(__xludf.DUMMYFUNCTION("TEXTJOIN("", "", TRUE, FILTER(Validations!$Y$2:$Y$100, ISNUMBER(SEARCH(Validations!$X$2:$X$100, AX245))))"),"V, S, R")</f>
        <v>V, S, R</v>
      </c>
      <c r="AZ245" s="26" t="s">
        <v>1164</v>
      </c>
      <c r="BA245" s="12"/>
      <c r="BB245" s="22"/>
      <c r="BC245" s="22"/>
      <c r="BD245" s="22"/>
      <c r="BE245" s="27"/>
      <c r="BF245" s="22"/>
      <c r="BG245" s="27"/>
      <c r="BH245" s="27"/>
      <c r="BI245" s="12" t="str">
        <f>IFERROR(__xludf.DUMMYFUNCTION("IFERROR(TEXTJOIN("", "", TRUE, FILTER(SRD!$A$2:$A$1000, EXACT(SRD!$A$2:$A$1000, J245))), """")"),"")</f>
        <v/>
      </c>
      <c r="BJ245" s="29"/>
      <c r="BK245" s="29"/>
    </row>
    <row r="246" ht="15.75" customHeight="1">
      <c r="A246" s="11" t="s">
        <v>1165</v>
      </c>
      <c r="B246" s="12"/>
      <c r="C246" s="13"/>
      <c r="D246" s="13" t="s">
        <v>1166</v>
      </c>
      <c r="E246" s="13"/>
      <c r="F246" s="14" t="s">
        <v>1167</v>
      </c>
      <c r="G246" s="50" t="s">
        <v>945</v>
      </c>
      <c r="H246" s="16" t="s">
        <v>183</v>
      </c>
      <c r="I246" s="16" t="str">
        <f t="array" ref="I246">INDEX(Validations!$C$2:$C$100, MATCH(TRUE, ISNUMBER(SEARCH(Validations!$B$2:$B$100, H246)), 0))</f>
        <v>E</v>
      </c>
      <c r="J246" s="17" t="s">
        <v>1168</v>
      </c>
      <c r="K246" s="51"/>
      <c r="L246" s="52"/>
      <c r="M246" s="68"/>
      <c r="N246" s="20" t="s">
        <v>1169</v>
      </c>
      <c r="O246" s="52"/>
      <c r="P246" s="53"/>
      <c r="Q246" s="53"/>
      <c r="R246" s="36"/>
      <c r="S246" s="17" t="str">
        <f>IFERROR(__xludf.DUMMYFUNCTION("IFERROR(REGEXEXTRACT(J246, ""(\d{1,3}[dD]\d{1,3})""), """")"),"")</f>
        <v/>
      </c>
      <c r="T246" s="17" t="str">
        <f>IFERROR(__xludf.DUMMYFUNCTION("IF(COUNTIF(ARRAYFORMULA(LOWER(Validations!$O$2:$O$100)), LOWER(REGEXEXTRACT(J246, ""\d{1,3}[dD]\d{1,3}\s+(\w+)"")))&gt;0, REGEXEXTRACT(J246, ""\d{1,3}[dD]\d{1,3}\s+(\w+)""), """")"),"")</f>
        <v/>
      </c>
      <c r="U246" s="17" t="str">
        <f>IFERROR(__xludf.DUMMYFUNCTION("IF(COUNTIF(ARRAYFORMULA(LOWER(Validations!$P$2:$P$100)), LOWER(REGEXEXTRACT(J246, ""\d{1,3}[dD]\d{1,3}\s+(\w+)"")))&gt;0, REGEXEXTRACT(J246, ""\d{1,3}[dD]\d{1,3}\s+(\w+)""), """")"),"")</f>
        <v/>
      </c>
      <c r="V246" s="12" t="str">
        <f>IFERROR(__xludf.DUMMYFUNCTION("TEXTJOIN("", "", TRUE, FILTER(Validations!$L$2:$L$100, ISNUMBER(SEARCH(Validations!$L$2:$L$100, J246))))"),"Invisible")</f>
        <v>Invisible</v>
      </c>
      <c r="W246" s="12" t="str">
        <f>IFERROR(__xludf.DUMMYFUNCTION("IFERROR(TEXTJOIN("", "", TRUE, FILTER(Validations!$M$2:$M$100, ISNUMBER(SEARCH(Validations!$M$2:$M$100 &amp; "" saving throw"", J246)))), """")"),"")</f>
        <v/>
      </c>
      <c r="X246" s="12"/>
      <c r="Y246" s="12"/>
      <c r="Z246" s="12" t="str">
        <f>IFERROR(__xludf.DUMMYFUNCTION("IFERROR(TEXTJOIN("", "", TRUE, FILTER(Validations!$N$2:$N$100, ISNUMBER(SEARCH(Validations!$N$2:$N$100 &amp; "" check"", J246)))), """")"),"")</f>
        <v/>
      </c>
      <c r="AA246" s="12" t="str">
        <f>IFERROR(__xludf.DUMMYFUNCTION("IFERROR(TEXTJOIN("", "", TRUE, FILTER(Validations!$N$2:$N$100, ISNUMBER(SEARCH(Validations!$N$2:$N$100 &amp; "" check"", W246)))), """")"),"")</f>
        <v/>
      </c>
      <c r="AB246" s="23" t="str">
        <f>IFERROR(__xludf.DUMMYFUNCTION("IFERROR(CONCATENATE(IF(ISNUMBER(SEARCH(Validations!$M$2:$M$100 &amp; "" spell save"", J246)),""Spell Save"",""""), REGEXEXTRACT(J246, ""DC (\d+)"")), """")"),"")</f>
        <v/>
      </c>
      <c r="AC246" s="24" t="b">
        <v>0</v>
      </c>
      <c r="AD246" s="24" t="b">
        <v>0</v>
      </c>
      <c r="AE246" s="12" t="s">
        <v>69</v>
      </c>
      <c r="AF246" s="25">
        <f>IFERROR(__xludf.DUMMYFUNCTION("IFERROR(VALUE(REGEXEXTRACT(AE246, ""\d+"")), 1)"),1.0)</f>
        <v>1</v>
      </c>
      <c r="AG246" s="12" t="str">
        <f>IFERROR(__xludf.DUMMYFUNCTION("IF(
  ISNUMBER(SEARCH(""Bonus Action"", AE246)),
  ""Bonus Action"",
  IF(
    ISNUMBER(SEARCH(""Reaction"", AE246)),
    ""Reaction"",
    IF(
      ISNUMBER(SEARCH(""Action"", AE246)),
      ""Action"",
      TEXTJOIN("", "", TRUE, FILTER(Validations!$S"&amp;"$2:$S$100, ISNUMBER(SEARCH(Validations!$S$2:$S$100, AE246))))
    )
  )
)"),"Action")</f>
        <v>Action</v>
      </c>
      <c r="AH246" s="12"/>
      <c r="AI246" s="26" t="s">
        <v>70</v>
      </c>
      <c r="AJ246" s="26" t="str">
        <f>IFERROR(__xludf.DUMMYFUNCTION("TEXTJOIN("", "", TRUE, FILTER(Validations!$T$2:$T$100, ISNUMBER(SEARCH(Validations!$T$2:$T$100, AI246))))"),"Instantaneous")</f>
        <v>Instantaneous</v>
      </c>
      <c r="AK246" s="26" t="str">
        <f>IFERROR(__xludf.DUMMYFUNCTION("IFERROR(VALUE(REGEXEXTRACT(AI246, ""\d+"")), """")"),"")</f>
        <v/>
      </c>
      <c r="AL246" s="26" t="str">
        <f>IFERROR(__xludf.DUMMYFUNCTION("TEXTJOIN("", "", TRUE, FILTER(Validations!$U$2:$U$100, ISNUMBER(SEARCH(Validations!$U$2:$U$100, AI246))))"),"")</f>
        <v/>
      </c>
      <c r="AM246" s="24" t="b">
        <f t="shared" si="1"/>
        <v>0</v>
      </c>
      <c r="AN246" s="24" t="b">
        <v>0</v>
      </c>
      <c r="AO246" s="36" t="s">
        <v>440</v>
      </c>
      <c r="AP246" s="12" t="str">
        <f>IFERROR(__xludf.DUMMYFUNCTION("IF(TEXTJOIN("", "", TRUE, FILTER(Validations!$Q$2:$Q$100, ISNUMBER(SEARCH(Validations!$Q$2:$Q$100, AO246)))) = """", Validations!$Q$2, TEXTJOIN("", "", TRUE, FILTER(Validations!$Q$2:$Q$100, ISNUMBER(SEARCH(Validations!$Q$2:$Q$100, AO246)))))"),"Point")</f>
        <v>Point</v>
      </c>
      <c r="AQ246" s="12">
        <f>IFERROR(__xludf.DUMMYFUNCTION("IFERROR(VALUE(REGEXEXTRACT(AO246, ""\d+"")), """")"),60.0)</f>
        <v>60</v>
      </c>
      <c r="AR246" s="12" t="str">
        <f>IFERROR(__xludf.DUMMYFUNCTION("TEXTJOIN("", "", TRUE, FILTER(Validations!$R$2:$R$100, ISNUMBER(SEARCH(Validations!$R$2:$R$100, AO246))))"),"Feet")</f>
        <v>Feet</v>
      </c>
      <c r="AS246" s="27"/>
      <c r="AT246" s="12" t="str">
        <f>IFERROR(__xludf.DUMMYFUNCTION("IFERROR(TEXTJOIN("", "", TRUE, FILTER(Validations!$I$2:$I$100, ISNUMBER(SEARCH(Validations!$I$2:$I$100, AS246)))), """")"),"")</f>
        <v/>
      </c>
      <c r="AU246" s="16" t="str">
        <f t="array" ref="AU246">IFERROR(INDEX(Validations!$J$2:$J$100, MATCH(TRUE, ISNUMBER(SEARCH(Validations!$I$2:$I$100, AT246)), 0)), "")</f>
        <v/>
      </c>
      <c r="AV246" s="12" t="str">
        <f>IFERROR(__xludf.DUMMYFUNCTION("IFERROR(VALUE(REGEXEXTRACT(AS246, ""\d+"")), """")"),"")</f>
        <v/>
      </c>
      <c r="AW246" s="12" t="str">
        <f>IFERROR(__xludf.DUMMYFUNCTION("IFERROR(TEXTJOIN("", "", TRUE, FILTER(Validations!$Q$2:$Q$100, ISNUMBER(SEARCH(Validations!$Q$2:$Q$100, AS246)))), """")"),"")</f>
        <v/>
      </c>
      <c r="AX246" s="28" t="s">
        <v>72</v>
      </c>
      <c r="AY246" s="28" t="str">
        <f>IFERROR(__xludf.DUMMYFUNCTION("TEXTJOIN("", "", TRUE, FILTER(Validations!$Y$2:$Y$100, ISNUMBER(SEARCH(Validations!$X$2:$X$100, AX246))))"),"V, S")</f>
        <v>V, S</v>
      </c>
      <c r="AZ246" s="26"/>
      <c r="BA246" s="12"/>
      <c r="BB246" s="22"/>
      <c r="BC246" s="22"/>
      <c r="BD246" s="22"/>
      <c r="BE246" s="27"/>
      <c r="BF246" s="22"/>
      <c r="BG246" s="27"/>
      <c r="BH246" s="27"/>
      <c r="BI246" s="12" t="str">
        <f>IFERROR(__xludf.DUMMYFUNCTION("IFERROR(TEXTJOIN("", "", TRUE, FILTER(SRD!$A$2:$A$1000, EXACT(SRD!$A$2:$A$1000, J246))), """")"),"")</f>
        <v/>
      </c>
      <c r="BJ246" s="29"/>
      <c r="BK246" s="29"/>
    </row>
    <row r="247" ht="15.75" customHeight="1">
      <c r="A247" s="38" t="s">
        <v>1170</v>
      </c>
      <c r="B247" s="12"/>
      <c r="C247" s="13"/>
      <c r="D247" s="13" t="s">
        <v>62</v>
      </c>
      <c r="E247" s="13"/>
      <c r="F247" s="14" t="s">
        <v>84</v>
      </c>
      <c r="G247" s="15" t="s">
        <v>945</v>
      </c>
      <c r="H247" s="16" t="s">
        <v>103</v>
      </c>
      <c r="I247" s="16" t="str">
        <f t="array" ref="I247">INDEX(Validations!$C$2:$C$100, MATCH(TRUE, ISNUMBER(SEARCH(Validations!$B$2:$B$100, H247)), 0))</f>
        <v>C</v>
      </c>
      <c r="J247" s="17" t="s">
        <v>1171</v>
      </c>
      <c r="K247" s="18"/>
      <c r="L247" s="17"/>
      <c r="M247" s="37" t="s">
        <v>1172</v>
      </c>
      <c r="N247" s="20" t="s">
        <v>1173</v>
      </c>
      <c r="O247" s="17"/>
      <c r="P247" s="21"/>
      <c r="Q247" s="21"/>
      <c r="R247" s="22"/>
      <c r="S247" s="17" t="str">
        <f>IFERROR(__xludf.DUMMYFUNCTION("IFERROR(REGEXEXTRACT(J247, ""(\d{1,3}[dD]\d{1,3})""), """")"),"")</f>
        <v/>
      </c>
      <c r="T247" s="17" t="str">
        <f>IFERROR(__xludf.DUMMYFUNCTION("IF(COUNTIF(ARRAYFORMULA(LOWER(Validations!$O$2:$O$100)), LOWER(REGEXEXTRACT(J247, ""\d{1,3}[dD]\d{1,3}\s+(\w+)"")))&gt;0, REGEXEXTRACT(J247, ""\d{1,3}[dD]\d{1,3}\s+(\w+)""), """")"),"")</f>
        <v/>
      </c>
      <c r="U247" s="17" t="str">
        <f>IFERROR(__xludf.DUMMYFUNCTION("IF(COUNTIF(ARRAYFORMULA(LOWER(Validations!$P$2:$P$100)), LOWER(REGEXEXTRACT(J247, ""\d{1,3}[dD]\d{1,3}\s+(\w+)"")))&gt;0, REGEXEXTRACT(J247, ""\d{1,3}[dD]\d{1,3}\s+(\w+)""), """")"),"")</f>
        <v/>
      </c>
      <c r="V247" s="12" t="str">
        <f>IFERROR(__xludf.DUMMYFUNCTION("TEXTJOIN("", "", TRUE, FILTER(Validations!$L$2:$L$100, ISNUMBER(SEARCH(Validations!$L$2:$L$100, J247))))"),"Invisible")</f>
        <v>Invisible</v>
      </c>
      <c r="W247" s="12" t="str">
        <f>IFERROR(__xludf.DUMMYFUNCTION("IFERROR(TEXTJOIN("", "", TRUE, FILTER(Validations!$M$2:$M$100, ISNUMBER(SEARCH(Validations!$M$2:$M$100 &amp; "" saving throw"", J247)))), """")"),"")</f>
        <v/>
      </c>
      <c r="X247" s="12"/>
      <c r="Y247" s="12"/>
      <c r="Z247" s="12" t="str">
        <f>IFERROR(__xludf.DUMMYFUNCTION("IFERROR(TEXTJOIN("", "", TRUE, FILTER(Validations!$N$2:$N$100, ISNUMBER(SEARCH(Validations!$N$2:$N$100 &amp; "" check"", J247)))), """")"),"")</f>
        <v/>
      </c>
      <c r="AA247" s="12" t="str">
        <f>IFERROR(__xludf.DUMMYFUNCTION("IFERROR(TEXTJOIN("", "", TRUE, FILTER(Validations!$N$2:$N$100, ISNUMBER(SEARCH(Validations!$N$2:$N$100 &amp; "" check"", W247)))), """")"),"")</f>
        <v/>
      </c>
      <c r="AB247" s="23" t="str">
        <f>IFERROR(__xludf.DUMMYFUNCTION("IFERROR(CONCATENATE(IF(ISNUMBER(SEARCH(Validations!$M$2:$M$100 &amp; "" spell save"", J247)),""Spell Save"",""""), REGEXEXTRACT(J247, ""DC (\d+)"")), """")"),"")</f>
        <v/>
      </c>
      <c r="AC247" s="24" t="b">
        <v>0</v>
      </c>
      <c r="AD247" s="24" t="b">
        <v>0</v>
      </c>
      <c r="AE247" s="12" t="s">
        <v>69</v>
      </c>
      <c r="AF247" s="25">
        <f>IFERROR(__xludf.DUMMYFUNCTION("IFERROR(VALUE(REGEXEXTRACT(AE247, ""\d+"")), 1)"),1.0)</f>
        <v>1</v>
      </c>
      <c r="AG247" s="12" t="str">
        <f>IFERROR(__xludf.DUMMYFUNCTION("IF(
  ISNUMBER(SEARCH(""Bonus Action"", AE247)),
  ""Bonus Action"",
  IF(
    ISNUMBER(SEARCH(""Reaction"", AE247)),
    ""Reaction"",
    IF(
      ISNUMBER(SEARCH(""Action"", AE247)),
      ""Action"",
      TEXTJOIN("", "", TRUE, FILTER(Validations!$S"&amp;"$2:$S$100, ISNUMBER(SEARCH(Validations!$S$2:$S$100, AE247))))
    )
  )
)"),"Action")</f>
        <v>Action</v>
      </c>
      <c r="AH247" s="12"/>
      <c r="AI247" s="26" t="s">
        <v>70</v>
      </c>
      <c r="AJ247" s="26" t="str">
        <f>IFERROR(__xludf.DUMMYFUNCTION("TEXTJOIN("", "", TRUE, FILTER(Validations!$T$2:$T$100, ISNUMBER(SEARCH(Validations!$T$2:$T$100, AI247))))"),"Instantaneous")</f>
        <v>Instantaneous</v>
      </c>
      <c r="AK247" s="26" t="str">
        <f>IFERROR(__xludf.DUMMYFUNCTION("IFERROR(VALUE(REGEXEXTRACT(AI247, ""\d+"")), """")"),"")</f>
        <v/>
      </c>
      <c r="AL247" s="26" t="str">
        <f>IFERROR(__xludf.DUMMYFUNCTION("TEXTJOIN("", "", TRUE, FILTER(Validations!$U$2:$U$100, ISNUMBER(SEARCH(Validations!$U$2:$U$100, AI247))))"),"")</f>
        <v/>
      </c>
      <c r="AM247" s="24" t="b">
        <f t="shared" si="1"/>
        <v>0</v>
      </c>
      <c r="AN247" s="24" t="b">
        <v>0</v>
      </c>
      <c r="AO247" s="36" t="s">
        <v>78</v>
      </c>
      <c r="AP247" s="12" t="str">
        <f>IFERROR(__xludf.DUMMYFUNCTION("IF(TEXTJOIN("", "", TRUE, FILTER(Validations!$Q$2:$Q$100, ISNUMBER(SEARCH(Validations!$Q$2:$Q$100, AO247)))) = """", Validations!$Q$2, TEXTJOIN("", "", TRUE, FILTER(Validations!$Q$2:$Q$100, ISNUMBER(SEARCH(Validations!$Q$2:$Q$100, AO247)))))"),"Point")</f>
        <v>Point</v>
      </c>
      <c r="AQ247" s="12" t="str">
        <f>IFERROR(__xludf.DUMMYFUNCTION("IFERROR(VALUE(REGEXEXTRACT(AO247, ""\d+"")), """")"),"")</f>
        <v/>
      </c>
      <c r="AR247" s="12" t="str">
        <f>IFERROR(__xludf.DUMMYFUNCTION("TEXTJOIN("", "", TRUE, FILTER(Validations!$R$2:$R$100, ISNUMBER(SEARCH(Validations!$R$2:$R$100, AO247))))"),"Self")</f>
        <v>Self</v>
      </c>
      <c r="AS247" s="20" t="s">
        <v>1174</v>
      </c>
      <c r="AT247" s="12" t="str">
        <f>IFERROR(__xludf.DUMMYFUNCTION("IFERROR(TEXTJOIN("", "", TRUE, FILTER(Validations!$I$2:$I$100, ISNUMBER(SEARCH(Validations!$I$2:$I$100, AS247)))), """")"),"")</f>
        <v/>
      </c>
      <c r="AU247" s="16" t="str">
        <f t="array" ref="AU247">IFERROR(INDEX(Validations!$J$2:$J$100, MATCH(TRUE, ISNUMBER(SEARCH(Validations!$I$2:$I$100, AT247)), 0)), "")</f>
        <v/>
      </c>
      <c r="AV247" s="12">
        <f>IFERROR(__xludf.DUMMYFUNCTION("IFERROR(VALUE(REGEXEXTRACT(AS247, ""\d+"")), """")"),60.0)</f>
        <v>60</v>
      </c>
      <c r="AW247" s="12" t="str">
        <f>IFERROR(__xludf.DUMMYFUNCTION("IFERROR(TEXTJOIN("", "", TRUE, FILTER(Validations!$Q$2:$Q$100, ISNUMBER(SEARCH(Validations!$Q$2:$Q$100, AS247)))), """")"),"")</f>
        <v/>
      </c>
      <c r="AX247" s="28" t="s">
        <v>262</v>
      </c>
      <c r="AY247" s="28" t="str">
        <f>IFERROR(__xludf.DUMMYFUNCTION("TEXTJOIN("", "", TRUE, FILTER(Validations!$Y$2:$Y$100, ISNUMBER(SEARCH(Validations!$X$2:$X$100, AX247))))"),"V, S, R")</f>
        <v>V, S, R</v>
      </c>
      <c r="AZ247" s="20" t="s">
        <v>1151</v>
      </c>
      <c r="BA247" s="12"/>
      <c r="BB247" s="22"/>
      <c r="BC247" s="22"/>
      <c r="BD247" s="22"/>
      <c r="BE247" s="27"/>
      <c r="BF247" s="28" t="s">
        <v>897</v>
      </c>
      <c r="BG247" s="27"/>
      <c r="BH247" s="27"/>
      <c r="BI247" s="12" t="str">
        <f>IFERROR(__xludf.DUMMYFUNCTION("IFERROR(TEXTJOIN("", "", TRUE, FILTER(SRD!$A$2:$A$1000, EXACT(SRD!$A$2:$A$1000, J247))), """")"),"")</f>
        <v/>
      </c>
      <c r="BJ247" s="29"/>
      <c r="BK247" s="29"/>
    </row>
    <row r="248" ht="15.75" customHeight="1">
      <c r="A248" s="11" t="s">
        <v>1175</v>
      </c>
      <c r="B248" s="12"/>
      <c r="C248" s="16"/>
      <c r="D248" s="16" t="s">
        <v>302</v>
      </c>
      <c r="E248" s="16"/>
      <c r="F248" s="32" t="s">
        <v>250</v>
      </c>
      <c r="G248" s="50" t="s">
        <v>945</v>
      </c>
      <c r="H248" s="16" t="s">
        <v>140</v>
      </c>
      <c r="I248" s="16" t="str">
        <f t="array" ref="I248">INDEX(Validations!$C$2:$C$100, MATCH(TRUE, ISNUMBER(SEARCH(Validations!$B$2:$B$100, H248)), 0))</f>
        <v>N</v>
      </c>
      <c r="J248" s="17" t="s">
        <v>1176</v>
      </c>
      <c r="K248" s="18"/>
      <c r="L248" s="17"/>
      <c r="M248" s="17"/>
      <c r="N248" s="20" t="s">
        <v>1177</v>
      </c>
      <c r="O248" s="17"/>
      <c r="P248" s="21"/>
      <c r="Q248" s="21"/>
      <c r="R248" s="22"/>
      <c r="S248" s="17" t="str">
        <f>IFERROR(__xludf.DUMMYFUNCTION("IFERROR(REGEXEXTRACT(J248, ""(\d{1,3}[dD]\d{1,3})""), """")"),"")</f>
        <v/>
      </c>
      <c r="T248" s="17" t="str">
        <f>IFERROR(__xludf.DUMMYFUNCTION("IF(COUNTIF(ARRAYFORMULA(LOWER(Validations!$O$2:$O$100)), LOWER(REGEXEXTRACT(J248, ""\d{1,3}[dD]\d{1,3}\s+(\w+)"")))&gt;0, REGEXEXTRACT(J248, ""\d{1,3}[dD]\d{1,3}\s+(\w+)""), """")"),"")</f>
        <v/>
      </c>
      <c r="U248" s="17" t="str">
        <f>IFERROR(__xludf.DUMMYFUNCTION("IF(COUNTIF(ARRAYFORMULA(LOWER(Validations!$P$2:$P$100)), LOWER(REGEXEXTRACT(J248, ""\d{1,3}[dD]\d{1,3}\s+(\w+)"")))&gt;0, REGEXEXTRACT(J248, ""\d{1,3}[dD]\d{1,3}\s+(\w+)""), """")"),"")</f>
        <v/>
      </c>
      <c r="V248" s="12" t="str">
        <f>IFERROR(__xludf.DUMMYFUNCTION("TEXTJOIN("", "", TRUE, FILTER(Validations!$L$2:$L$100, ISNUMBER(SEARCH(Validations!$L$2:$L$100, J248))))"),"Unconscious")</f>
        <v>Unconscious</v>
      </c>
      <c r="W248" s="12" t="str">
        <f>IFERROR(__xludf.DUMMYFUNCTION("IFERROR(TEXTJOIN("", "", TRUE, FILTER(Validations!$M$2:$M$100, ISNUMBER(SEARCH(Validations!$M$2:$M$100 &amp; "" saving throw"", J248)))), """")"),"")</f>
        <v/>
      </c>
      <c r="X248" s="12"/>
      <c r="Y248" s="12"/>
      <c r="Z248" s="12" t="str">
        <f>IFERROR(__xludf.DUMMYFUNCTION("IFERROR(TEXTJOIN("", "", TRUE, FILTER(Validations!$N$2:$N$100, ISNUMBER(SEARCH(Validations!$N$2:$N$100 &amp; "" check"", J248)))), """")"),"")</f>
        <v/>
      </c>
      <c r="AA248" s="12" t="str">
        <f>IFERROR(__xludf.DUMMYFUNCTION("IFERROR(TEXTJOIN("", "", TRUE, FILTER(Validations!$N$2:$N$100, ISNUMBER(SEARCH(Validations!$N$2:$N$100 &amp; "" check"", W248)))), """")"),"")</f>
        <v/>
      </c>
      <c r="AB248" s="23" t="str">
        <f>IFERROR(__xludf.DUMMYFUNCTION("IFERROR(CONCATENATE(IF(ISNUMBER(SEARCH(Validations!$M$2:$M$100 &amp; "" spell save"", J248)),""Spell Save"",""""), REGEXEXTRACT(J248, ""DC (\d+)"")), """")"),"")</f>
        <v/>
      </c>
      <c r="AC248" s="24" t="b">
        <v>0</v>
      </c>
      <c r="AD248" s="24" t="b">
        <v>0</v>
      </c>
      <c r="AE248" s="36" t="s">
        <v>69</v>
      </c>
      <c r="AF248" s="25">
        <f>IFERROR(__xludf.DUMMYFUNCTION("IFERROR(VALUE(REGEXEXTRACT(AE248, ""\d+"")), 1)"),1.0)</f>
        <v>1</v>
      </c>
      <c r="AG248" s="12" t="str">
        <f>IFERROR(__xludf.DUMMYFUNCTION("IF(
  ISNUMBER(SEARCH(""Bonus Action"", AE248)),
  ""Bonus Action"",
  IF(
    ISNUMBER(SEARCH(""Reaction"", AE248)),
    ""Reaction"",
    IF(
      ISNUMBER(SEARCH(""Action"", AE248)),
      ""Action"",
      TEXTJOIN("", "", TRUE, FILTER(Validations!$S"&amp;"$2:$S$100, ISNUMBER(SEARCH(Validations!$S$2:$S$100, AE248))))
    )
  )
)"),"Action")</f>
        <v>Action</v>
      </c>
      <c r="AH248" s="36"/>
      <c r="AI248" s="20" t="s">
        <v>873</v>
      </c>
      <c r="AJ248" s="26" t="str">
        <f>IFERROR(__xludf.DUMMYFUNCTION("TEXTJOIN("", "", TRUE, FILTER(Validations!$T$2:$T$100, ISNUMBER(SEARCH(Validations!$T$2:$T$100, AI248))))"),"")</f>
        <v/>
      </c>
      <c r="AK248" s="26">
        <f>IFERROR(__xludf.DUMMYFUNCTION("IFERROR(VALUE(REGEXEXTRACT(AI248, ""\d+"")), """")"),1.0)</f>
        <v>1</v>
      </c>
      <c r="AL248" s="26" t="str">
        <f>IFERROR(__xludf.DUMMYFUNCTION("TEXTJOIN("", "", TRUE, FILTER(Validations!$U$2:$U$100, ISNUMBER(SEARCH(Validations!$U$2:$U$100, AI248))))"),"Rounds")</f>
        <v>Rounds</v>
      </c>
      <c r="AM248" s="24" t="b">
        <f t="shared" si="1"/>
        <v>0</v>
      </c>
      <c r="AN248" s="24" t="b">
        <v>0</v>
      </c>
      <c r="AO248" s="22" t="s">
        <v>71</v>
      </c>
      <c r="AP248" s="12" t="str">
        <f>IFERROR(__xludf.DUMMYFUNCTION("IF(TEXTJOIN("", "", TRUE, FILTER(Validations!$Q$2:$Q$100, ISNUMBER(SEARCH(Validations!$Q$2:$Q$100, AO248)))) = """", Validations!$Q$2, TEXTJOIN("", "", TRUE, FILTER(Validations!$Q$2:$Q$100, ISNUMBER(SEARCH(Validations!$Q$2:$Q$100, AO248)))))"),"Point")</f>
        <v>Point</v>
      </c>
      <c r="AQ248" s="12" t="str">
        <f>IFERROR(__xludf.DUMMYFUNCTION("IFERROR(VALUE(REGEXEXTRACT(AO248, ""\d+"")), """")"),"")</f>
        <v/>
      </c>
      <c r="AR248" s="12" t="str">
        <f>IFERROR(__xludf.DUMMYFUNCTION("TEXTJOIN("", "", TRUE, FILTER(Validations!$R$2:$R$100, ISNUMBER(SEARCH(Validations!$R$2:$R$100, AO248))))"),"Touch")</f>
        <v>Touch</v>
      </c>
      <c r="AS248" s="27"/>
      <c r="AT248" s="12" t="str">
        <f>IFERROR(__xludf.DUMMYFUNCTION("IFERROR(TEXTJOIN("", "", TRUE, FILTER(Validations!$I$2:$I$100, ISNUMBER(SEARCH(Validations!$I$2:$I$100, AS248)))), """")"),"")</f>
        <v/>
      </c>
      <c r="AU248" s="16" t="str">
        <f t="array" ref="AU248">IFERROR(INDEX(Validations!$J$2:$J$100, MATCH(TRUE, ISNUMBER(SEARCH(Validations!$I$2:$I$100, AT248)), 0)), "")</f>
        <v/>
      </c>
      <c r="AV248" s="12" t="str">
        <f>IFERROR(__xludf.DUMMYFUNCTION("IFERROR(VALUE(REGEXEXTRACT(AS248, ""\d+"")), """")"),"")</f>
        <v/>
      </c>
      <c r="AW248" s="12" t="str">
        <f>IFERROR(__xludf.DUMMYFUNCTION("IFERROR(TEXTJOIN("", "", TRUE, FILTER(Validations!$Q$2:$Q$100, ISNUMBER(SEARCH(Validations!$Q$2:$Q$100, AS248)))), """")"),"")</f>
        <v/>
      </c>
      <c r="AX248" s="28" t="s">
        <v>106</v>
      </c>
      <c r="AY248" s="28" t="str">
        <f>IFERROR(__xludf.DUMMYFUNCTION("TEXTJOIN("", "", TRUE, FILTER(Validations!$Y$2:$Y$100, ISNUMBER(SEARCH(Validations!$X$2:$X$100, AX248))))"),"S")</f>
        <v>S</v>
      </c>
      <c r="AZ248" s="27"/>
      <c r="BA248" s="22"/>
      <c r="BB248" s="22"/>
      <c r="BC248" s="22"/>
      <c r="BD248" s="22"/>
      <c r="BE248" s="27"/>
      <c r="BF248" s="22"/>
      <c r="BG248" s="27"/>
      <c r="BH248" s="27"/>
      <c r="BI248" s="12" t="str">
        <f>IFERROR(__xludf.DUMMYFUNCTION("IFERROR(TEXTJOIN("", "", TRUE, FILTER(SRD!$A$2:$A$1000, EXACT(SRD!$A$2:$A$1000, J248))), """")"),"")</f>
        <v/>
      </c>
      <c r="BJ248" s="29"/>
      <c r="BK248" s="29"/>
    </row>
    <row r="249" ht="15.75" customHeight="1">
      <c r="A249" s="30" t="s">
        <v>1178</v>
      </c>
      <c r="B249" s="22"/>
      <c r="C249" s="16"/>
      <c r="D249" s="16" t="s">
        <v>1179</v>
      </c>
      <c r="E249" s="16"/>
      <c r="F249" s="32" t="s">
        <v>1180</v>
      </c>
      <c r="G249" s="50" t="s">
        <v>945</v>
      </c>
      <c r="H249" s="31" t="s">
        <v>140</v>
      </c>
      <c r="I249" s="16" t="str">
        <f t="array" ref="I249">INDEX(Validations!$C$2:$C$100, MATCH(TRUE, ISNUMBER(SEARCH(Validations!$B$2:$B$100, H249)), 0))</f>
        <v>N</v>
      </c>
      <c r="J249" s="17" t="s">
        <v>1181</v>
      </c>
      <c r="K249" s="18"/>
      <c r="L249" s="17"/>
      <c r="M249" s="17"/>
      <c r="N249" s="27"/>
      <c r="O249" s="17"/>
      <c r="P249" s="21"/>
      <c r="Q249" s="21"/>
      <c r="R249" s="36" t="s">
        <v>1182</v>
      </c>
      <c r="S249" s="17" t="str">
        <f>IFERROR(__xludf.DUMMYFUNCTION("IFERROR(REGEXEXTRACT(J249, ""(\d{1,3}[dD]\d{1,3})""), """")"),"1d6")</f>
        <v>1d6</v>
      </c>
      <c r="T249" s="17" t="str">
        <f>IFERROR(__xludf.DUMMYFUNCTION("IF(COUNTIF(ARRAYFORMULA(LOWER(Validations!$O$2:$O$100)), LOWER(REGEXEXTRACT(J249, ""\d{1,3}[dD]\d{1,3}\s+(\w+)"")))&gt;0, REGEXEXTRACT(J249, ""\d{1,3}[dD]\d{1,3}\s+(\w+)""), """")"),"")</f>
        <v/>
      </c>
      <c r="U249" s="17" t="str">
        <f>IFERROR(__xludf.DUMMYFUNCTION("IF(COUNTIF(ARRAYFORMULA(LOWER(Validations!$P$2:$P$100)), LOWER(REGEXEXTRACT(J249, ""\d{1,3}[dD]\d{1,3}\s+(\w+)"")))&gt;0, REGEXEXTRACT(J249, ""\d{1,3}[dD]\d{1,3}\s+(\w+)""), """")"),"")</f>
        <v/>
      </c>
      <c r="V249" s="12" t="str">
        <f>IFERROR(__xludf.DUMMYFUNCTION("TEXTJOIN("", "", TRUE, FILTER(Validations!$L$2:$L$100, ISNUMBER(SEARCH(Validations!$L$2:$L$100, J249))))"),"")</f>
        <v/>
      </c>
      <c r="W249" s="12" t="str">
        <f>IFERROR(__xludf.DUMMYFUNCTION("IFERROR(TEXTJOIN("", "", TRUE, FILTER(Validations!$M$2:$M$100, ISNUMBER(SEARCH(Validations!$M$2:$M$100 &amp; "" saving throw"", J249)))), """")"),"")</f>
        <v/>
      </c>
      <c r="X249" s="12"/>
      <c r="Y249" s="12"/>
      <c r="Z249" s="12" t="str">
        <f>IFERROR(__xludf.DUMMYFUNCTION("IFERROR(TEXTJOIN("", "", TRUE, FILTER(Validations!$N$2:$N$100, ISNUMBER(SEARCH(Validations!$N$2:$N$100 &amp; "" check"", J249)))), """")"),"")</f>
        <v/>
      </c>
      <c r="AA249" s="12" t="str">
        <f>IFERROR(__xludf.DUMMYFUNCTION("IFERROR(TEXTJOIN("", "", TRUE, FILTER(Validations!$N$2:$N$100, ISNUMBER(SEARCH(Validations!$N$2:$N$100 &amp; "" check"", W249)))), """")"),"")</f>
        <v/>
      </c>
      <c r="AB249" s="23" t="str">
        <f>IFERROR(__xludf.DUMMYFUNCTION("IFERROR(CONCATENATE(IF(ISNUMBER(SEARCH(Validations!$M$2:$M$100 &amp; "" spell save"", J249)),""Spell Save"",""""), REGEXEXTRACT(J249, ""DC (\d+)"")), """")"),"")</f>
        <v/>
      </c>
      <c r="AC249" s="24" t="b">
        <v>0</v>
      </c>
      <c r="AD249" s="24" t="b">
        <v>0</v>
      </c>
      <c r="AE249" s="36" t="s">
        <v>69</v>
      </c>
      <c r="AF249" s="25">
        <f>IFERROR(__xludf.DUMMYFUNCTION("IFERROR(VALUE(REGEXEXTRACT(AE249, ""\d+"")), 1)"),1.0)</f>
        <v>1</v>
      </c>
      <c r="AG249" s="12" t="str">
        <f>IFERROR(__xludf.DUMMYFUNCTION("IF(
  ISNUMBER(SEARCH(""Bonus Action"", AE249)),
  ""Bonus Action"",
  IF(
    ISNUMBER(SEARCH(""Reaction"", AE249)),
    ""Reaction"",
    IF(
      ISNUMBER(SEARCH(""Action"", AE249)),
      ""Action"",
      TEXTJOIN("", "", TRUE, FILTER(Validations!$S"&amp;"$2:$S$100, ISNUMBER(SEARCH(Validations!$S$2:$S$100, AE249))))
    )
  )
)"),"Action")</f>
        <v>Action</v>
      </c>
      <c r="AH249" s="36"/>
      <c r="AI249" s="20" t="s">
        <v>92</v>
      </c>
      <c r="AJ249" s="26" t="str">
        <f>IFERROR(__xludf.DUMMYFUNCTION("TEXTJOIN("", "", TRUE, FILTER(Validations!$T$2:$T$100, ISNUMBER(SEARCH(Validations!$T$2:$T$100, AI249))))"),"")</f>
        <v/>
      </c>
      <c r="AK249" s="26">
        <f>IFERROR(__xludf.DUMMYFUNCTION("IFERROR(VALUE(REGEXEXTRACT(AI249, ""\d+"")), """")"),1.0)</f>
        <v>1</v>
      </c>
      <c r="AL249" s="26" t="str">
        <f>IFERROR(__xludf.DUMMYFUNCTION("TEXTJOIN("", "", TRUE, FILTER(Validations!$U$2:$U$100, ISNUMBER(SEARCH(Validations!$U$2:$U$100, AI249))))"),"Minutes")</f>
        <v>Minutes</v>
      </c>
      <c r="AM249" s="24" t="b">
        <f t="shared" si="1"/>
        <v>0</v>
      </c>
      <c r="AN249" s="24" t="b">
        <v>0</v>
      </c>
      <c r="AO249" s="22" t="s">
        <v>78</v>
      </c>
      <c r="AP249" s="12" t="str">
        <f>IFERROR(__xludf.DUMMYFUNCTION("IF(TEXTJOIN("", "", TRUE, FILTER(Validations!$Q$2:$Q$100, ISNUMBER(SEARCH(Validations!$Q$2:$Q$100, AO249)))) = """", Validations!$Q$2, TEXTJOIN("", "", TRUE, FILTER(Validations!$Q$2:$Q$100, ISNUMBER(SEARCH(Validations!$Q$2:$Q$100, AO249)))))"),"Point")</f>
        <v>Point</v>
      </c>
      <c r="AQ249" s="12" t="str">
        <f>IFERROR(__xludf.DUMMYFUNCTION("IFERROR(VALUE(REGEXEXTRACT(AO249, ""\d+"")), """")"),"")</f>
        <v/>
      </c>
      <c r="AR249" s="12" t="str">
        <f>IFERROR(__xludf.DUMMYFUNCTION("TEXTJOIN("", "", TRUE, FILTER(Validations!$R$2:$R$100, ISNUMBER(SEARCH(Validations!$R$2:$R$100, AO249))))"),"Self")</f>
        <v>Self</v>
      </c>
      <c r="AS249" s="27"/>
      <c r="AT249" s="12" t="str">
        <f>IFERROR(__xludf.DUMMYFUNCTION("IFERROR(TEXTJOIN("", "", TRUE, FILTER(Validations!$I$2:$I$100, ISNUMBER(SEARCH(Validations!$I$2:$I$100, AS249)))), """")"),"")</f>
        <v/>
      </c>
      <c r="AU249" s="16" t="str">
        <f t="array" ref="AU249">IFERROR(INDEX(Validations!$J$2:$J$100, MATCH(TRUE, ISNUMBER(SEARCH(Validations!$I$2:$I$100, AT249)), 0)), "")</f>
        <v/>
      </c>
      <c r="AV249" s="12" t="str">
        <f>IFERROR(__xludf.DUMMYFUNCTION("IFERROR(VALUE(REGEXEXTRACT(AS249, ""\d+"")), """")"),"")</f>
        <v/>
      </c>
      <c r="AW249" s="12" t="str">
        <f>IFERROR(__xludf.DUMMYFUNCTION("IFERROR(TEXTJOIN("", "", TRUE, FILTER(Validations!$Q$2:$Q$100, ISNUMBER(SEARCH(Validations!$Q$2:$Q$100, AS249)))), """")"),"")</f>
        <v/>
      </c>
      <c r="AX249" s="28" t="s">
        <v>152</v>
      </c>
      <c r="AY249" s="28" t="str">
        <f>IFERROR(__xludf.DUMMYFUNCTION("TEXTJOIN("", "", TRUE, FILTER(Validations!$Y$2:$Y$100, ISNUMBER(SEARCH(Validations!$X$2:$X$100, AX249))))"),"V, S, R")</f>
        <v>V, S, R</v>
      </c>
      <c r="AZ249" s="20" t="s">
        <v>1183</v>
      </c>
      <c r="BA249" s="22"/>
      <c r="BB249" s="22"/>
      <c r="BC249" s="22"/>
      <c r="BD249" s="22"/>
      <c r="BE249" s="27"/>
      <c r="BF249" s="22"/>
      <c r="BG249" s="27"/>
      <c r="BH249" s="27"/>
      <c r="BI249" s="12" t="str">
        <f>IFERROR(__xludf.DUMMYFUNCTION("IFERROR(TEXTJOIN("", "", TRUE, FILTER(SRD!$A$2:$A$1000, EXACT(SRD!$A$2:$A$1000, J249))), """")"),"")</f>
        <v/>
      </c>
      <c r="BJ249" s="29"/>
      <c r="BK249" s="29"/>
    </row>
    <row r="250" ht="15.75" customHeight="1">
      <c r="A250" s="30" t="s">
        <v>1184</v>
      </c>
      <c r="B250" s="22"/>
      <c r="C250" s="16"/>
      <c r="D250" s="16" t="s">
        <v>302</v>
      </c>
      <c r="E250" s="16"/>
      <c r="F250" s="32" t="s">
        <v>965</v>
      </c>
      <c r="G250" s="50" t="s">
        <v>945</v>
      </c>
      <c r="H250" s="16" t="s">
        <v>140</v>
      </c>
      <c r="I250" s="16" t="str">
        <f t="array" ref="I250">INDEX(Validations!$C$2:$C$100, MATCH(TRUE, ISNUMBER(SEARCH(Validations!$B$2:$B$100, H250)), 0))</f>
        <v>N</v>
      </c>
      <c r="J250" s="33" t="s">
        <v>1185</v>
      </c>
      <c r="K250" s="34"/>
      <c r="L250" s="33"/>
      <c r="M250" s="33"/>
      <c r="N250" s="27"/>
      <c r="O250" s="33"/>
      <c r="P250" s="35"/>
      <c r="Q250" s="35"/>
      <c r="R250" s="22"/>
      <c r="S250" s="17" t="str">
        <f>IFERROR(__xludf.DUMMYFUNCTION("IFERROR(REGEXEXTRACT(J250, ""(\d{1,3}[dD]\d{1,3})""), """")"),"")</f>
        <v/>
      </c>
      <c r="T250" s="17" t="str">
        <f>IFERROR(__xludf.DUMMYFUNCTION("IF(COUNTIF(ARRAYFORMULA(LOWER(Validations!$O$2:$O$100)), LOWER(REGEXEXTRACT(J250, ""\d{1,3}[dD]\d{1,3}\s+(\w+)"")))&gt;0, REGEXEXTRACT(J250, ""\d{1,3}[dD]\d{1,3}\s+(\w+)""), """")"),"")</f>
        <v/>
      </c>
      <c r="U250" s="17" t="str">
        <f>IFERROR(__xludf.DUMMYFUNCTION("IF(COUNTIF(ARRAYFORMULA(LOWER(Validations!$P$2:$P$100)), LOWER(REGEXEXTRACT(J250, ""\d{1,3}[dD]\d{1,3}\s+(\w+)"")))&gt;0, REGEXEXTRACT(J250, ""\d{1,3}[dD]\d{1,3}\s+(\w+)""), """")"),"")</f>
        <v/>
      </c>
      <c r="V250" s="12" t="str">
        <f>IFERROR(__xludf.DUMMYFUNCTION("TEXTJOIN("", "", TRUE, FILTER(Validations!$L$2:$L$100, ISNUMBER(SEARCH(Validations!$L$2:$L$100, J250))))"),"Exhaustion")</f>
        <v>Exhaustion</v>
      </c>
      <c r="W250" s="12" t="str">
        <f>IFERROR(__xludf.DUMMYFUNCTION("IFERROR(TEXTJOIN("", "", TRUE, FILTER(Validations!$M$2:$M$100, ISNUMBER(SEARCH(Validations!$M$2:$M$100 &amp; "" saving throw"", J250)))), """")"),"")</f>
        <v/>
      </c>
      <c r="X250" s="12"/>
      <c r="Y250" s="12"/>
      <c r="Z250" s="12" t="str">
        <f>IFERROR(__xludf.DUMMYFUNCTION("IFERROR(TEXTJOIN("", "", TRUE, FILTER(Validations!$N$2:$N$100, ISNUMBER(SEARCH(Validations!$N$2:$N$100 &amp; "" check"", J250)))), """")"),"")</f>
        <v/>
      </c>
      <c r="AA250" s="12" t="str">
        <f>IFERROR(__xludf.DUMMYFUNCTION("IFERROR(TEXTJOIN("", "", TRUE, FILTER(Validations!$N$2:$N$100, ISNUMBER(SEARCH(Validations!$N$2:$N$100 &amp; "" check"", W250)))), """")"),"")</f>
        <v/>
      </c>
      <c r="AB250" s="23" t="str">
        <f>IFERROR(__xludf.DUMMYFUNCTION("IFERROR(CONCATENATE(IF(ISNUMBER(SEARCH(Validations!$M$2:$M$100 &amp; "" spell save"", J250)),""Spell Save"",""""), REGEXEXTRACT(J250, ""DC (\d+)"")), """")"),"")</f>
        <v/>
      </c>
      <c r="AC250" s="24" t="b">
        <v>0</v>
      </c>
      <c r="AD250" s="24" t="b">
        <v>0</v>
      </c>
      <c r="AE250" s="36" t="s">
        <v>69</v>
      </c>
      <c r="AF250" s="25">
        <f>IFERROR(__xludf.DUMMYFUNCTION("IFERROR(VALUE(REGEXEXTRACT(AE250, ""\d+"")), 1)"),1.0)</f>
        <v>1</v>
      </c>
      <c r="AG250" s="12" t="str">
        <f>IFERROR(__xludf.DUMMYFUNCTION("IF(
  ISNUMBER(SEARCH(""Bonus Action"", AE250)),
  ""Bonus Action"",
  IF(
    ISNUMBER(SEARCH(""Reaction"", AE250)),
    ""Reaction"",
    IF(
      ISNUMBER(SEARCH(""Action"", AE250)),
      ""Action"",
      TEXTJOIN("", "", TRUE, FILTER(Validations!$S"&amp;"$2:$S$100, ISNUMBER(SEARCH(Validations!$S$2:$S$100, AE250))))
    )
  )
)"),"Action")</f>
        <v>Action</v>
      </c>
      <c r="AH250" s="36"/>
      <c r="AI250" s="27" t="s">
        <v>70</v>
      </c>
      <c r="AJ250" s="26" t="str">
        <f>IFERROR(__xludf.DUMMYFUNCTION("TEXTJOIN("", "", TRUE, FILTER(Validations!$T$2:$T$100, ISNUMBER(SEARCH(Validations!$T$2:$T$100, AI250))))"),"Instantaneous")</f>
        <v>Instantaneous</v>
      </c>
      <c r="AK250" s="26" t="str">
        <f>IFERROR(__xludf.DUMMYFUNCTION("IFERROR(VALUE(REGEXEXTRACT(AI250, ""\d+"")), """")"),"")</f>
        <v/>
      </c>
      <c r="AL250" s="26" t="str">
        <f>IFERROR(__xludf.DUMMYFUNCTION("TEXTJOIN("", "", TRUE, FILTER(Validations!$U$2:$U$100, ISNUMBER(SEARCH(Validations!$U$2:$U$100, AI250))))"),"")</f>
        <v/>
      </c>
      <c r="AM250" s="24" t="b">
        <f t="shared" si="1"/>
        <v>0</v>
      </c>
      <c r="AN250" s="24" t="b">
        <v>0</v>
      </c>
      <c r="AO250" s="22" t="s">
        <v>71</v>
      </c>
      <c r="AP250" s="12" t="str">
        <f>IFERROR(__xludf.DUMMYFUNCTION("IF(TEXTJOIN("", "", TRUE, FILTER(Validations!$Q$2:$Q$100, ISNUMBER(SEARCH(Validations!$Q$2:$Q$100, AO250)))) = """", Validations!$Q$2, TEXTJOIN("", "", TRUE, FILTER(Validations!$Q$2:$Q$100, ISNUMBER(SEARCH(Validations!$Q$2:$Q$100, AO250)))))"),"Point")</f>
        <v>Point</v>
      </c>
      <c r="AQ250" s="12" t="str">
        <f>IFERROR(__xludf.DUMMYFUNCTION("IFERROR(VALUE(REGEXEXTRACT(AO250, ""\d+"")), """")"),"")</f>
        <v/>
      </c>
      <c r="AR250" s="12" t="str">
        <f>IFERROR(__xludf.DUMMYFUNCTION("TEXTJOIN("", "", TRUE, FILTER(Validations!$R$2:$R$100, ISNUMBER(SEARCH(Validations!$R$2:$R$100, AO250))))"),"Touch")</f>
        <v>Touch</v>
      </c>
      <c r="AS250" s="27"/>
      <c r="AT250" s="12" t="str">
        <f>IFERROR(__xludf.DUMMYFUNCTION("IFERROR(TEXTJOIN("", "", TRUE, FILTER(Validations!$I$2:$I$100, ISNUMBER(SEARCH(Validations!$I$2:$I$100, AS250)))), """")"),"")</f>
        <v/>
      </c>
      <c r="AU250" s="16" t="str">
        <f t="array" ref="AU250">IFERROR(INDEX(Validations!$J$2:$J$100, MATCH(TRUE, ISNUMBER(SEARCH(Validations!$I$2:$I$100, AT250)), 0)), "")</f>
        <v/>
      </c>
      <c r="AV250" s="12" t="str">
        <f>IFERROR(__xludf.DUMMYFUNCTION("IFERROR(VALUE(REGEXEXTRACT(AS250, ""\d+"")), """")"),"")</f>
        <v/>
      </c>
      <c r="AW250" s="12" t="str">
        <f>IFERROR(__xludf.DUMMYFUNCTION("IFERROR(TEXTJOIN("", "", TRUE, FILTER(Validations!$Q$2:$Q$100, ISNUMBER(SEARCH(Validations!$Q$2:$Q$100, AS250)))), """")"),"")</f>
        <v/>
      </c>
      <c r="AX250" s="28" t="s">
        <v>152</v>
      </c>
      <c r="AY250" s="28" t="str">
        <f>IFERROR(__xludf.DUMMYFUNCTION("TEXTJOIN("", "", TRUE, FILTER(Validations!$Y$2:$Y$100, ISNUMBER(SEARCH(Validations!$X$2:$X$100, AX250))))"),"V, S, R")</f>
        <v>V, S, R</v>
      </c>
      <c r="AZ250" s="20" t="s">
        <v>1186</v>
      </c>
      <c r="BA250" s="22"/>
      <c r="BB250" s="22"/>
      <c r="BC250" s="22"/>
      <c r="BD250" s="22"/>
      <c r="BE250" s="27"/>
      <c r="BF250" s="22"/>
      <c r="BG250" s="27"/>
      <c r="BH250" s="27"/>
      <c r="BI250" s="12" t="str">
        <f>IFERROR(__xludf.DUMMYFUNCTION("IFERROR(TEXTJOIN("", "", TRUE, FILTER(SRD!$A$2:$A$1000, EXACT(SRD!$A$2:$A$1000, J250))), """")"),"")</f>
        <v/>
      </c>
      <c r="BJ250" s="29"/>
      <c r="BK250" s="29"/>
    </row>
    <row r="251" ht="15.75" customHeight="1">
      <c r="A251" s="38" t="s">
        <v>1187</v>
      </c>
      <c r="B251" s="12"/>
      <c r="C251" s="16"/>
      <c r="D251" s="16" t="s">
        <v>617</v>
      </c>
      <c r="E251" s="16"/>
      <c r="F251" s="39" t="s">
        <v>241</v>
      </c>
      <c r="G251" s="15" t="s">
        <v>945</v>
      </c>
      <c r="H251" s="31" t="s">
        <v>144</v>
      </c>
      <c r="I251" s="16" t="str">
        <f t="array" ref="I251">INDEX(Validations!$C$2:$C$100, MATCH(TRUE, ISNUMBER(SEARCH(Validations!$B$2:$B$100, H251)), 0))</f>
        <v>D</v>
      </c>
      <c r="J251" s="17" t="s">
        <v>1188</v>
      </c>
      <c r="K251" s="51"/>
      <c r="L251" s="52"/>
      <c r="M251" s="52"/>
      <c r="N251" s="27"/>
      <c r="O251" s="17" t="s">
        <v>1189</v>
      </c>
      <c r="P251" s="21"/>
      <c r="Q251" s="21"/>
      <c r="R251" s="36" t="s">
        <v>840</v>
      </c>
      <c r="S251" s="17" t="str">
        <f>IFERROR(__xludf.DUMMYFUNCTION("IFERROR(REGEXEXTRACT(J251, ""(\d{1,3}[dD]\d{1,3})""), """")"),"")</f>
        <v/>
      </c>
      <c r="T251" s="17" t="str">
        <f>IFERROR(__xludf.DUMMYFUNCTION("IF(COUNTIF(ARRAYFORMULA(LOWER(Validations!$O$2:$O$100)), LOWER(REGEXEXTRACT(J251, ""\d{1,3}[dD]\d{1,3}\s+(\w+)"")))&gt;0, REGEXEXTRACT(J251, ""\d{1,3}[dD]\d{1,3}\s+(\w+)""), """")"),"")</f>
        <v/>
      </c>
      <c r="U251" s="17" t="str">
        <f>IFERROR(__xludf.DUMMYFUNCTION("IF(COUNTIF(ARRAYFORMULA(LOWER(Validations!$P$2:$P$100)), LOWER(REGEXEXTRACT(J251, ""\d{1,3}[dD]\d{1,3}\s+(\w+)"")))&gt;0, REGEXEXTRACT(J251, ""\d{1,3}[dD]\d{1,3}\s+(\w+)""), """")"),"")</f>
        <v/>
      </c>
      <c r="V251" s="12" t="str">
        <f>IFERROR(__xludf.DUMMYFUNCTION("TEXTJOIN("", "", TRUE, FILTER(Validations!$L$2:$L$100, ISNUMBER(SEARCH(Validations!$L$2:$L$100, J251))))"),"")</f>
        <v/>
      </c>
      <c r="W251" s="12" t="str">
        <f>IFERROR(__xludf.DUMMYFUNCTION("IFERROR(TEXTJOIN("", "", TRUE, FILTER(Validations!$M$2:$M$100, ISNUMBER(SEARCH(Validations!$M$2:$M$100 &amp; "" saving throw"", J251)))), """")"),"")</f>
        <v/>
      </c>
      <c r="X251" s="12"/>
      <c r="Y251" s="12"/>
      <c r="Z251" s="12" t="str">
        <f>IFERROR(__xludf.DUMMYFUNCTION("IFERROR(TEXTJOIN("", "", TRUE, FILTER(Validations!$N$2:$N$100, ISNUMBER(SEARCH(Validations!$N$2:$N$100 &amp; "" check"", J251)))), """")"),"")</f>
        <v/>
      </c>
      <c r="AA251" s="12" t="str">
        <f>IFERROR(__xludf.DUMMYFUNCTION("IFERROR(TEXTJOIN("", "", TRUE, FILTER(Validations!$N$2:$N$100, ISNUMBER(SEARCH(Validations!$N$2:$N$100 &amp; "" check"", W251)))), """")"),"")</f>
        <v/>
      </c>
      <c r="AB251" s="23" t="str">
        <f>IFERROR(__xludf.DUMMYFUNCTION("IFERROR(CONCATENATE(IF(ISNUMBER(SEARCH(Validations!$M$2:$M$100 &amp; "" spell save"", J251)),""Spell Save"",""""), REGEXEXTRACT(J251, ""DC (\d+)"")), """")"),"")</f>
        <v/>
      </c>
      <c r="AC251" s="24" t="b">
        <v>0</v>
      </c>
      <c r="AD251" s="24" t="b">
        <v>0</v>
      </c>
      <c r="AE251" s="12" t="s">
        <v>69</v>
      </c>
      <c r="AF251" s="25">
        <f>IFERROR(__xludf.DUMMYFUNCTION("IFERROR(VALUE(REGEXEXTRACT(AE251, ""\d+"")), 1)"),1.0)</f>
        <v>1</v>
      </c>
      <c r="AG251" s="12" t="str">
        <f>IFERROR(__xludf.DUMMYFUNCTION("IF(
  ISNUMBER(SEARCH(""Bonus Action"", AE251)),
  ""Bonus Action"",
  IF(
    ISNUMBER(SEARCH(""Reaction"", AE251)),
    ""Reaction"",
    IF(
      ISNUMBER(SEARCH(""Action"", AE251)),
      ""Action"",
      TEXTJOIN("", "", TRUE, FILTER(Validations!$S"&amp;"$2:$S$100, ISNUMBER(SEARCH(Validations!$S$2:$S$100, AE251))))
    )
  )
)"),"Action")</f>
        <v>Action</v>
      </c>
      <c r="AH251" s="12"/>
      <c r="AI251" s="20" t="s">
        <v>556</v>
      </c>
      <c r="AJ251" s="26" t="str">
        <f>IFERROR(__xludf.DUMMYFUNCTION("TEXTJOIN("", "", TRUE, FILTER(Validations!$T$2:$T$100, ISNUMBER(SEARCH(Validations!$T$2:$T$100, AI251))))"),"")</f>
        <v/>
      </c>
      <c r="AK251" s="26">
        <f>IFERROR(__xludf.DUMMYFUNCTION("IFERROR(VALUE(REGEXEXTRACT(AI251, ""\d+"")), """")"),1.0)</f>
        <v>1</v>
      </c>
      <c r="AL251" s="26" t="str">
        <f>IFERROR(__xludf.DUMMYFUNCTION("TEXTJOIN("", "", TRUE, FILTER(Validations!$U$2:$U$100, ISNUMBER(SEARCH(Validations!$U$2:$U$100, AI251))))"),"Minutes")</f>
        <v>Minutes</v>
      </c>
      <c r="AM251" s="24" t="b">
        <f t="shared" si="1"/>
        <v>1</v>
      </c>
      <c r="AN251" s="42" t="b">
        <v>1</v>
      </c>
      <c r="AO251" s="12" t="s">
        <v>78</v>
      </c>
      <c r="AP251" s="12" t="str">
        <f>IFERROR(__xludf.DUMMYFUNCTION("IF(TEXTJOIN("", "", TRUE, FILTER(Validations!$Q$2:$Q$100, ISNUMBER(SEARCH(Validations!$Q$2:$Q$100, AO251)))) = """", Validations!$Q$2, TEXTJOIN("", "", TRUE, FILTER(Validations!$Q$2:$Q$100, ISNUMBER(SEARCH(Validations!$Q$2:$Q$100, AO251)))))"),"Point")</f>
        <v>Point</v>
      </c>
      <c r="AQ251" s="12" t="str">
        <f>IFERROR(__xludf.DUMMYFUNCTION("IFERROR(VALUE(REGEXEXTRACT(AO251, ""\d+"")), """")"),"")</f>
        <v/>
      </c>
      <c r="AR251" s="12" t="str">
        <f>IFERROR(__xludf.DUMMYFUNCTION("TEXTJOIN("", "", TRUE, FILTER(Validations!$R$2:$R$100, ISNUMBER(SEARCH(Validations!$R$2:$R$100, AO251))))"),"Self")</f>
        <v>Self</v>
      </c>
      <c r="AS251" s="27"/>
      <c r="AT251" s="12" t="str">
        <f>IFERROR(__xludf.DUMMYFUNCTION("IFERROR(TEXTJOIN("", "", TRUE, FILTER(Validations!$I$2:$I$100, ISNUMBER(SEARCH(Validations!$I$2:$I$100, AS251)))), """")"),"")</f>
        <v/>
      </c>
      <c r="AU251" s="16" t="str">
        <f t="array" ref="AU251">IFERROR(INDEX(Validations!$J$2:$J$100, MATCH(TRUE, ISNUMBER(SEARCH(Validations!$I$2:$I$100, AT251)), 0)), "")</f>
        <v/>
      </c>
      <c r="AV251" s="12" t="str">
        <f>IFERROR(__xludf.DUMMYFUNCTION("IFERROR(VALUE(REGEXEXTRACT(AS251, ""\d+"")), """")"),"")</f>
        <v/>
      </c>
      <c r="AW251" s="12" t="str">
        <f>IFERROR(__xludf.DUMMYFUNCTION("IFERROR(TEXTJOIN("", "", TRUE, FILTER(Validations!$Q$2:$Q$100, ISNUMBER(SEARCH(Validations!$Q$2:$Q$100, AS251)))), """")"),"")</f>
        <v/>
      </c>
      <c r="AX251" s="36" t="s">
        <v>248</v>
      </c>
      <c r="AY251" s="28" t="str">
        <f>IFERROR(__xludf.DUMMYFUNCTION("TEXTJOIN("", "", TRUE, FILTER(Validations!$Y$2:$Y$100, ISNUMBER(SEARCH(Validations!$X$2:$X$100, AX251))))"),"V")</f>
        <v>V</v>
      </c>
      <c r="AZ251" s="27"/>
      <c r="BA251" s="22"/>
      <c r="BB251" s="22"/>
      <c r="BC251" s="22"/>
      <c r="BD251" s="22"/>
      <c r="BE251" s="27"/>
      <c r="BF251" s="22"/>
      <c r="BG251" s="27"/>
      <c r="BH251" s="27"/>
      <c r="BI251" s="12" t="str">
        <f>IFERROR(__xludf.DUMMYFUNCTION("IFERROR(TEXTJOIN("", "", TRUE, FILTER(SRD!$A$2:$A$1000, EXACT(SRD!$A$2:$A$1000, J251))), """")"),"")</f>
        <v/>
      </c>
      <c r="BJ251" s="29"/>
      <c r="BK251" s="29"/>
    </row>
    <row r="252" ht="15.75" customHeight="1">
      <c r="A252" s="38" t="s">
        <v>1190</v>
      </c>
      <c r="B252" s="12"/>
      <c r="C252" s="16"/>
      <c r="D252" s="16" t="s">
        <v>617</v>
      </c>
      <c r="E252" s="16"/>
      <c r="F252" s="39" t="s">
        <v>241</v>
      </c>
      <c r="G252" s="15" t="s">
        <v>945</v>
      </c>
      <c r="H252" s="31" t="s">
        <v>85</v>
      </c>
      <c r="I252" s="16" t="str">
        <f t="array" ref="I252">INDEX(Validations!$C$2:$C$100, MATCH(TRUE, ISNUMBER(SEARCH(Validations!$B$2:$B$100, H252)), 0))</f>
        <v>T</v>
      </c>
      <c r="J252" s="17" t="s">
        <v>1191</v>
      </c>
      <c r="K252" s="51"/>
      <c r="L252" s="52"/>
      <c r="M252" s="52"/>
      <c r="N252" s="27"/>
      <c r="O252" s="17" t="s">
        <v>1192</v>
      </c>
      <c r="P252" s="21"/>
      <c r="Q252" s="21"/>
      <c r="R252" s="36" t="s">
        <v>840</v>
      </c>
      <c r="S252" s="17" t="str">
        <f>IFERROR(__xludf.DUMMYFUNCTION("IFERROR(REGEXEXTRACT(J252, ""(\d{1,3}[dD]\d{1,3})""), """")"),"4d8")</f>
        <v>4d8</v>
      </c>
      <c r="T252" s="17" t="str">
        <f>IFERROR(__xludf.DUMMYFUNCTION("IF(COUNTIF(ARRAYFORMULA(LOWER(Validations!$O$2:$O$100)), LOWER(REGEXEXTRACT(J252, ""\d{1,3}[dD]\d{1,3}\s+(\w+)"")))&gt;0, REGEXEXTRACT(J252, ""\d{1,3}[dD]\d{1,3}\s+(\w+)""), """")"),"distortive")</f>
        <v>distortive</v>
      </c>
      <c r="U252" s="17" t="str">
        <f>IFERROR(__xludf.DUMMYFUNCTION("IF(COUNTIF(ARRAYFORMULA(LOWER(Validations!$P$2:$P$100)), LOWER(REGEXEXTRACT(J252, ""\d{1,3}[dD]\d{1,3}\s+(\w+)"")))&gt;0, REGEXEXTRACT(J252, ""\d{1,3}[dD]\d{1,3}\s+(\w+)""), """")"),"")</f>
        <v/>
      </c>
      <c r="V252" s="12" t="str">
        <f>IFERROR(__xludf.DUMMYFUNCTION("TEXTJOIN("", "", TRUE, FILTER(Validations!$L$2:$L$100, ISNUMBER(SEARCH(Validations!$L$2:$L$100, J252))))"),"")</f>
        <v/>
      </c>
      <c r="W252" s="12" t="str">
        <f>IFERROR(__xludf.DUMMYFUNCTION("IFERROR(TEXTJOIN("", "", TRUE, FILTER(Validations!$M$2:$M$100, ISNUMBER(SEARCH(Validations!$M$2:$M$100 &amp; "" saving throw"", J252)))), """")"),"Charisma")</f>
        <v>Charisma</v>
      </c>
      <c r="X252" s="12"/>
      <c r="Y252" s="12"/>
      <c r="Z252" s="12" t="str">
        <f>IFERROR(__xludf.DUMMYFUNCTION("IFERROR(TEXTJOIN("", "", TRUE, FILTER(Validations!$N$2:$N$100, ISNUMBER(SEARCH(Validations!$N$2:$N$100 &amp; "" check"", J252)))), """")"),"")</f>
        <v/>
      </c>
      <c r="AA252" s="12" t="str">
        <f>IFERROR(__xludf.DUMMYFUNCTION("IFERROR(TEXTJOIN("", "", TRUE, FILTER(Validations!$N$2:$N$100, ISNUMBER(SEARCH(Validations!$N$2:$N$100 &amp; "" check"", W252)))), """")"),"")</f>
        <v/>
      </c>
      <c r="AB252" s="23" t="str">
        <f>IFERROR(__xludf.DUMMYFUNCTION("IFERROR(CONCATENATE(IF(ISNUMBER(SEARCH(Validations!$M$2:$M$100 &amp; "" spell save"", J252)),""Spell Save"",""""), REGEXEXTRACT(J252, ""DC (\d+)"")), """")"),"")</f>
        <v/>
      </c>
      <c r="AC252" s="24" t="b">
        <v>0</v>
      </c>
      <c r="AD252" s="24" t="b">
        <v>0</v>
      </c>
      <c r="AE252" s="36" t="s">
        <v>435</v>
      </c>
      <c r="AF252" s="25">
        <f>IFERROR(__xludf.DUMMYFUNCTION("IFERROR(VALUE(REGEXEXTRACT(AE252, ""\d+"")), 1)"),1.0)</f>
        <v>1</v>
      </c>
      <c r="AG252" s="12" t="str">
        <f>IFERROR(__xludf.DUMMYFUNCTION("IF(
  ISNUMBER(SEARCH(""Bonus Action"", AE252)),
  ""Bonus Action"",
  IF(
    ISNUMBER(SEARCH(""Reaction"", AE252)),
    ""Reaction"",
    IF(
      ISNUMBER(SEARCH(""Action"", AE252)),
      ""Action"",
      TEXTJOIN("", "", TRUE, FILTER(Validations!$S"&amp;"$2:$S$100, ISNUMBER(SEARCH(Validations!$S$2:$S$100, AE252))))
    )
  )
)"),"Bonus Action")</f>
        <v>Bonus Action</v>
      </c>
      <c r="AH252" s="12"/>
      <c r="AI252" s="20" t="s">
        <v>1193</v>
      </c>
      <c r="AJ252" s="26" t="str">
        <f>IFERROR(__xludf.DUMMYFUNCTION("TEXTJOIN("", "", TRUE, FILTER(Validations!$T$2:$T$100, ISNUMBER(SEARCH(Validations!$T$2:$T$100, AI252))))"),"Permanent")</f>
        <v>Permanent</v>
      </c>
      <c r="AK252" s="26" t="str">
        <f>IFERROR(__xludf.DUMMYFUNCTION("IFERROR(VALUE(REGEXEXTRACT(AI252, ""\d+"")), """")"),"")</f>
        <v/>
      </c>
      <c r="AL252" s="26" t="str">
        <f>IFERROR(__xludf.DUMMYFUNCTION("TEXTJOIN("", "", TRUE, FILTER(Validations!$U$2:$U$100, ISNUMBER(SEARCH(Validations!$U$2:$U$100, AI252))))"),"")</f>
        <v/>
      </c>
      <c r="AM252" s="24" t="b">
        <f t="shared" si="1"/>
        <v>0</v>
      </c>
      <c r="AN252" s="24" t="b">
        <v>0</v>
      </c>
      <c r="AO252" s="12" t="s">
        <v>71</v>
      </c>
      <c r="AP252" s="12" t="str">
        <f>IFERROR(__xludf.DUMMYFUNCTION("IF(TEXTJOIN("", "", TRUE, FILTER(Validations!$Q$2:$Q$100, ISNUMBER(SEARCH(Validations!$Q$2:$Q$100, AO252)))) = """", Validations!$Q$2, TEXTJOIN("", "", TRUE, FILTER(Validations!$Q$2:$Q$100, ISNUMBER(SEARCH(Validations!$Q$2:$Q$100, AO252)))))"),"Point")</f>
        <v>Point</v>
      </c>
      <c r="AQ252" s="12" t="str">
        <f>IFERROR(__xludf.DUMMYFUNCTION("IFERROR(VALUE(REGEXEXTRACT(AO252, ""\d+"")), """")"),"")</f>
        <v/>
      </c>
      <c r="AR252" s="12" t="str">
        <f>IFERROR(__xludf.DUMMYFUNCTION("TEXTJOIN("", "", TRUE, FILTER(Validations!$R$2:$R$100, ISNUMBER(SEARCH(Validations!$R$2:$R$100, AO252))))"),"Touch")</f>
        <v>Touch</v>
      </c>
      <c r="AS252" s="27"/>
      <c r="AT252" s="12" t="str">
        <f>IFERROR(__xludf.DUMMYFUNCTION("IFERROR(TEXTJOIN("", "", TRUE, FILTER(Validations!$I$2:$I$100, ISNUMBER(SEARCH(Validations!$I$2:$I$100, AS252)))), """")"),"")</f>
        <v/>
      </c>
      <c r="AU252" s="16" t="str">
        <f t="array" ref="AU252">IFERROR(INDEX(Validations!$J$2:$J$100, MATCH(TRUE, ISNUMBER(SEARCH(Validations!$I$2:$I$100, AT252)), 0)), "")</f>
        <v/>
      </c>
      <c r="AV252" s="12" t="str">
        <f>IFERROR(__xludf.DUMMYFUNCTION("IFERROR(VALUE(REGEXEXTRACT(AS252, ""\d+"")), """")"),"")</f>
        <v/>
      </c>
      <c r="AW252" s="12" t="str">
        <f>IFERROR(__xludf.DUMMYFUNCTION("IFERROR(TEXTJOIN("", "", TRUE, FILTER(Validations!$Q$2:$Q$100, ISNUMBER(SEARCH(Validations!$Q$2:$Q$100, AS252)))), """")"),"")</f>
        <v/>
      </c>
      <c r="AX252" s="36" t="s">
        <v>808</v>
      </c>
      <c r="AY252" s="28" t="str">
        <f>IFERROR(__xludf.DUMMYFUNCTION("TEXTJOIN("", "", TRUE, FILTER(Validations!$Y$2:$Y$100, ISNUMBER(SEARCH(Validations!$X$2:$X$100, AX252))))"),"R")</f>
        <v>R</v>
      </c>
      <c r="AZ252" s="26" t="s">
        <v>1194</v>
      </c>
      <c r="BA252" s="12"/>
      <c r="BB252" s="22"/>
      <c r="BC252" s="22"/>
      <c r="BD252" s="22"/>
      <c r="BE252" s="27"/>
      <c r="BF252" s="22"/>
      <c r="BG252" s="27"/>
      <c r="BH252" s="27"/>
      <c r="BI252" s="12" t="str">
        <f>IFERROR(__xludf.DUMMYFUNCTION("IFERROR(TEXTJOIN("", "", TRUE, FILTER(SRD!$A$2:$A$1000, EXACT(SRD!$A$2:$A$1000, J252))), """")"),"")</f>
        <v/>
      </c>
      <c r="BJ252" s="29"/>
      <c r="BK252" s="29"/>
    </row>
    <row r="253" ht="15.75" customHeight="1">
      <c r="A253" s="38" t="s">
        <v>1195</v>
      </c>
      <c r="B253" s="12"/>
      <c r="C253" s="16"/>
      <c r="D253" s="16" t="s">
        <v>1196</v>
      </c>
      <c r="E253" s="16"/>
      <c r="F253" s="32" t="s">
        <v>1197</v>
      </c>
      <c r="G253" s="15" t="s">
        <v>945</v>
      </c>
      <c r="H253" s="31" t="s">
        <v>85</v>
      </c>
      <c r="I253" s="16" t="str">
        <f t="array" ref="I253">INDEX(Validations!$C$2:$C$100, MATCH(TRUE, ISNUMBER(SEARCH(Validations!$B$2:$B$100, H253)), 0))</f>
        <v>T</v>
      </c>
      <c r="J253" s="17" t="s">
        <v>1198</v>
      </c>
      <c r="K253" s="51"/>
      <c r="L253" s="52"/>
      <c r="M253" s="52"/>
      <c r="N253" s="27"/>
      <c r="O253" s="17" t="s">
        <v>1199</v>
      </c>
      <c r="P253" s="21"/>
      <c r="Q253" s="21"/>
      <c r="R253" s="36" t="s">
        <v>1200</v>
      </c>
      <c r="S253" s="17" t="str">
        <f>IFERROR(__xludf.DUMMYFUNCTION("IFERROR(REGEXEXTRACT(J253, ""(\d{1,3}[dD]\d{1,3})""), """")"),"")</f>
        <v/>
      </c>
      <c r="T253" s="17" t="str">
        <f>IFERROR(__xludf.DUMMYFUNCTION("IF(COUNTIF(ARRAYFORMULA(LOWER(Validations!$O$2:$O$100)), LOWER(REGEXEXTRACT(J253, ""\d{1,3}[dD]\d{1,3}\s+(\w+)"")))&gt;0, REGEXEXTRACT(J253, ""\d{1,3}[dD]\d{1,3}\s+(\w+)""), """")"),"")</f>
        <v/>
      </c>
      <c r="U253" s="17" t="str">
        <f>IFERROR(__xludf.DUMMYFUNCTION("IF(COUNTIF(ARRAYFORMULA(LOWER(Validations!$P$2:$P$100)), LOWER(REGEXEXTRACT(J253, ""\d{1,3}[dD]\d{1,3}\s+(\w+)"")))&gt;0, REGEXEXTRACT(J253, ""\d{1,3}[dD]\d{1,3}\s+(\w+)""), """")"),"")</f>
        <v/>
      </c>
      <c r="V253" s="12" t="str">
        <f>IFERROR(__xludf.DUMMYFUNCTION("TEXTJOIN("", "", TRUE, FILTER(Validations!$L$2:$L$100, ISNUMBER(SEARCH(Validations!$L$2:$L$100, J253))))"),"")</f>
        <v/>
      </c>
      <c r="W253" s="12" t="str">
        <f>IFERROR(__xludf.DUMMYFUNCTION("IFERROR(TEXTJOIN("", "", TRUE, FILTER(Validations!$M$2:$M$100, ISNUMBER(SEARCH(Validations!$M$2:$M$100 &amp; "" saving throw"", J253)))), """")"),"")</f>
        <v/>
      </c>
      <c r="X253" s="12"/>
      <c r="Y253" s="12"/>
      <c r="Z253" s="12" t="str">
        <f>IFERROR(__xludf.DUMMYFUNCTION("IFERROR(TEXTJOIN("", "", TRUE, FILTER(Validations!$N$2:$N$100, ISNUMBER(SEARCH(Validations!$N$2:$N$100 &amp; "" check"", J253)))), """")"),"")</f>
        <v/>
      </c>
      <c r="AA253" s="12" t="str">
        <f>IFERROR(__xludf.DUMMYFUNCTION("IFERROR(TEXTJOIN("", "", TRUE, FILTER(Validations!$N$2:$N$100, ISNUMBER(SEARCH(Validations!$N$2:$N$100 &amp; "" check"", W253)))), """")"),"")</f>
        <v/>
      </c>
      <c r="AB253" s="23" t="str">
        <f>IFERROR(__xludf.DUMMYFUNCTION("IFERROR(CONCATENATE(IF(ISNUMBER(SEARCH(Validations!$M$2:$M$100 &amp; "" spell save"", J253)),""Spell Save"",""""), REGEXEXTRACT(J253, ""DC (\d+)"")), """")"),"")</f>
        <v/>
      </c>
      <c r="AC253" s="24" t="b">
        <v>0</v>
      </c>
      <c r="AD253" s="24" t="b">
        <v>0</v>
      </c>
      <c r="AE253" s="12" t="s">
        <v>69</v>
      </c>
      <c r="AF253" s="25">
        <f>IFERROR(__xludf.DUMMYFUNCTION("IFERROR(VALUE(REGEXEXTRACT(AE253, ""\d+"")), 1)"),1.0)</f>
        <v>1</v>
      </c>
      <c r="AG253" s="12" t="str">
        <f>IFERROR(__xludf.DUMMYFUNCTION("IF(
  ISNUMBER(SEARCH(""Bonus Action"", AE253)),
  ""Bonus Action"",
  IF(
    ISNUMBER(SEARCH(""Reaction"", AE253)),
    ""Reaction"",
    IF(
      ISNUMBER(SEARCH(""Action"", AE253)),
      ""Action"",
      TEXTJOIN("", "", TRUE, FILTER(Validations!$S"&amp;"$2:$S$100, ISNUMBER(SEARCH(Validations!$S$2:$S$100, AE253))))
    )
  )
)"),"Action")</f>
        <v>Action</v>
      </c>
      <c r="AH253" s="12"/>
      <c r="AI253" s="20" t="s">
        <v>782</v>
      </c>
      <c r="AJ253" s="26" t="str">
        <f>IFERROR(__xludf.DUMMYFUNCTION("TEXTJOIN("", "", TRUE, FILTER(Validations!$T$2:$T$100, ISNUMBER(SEARCH(Validations!$T$2:$T$100, AI253))))"),"")</f>
        <v/>
      </c>
      <c r="AK253" s="26">
        <f>IFERROR(__xludf.DUMMYFUNCTION("IFERROR(VALUE(REGEXEXTRACT(AI253, ""\d+"")), """")"),1.0)</f>
        <v>1</v>
      </c>
      <c r="AL253" s="26" t="str">
        <f>IFERROR(__xludf.DUMMYFUNCTION("TEXTJOIN("", "", TRUE, FILTER(Validations!$U$2:$U$100, ISNUMBER(SEARCH(Validations!$U$2:$U$100, AI253))))"),"")</f>
        <v/>
      </c>
      <c r="AM253" s="24" t="b">
        <f t="shared" si="1"/>
        <v>0</v>
      </c>
      <c r="AN253" s="24" t="b">
        <v>0</v>
      </c>
      <c r="AO253" s="36" t="s">
        <v>440</v>
      </c>
      <c r="AP253" s="12" t="str">
        <f>IFERROR(__xludf.DUMMYFUNCTION("IF(TEXTJOIN("", "", TRUE, FILTER(Validations!$Q$2:$Q$100, ISNUMBER(SEARCH(Validations!$Q$2:$Q$100, AO253)))) = """", Validations!$Q$2, TEXTJOIN("", "", TRUE, FILTER(Validations!$Q$2:$Q$100, ISNUMBER(SEARCH(Validations!$Q$2:$Q$100, AO253)))))"),"Point")</f>
        <v>Point</v>
      </c>
      <c r="AQ253" s="12">
        <f>IFERROR(__xludf.DUMMYFUNCTION("IFERROR(VALUE(REGEXEXTRACT(AO253, ""\d+"")), """")"),60.0)</f>
        <v>60</v>
      </c>
      <c r="AR253" s="12" t="str">
        <f>IFERROR(__xludf.DUMMYFUNCTION("TEXTJOIN("", "", TRUE, FILTER(Validations!$R$2:$R$100, ISNUMBER(SEARCH(Validations!$R$2:$R$100, AO253))))"),"Feet")</f>
        <v>Feet</v>
      </c>
      <c r="AS253" s="20" t="s">
        <v>1201</v>
      </c>
      <c r="AT253" s="12" t="str">
        <f>IFERROR(__xludf.DUMMYFUNCTION("IFERROR(TEXTJOIN("", "", TRUE, FILTER(Validations!$I$2:$I$100, ISNUMBER(SEARCH(Validations!$I$2:$I$100, AS253)))), """")"),"Sphere")</f>
        <v>Sphere</v>
      </c>
      <c r="AU253" s="16" t="str">
        <f t="array" ref="AU253">IFERROR(INDEX(Validations!$J$2:$J$100, MATCH(TRUE, ISNUMBER(SEARCH(Validations!$I$2:$I$100, AT253)), 0)), "")</f>
        <v>S</v>
      </c>
      <c r="AV253" s="12">
        <f>IFERROR(__xludf.DUMMYFUNCTION("IFERROR(VALUE(REGEXEXTRACT(AS253, ""\d+"")), """")"),15.0)</f>
        <v>15</v>
      </c>
      <c r="AW253" s="12" t="str">
        <f>IFERROR(__xludf.DUMMYFUNCTION("IFERROR(TEXTJOIN("", "", TRUE, FILTER(Validations!$Q$2:$Q$100, ISNUMBER(SEARCH(Validations!$Q$2:$Q$100, AS253)))), """")"),"Point, Sphere")</f>
        <v>Point, Sphere</v>
      </c>
      <c r="AX253" s="36" t="s">
        <v>80</v>
      </c>
      <c r="AY253" s="28" t="str">
        <f>IFERROR(__xludf.DUMMYFUNCTION("TEXTJOIN("", "", TRUE, FILTER(Validations!$Y$2:$Y$100, ISNUMBER(SEARCH(Validations!$X$2:$X$100, AX253))))"),"S, R")</f>
        <v>S, R</v>
      </c>
      <c r="AZ253" s="26" t="s">
        <v>1202</v>
      </c>
      <c r="BA253" s="12"/>
      <c r="BB253" s="22"/>
      <c r="BC253" s="22"/>
      <c r="BD253" s="22"/>
      <c r="BE253" s="27"/>
      <c r="BF253" s="22"/>
      <c r="BG253" s="27"/>
      <c r="BH253" s="27"/>
      <c r="BI253" s="12" t="str">
        <f>IFERROR(__xludf.DUMMYFUNCTION("IFERROR(TEXTJOIN("", "", TRUE, FILTER(SRD!$A$2:$A$1000, EXACT(SRD!$A$2:$A$1000, J253))), """")"),"")</f>
        <v/>
      </c>
      <c r="BJ253" s="29"/>
      <c r="BK253" s="29"/>
    </row>
    <row r="254" ht="15.75" customHeight="1">
      <c r="A254" s="30" t="s">
        <v>1203</v>
      </c>
      <c r="B254" s="22"/>
      <c r="C254" s="31"/>
      <c r="D254" s="31" t="s">
        <v>74</v>
      </c>
      <c r="E254" s="31"/>
      <c r="F254" s="32" t="s">
        <v>241</v>
      </c>
      <c r="G254" s="15" t="s">
        <v>945</v>
      </c>
      <c r="H254" s="31" t="s">
        <v>178</v>
      </c>
      <c r="I254" s="16" t="str">
        <f t="array" ref="I254">INDEX(Validations!$C$2:$C$100, MATCH(TRUE, ISNUMBER(SEARCH(Validations!$B$2:$B$100, H254)), 0))</f>
        <v>A</v>
      </c>
      <c r="J254" s="17" t="s">
        <v>1204</v>
      </c>
      <c r="K254" s="18"/>
      <c r="L254" s="17"/>
      <c r="M254" s="17"/>
      <c r="N254" s="27"/>
      <c r="O254" s="17"/>
      <c r="P254" s="21"/>
      <c r="Q254" s="21"/>
      <c r="R254" s="22"/>
      <c r="S254" s="17" t="str">
        <f>IFERROR(__xludf.DUMMYFUNCTION("IFERROR(REGEXEXTRACT(J254, ""(\d{1,3}[dD]\d{1,3})""), """")"),"")</f>
        <v/>
      </c>
      <c r="T254" s="17" t="str">
        <f>IFERROR(__xludf.DUMMYFUNCTION("IF(COUNTIF(ARRAYFORMULA(LOWER(Validations!$O$2:$O$100)), LOWER(REGEXEXTRACT(J254, ""\d{1,3}[dD]\d{1,3}\s+(\w+)"")))&gt;0, REGEXEXTRACT(J254, ""\d{1,3}[dD]\d{1,3}\s+(\w+)""), """")"),"")</f>
        <v/>
      </c>
      <c r="U254" s="17" t="str">
        <f>IFERROR(__xludf.DUMMYFUNCTION("IF(COUNTIF(ARRAYFORMULA(LOWER(Validations!$P$2:$P$100)), LOWER(REGEXEXTRACT(J254, ""\d{1,3}[dD]\d{1,3}\s+(\w+)"")))&gt;0, REGEXEXTRACT(J254, ""\d{1,3}[dD]\d{1,3}\s+(\w+)""), """")"),"")</f>
        <v/>
      </c>
      <c r="V254" s="12" t="str">
        <f>IFERROR(__xludf.DUMMYFUNCTION("TEXTJOIN("", "", TRUE, FILTER(Validations!$L$2:$L$100, ISNUMBER(SEARCH(Validations!$L$2:$L$100, J254))))"),"")</f>
        <v/>
      </c>
      <c r="W254" s="12" t="str">
        <f>IFERROR(__xludf.DUMMYFUNCTION("IFERROR(TEXTJOIN("", "", TRUE, FILTER(Validations!$M$2:$M$100, ISNUMBER(SEARCH(Validations!$M$2:$M$100 &amp; "" saving throw"", J254)))), """")"),"")</f>
        <v/>
      </c>
      <c r="X254" s="12"/>
      <c r="Y254" s="12"/>
      <c r="Z254" s="12" t="str">
        <f>IFERROR(__xludf.DUMMYFUNCTION("IFERROR(TEXTJOIN("", "", TRUE, FILTER(Validations!$N$2:$N$100, ISNUMBER(SEARCH(Validations!$N$2:$N$100 &amp; "" check"", J254)))), """")"),"")</f>
        <v/>
      </c>
      <c r="AA254" s="12" t="str">
        <f>IFERROR(__xludf.DUMMYFUNCTION("IFERROR(TEXTJOIN("", "", TRUE, FILTER(Validations!$N$2:$N$100, ISNUMBER(SEARCH(Validations!$N$2:$N$100 &amp; "" check"", W254)))), """")"),"")</f>
        <v/>
      </c>
      <c r="AB254" s="23" t="str">
        <f>IFERROR(__xludf.DUMMYFUNCTION("IFERROR(CONCATENATE(IF(ISNUMBER(SEARCH(Validations!$M$2:$M$100 &amp; "" spell save"", J254)),""Spell Save"",""""), REGEXEXTRACT(J254, ""DC (\d+)"")), """")"),"")</f>
        <v/>
      </c>
      <c r="AC254" s="24" t="b">
        <v>0</v>
      </c>
      <c r="AD254" s="24" t="b">
        <v>0</v>
      </c>
      <c r="AE254" s="36" t="s">
        <v>69</v>
      </c>
      <c r="AF254" s="25">
        <f>IFERROR(__xludf.DUMMYFUNCTION("IFERROR(VALUE(REGEXEXTRACT(AE254, ""\d+"")), 1)"),1.0)</f>
        <v>1</v>
      </c>
      <c r="AG254" s="12" t="str">
        <f>IFERROR(__xludf.DUMMYFUNCTION("IF(
  ISNUMBER(SEARCH(""Bonus Action"", AE254)),
  ""Bonus Action"",
  IF(
    ISNUMBER(SEARCH(""Reaction"", AE254)),
    ""Reaction"",
    IF(
      ISNUMBER(SEARCH(""Action"", AE254)),
      ""Action"",
      TEXTJOIN("", "", TRUE, FILTER(Validations!$S"&amp;"$2:$S$100, ISNUMBER(SEARCH(Validations!$S$2:$S$100, AE254))))
    )
  )
)"),"Action")</f>
        <v>Action</v>
      </c>
      <c r="AH254" s="36"/>
      <c r="AI254" s="27" t="s">
        <v>70</v>
      </c>
      <c r="AJ254" s="26" t="str">
        <f>IFERROR(__xludf.DUMMYFUNCTION("TEXTJOIN("", "", TRUE, FILTER(Validations!$T$2:$T$100, ISNUMBER(SEARCH(Validations!$T$2:$T$100, AI254))))"),"Instantaneous")</f>
        <v>Instantaneous</v>
      </c>
      <c r="AK254" s="26" t="str">
        <f>IFERROR(__xludf.DUMMYFUNCTION("IFERROR(VALUE(REGEXEXTRACT(AI254, ""\d+"")), """")"),"")</f>
        <v/>
      </c>
      <c r="AL254" s="26" t="str">
        <f>IFERROR(__xludf.DUMMYFUNCTION("TEXTJOIN("", "", TRUE, FILTER(Validations!$U$2:$U$100, ISNUMBER(SEARCH(Validations!$U$2:$U$100, AI254))))"),"")</f>
        <v/>
      </c>
      <c r="AM254" s="24" t="b">
        <f t="shared" si="1"/>
        <v>0</v>
      </c>
      <c r="AN254" s="24" t="b">
        <v>0</v>
      </c>
      <c r="AO254" s="22" t="s">
        <v>1205</v>
      </c>
      <c r="AP254" s="12" t="str">
        <f>IFERROR(__xludf.DUMMYFUNCTION("IF(TEXTJOIN("", "", TRUE, FILTER(Validations!$Q$2:$Q$100, ISNUMBER(SEARCH(Validations!$Q$2:$Q$100, AO254)))) = """", Validations!$Q$2, TEXTJOIN("", "", TRUE, FILTER(Validations!$Q$2:$Q$100, ISNUMBER(SEARCH(Validations!$Q$2:$Q$100, AO254)))))"),"Point")</f>
        <v>Point</v>
      </c>
      <c r="AQ254" s="12">
        <f>IFERROR(__xludf.DUMMYFUNCTION("IFERROR(VALUE(REGEXEXTRACT(AO254, ""\d+"")), """")"),30.0)</f>
        <v>30</v>
      </c>
      <c r="AR254" s="12" t="str">
        <f>IFERROR(__xludf.DUMMYFUNCTION("TEXTJOIN("", "", TRUE, FILTER(Validations!$R$2:$R$100, ISNUMBER(SEARCH(Validations!$R$2:$R$100, AO254))))"),"Feet")</f>
        <v>Feet</v>
      </c>
      <c r="AS254" s="27"/>
      <c r="AT254" s="12" t="str">
        <f>IFERROR(__xludf.DUMMYFUNCTION("IFERROR(TEXTJOIN("", "", TRUE, FILTER(Validations!$I$2:$I$100, ISNUMBER(SEARCH(Validations!$I$2:$I$100, AS254)))), """")"),"")</f>
        <v/>
      </c>
      <c r="AU254" s="16" t="str">
        <f t="array" ref="AU254">IFERROR(INDEX(Validations!$J$2:$J$100, MATCH(TRUE, ISNUMBER(SEARCH(Validations!$I$2:$I$100, AT254)), 0)), "")</f>
        <v/>
      </c>
      <c r="AV254" s="12" t="str">
        <f>IFERROR(__xludf.DUMMYFUNCTION("IFERROR(VALUE(REGEXEXTRACT(AS254, ""\d+"")), """")"),"")</f>
        <v/>
      </c>
      <c r="AW254" s="12" t="str">
        <f>IFERROR(__xludf.DUMMYFUNCTION("IFERROR(TEXTJOIN("", "", TRUE, FILTER(Validations!$Q$2:$Q$100, ISNUMBER(SEARCH(Validations!$Q$2:$Q$100, AS254)))), """")"),"")</f>
        <v/>
      </c>
      <c r="AX254" s="28" t="s">
        <v>152</v>
      </c>
      <c r="AY254" s="28" t="str">
        <f>IFERROR(__xludf.DUMMYFUNCTION("TEXTJOIN("", "", TRUE, FILTER(Validations!$Y$2:$Y$100, ISNUMBER(SEARCH(Validations!$X$2:$X$100, AX254))))"),"V, S, R")</f>
        <v>V, S, R</v>
      </c>
      <c r="AZ254" s="20" t="s">
        <v>1206</v>
      </c>
      <c r="BA254" s="22"/>
      <c r="BB254" s="22"/>
      <c r="BC254" s="22"/>
      <c r="BD254" s="22"/>
      <c r="BE254" s="27"/>
      <c r="BF254" s="22"/>
      <c r="BG254" s="27"/>
      <c r="BH254" s="27"/>
      <c r="BI254" s="12" t="str">
        <f>IFERROR(__xludf.DUMMYFUNCTION("IFERROR(TEXTJOIN("", "", TRUE, FILTER(SRD!$A$2:$A$1000, EXACT(SRD!$A$2:$A$1000, J254))), """")"),"")</f>
        <v/>
      </c>
      <c r="BJ254" s="29"/>
      <c r="BK254" s="29"/>
    </row>
    <row r="255" ht="15.75" customHeight="1">
      <c r="A255" s="55" t="s">
        <v>1207</v>
      </c>
      <c r="B255" s="12"/>
      <c r="C255" s="56"/>
      <c r="D255" s="56"/>
      <c r="E255" s="56"/>
      <c r="F255" s="32" t="s">
        <v>1208</v>
      </c>
      <c r="G255" s="57" t="s">
        <v>945</v>
      </c>
      <c r="H255" s="58" t="s">
        <v>144</v>
      </c>
      <c r="I255" s="16" t="str">
        <f t="array" ref="I255">INDEX(Validations!$C$2:$C$100, MATCH(TRUE, ISNUMBER(SEARCH(Validations!$B$2:$B$100, H255)), 0))</f>
        <v>D</v>
      </c>
      <c r="J255" s="36" t="s">
        <v>1209</v>
      </c>
      <c r="K255" s="34"/>
      <c r="L255" s="12"/>
      <c r="M255" s="59"/>
      <c r="N255" s="27"/>
      <c r="O255" s="59"/>
      <c r="P255" s="60"/>
      <c r="Q255" s="60"/>
      <c r="R255" s="22"/>
      <c r="S255" s="59"/>
      <c r="T255" s="17"/>
      <c r="U255" s="17"/>
      <c r="V255" s="12"/>
      <c r="W255" s="12"/>
      <c r="X255" s="12"/>
      <c r="Y255" s="12"/>
      <c r="Z255" s="12"/>
      <c r="AA255" s="12"/>
      <c r="AB255" s="44"/>
      <c r="AC255" s="42" t="b">
        <v>0</v>
      </c>
      <c r="AD255" s="42" t="b">
        <v>0</v>
      </c>
      <c r="AE255" s="36" t="s">
        <v>69</v>
      </c>
      <c r="AF255" s="25">
        <f>IFERROR(__xludf.DUMMYFUNCTION("IFERROR(VALUE(REGEXEXTRACT(AE255, ""\d+"")), 1)"),1.0)</f>
        <v>1</v>
      </c>
      <c r="AG255" s="12" t="str">
        <f>IFERROR(__xludf.DUMMYFUNCTION("IF(
  ISNUMBER(SEARCH(""Bonus Action"", AE255)),
  ""Bonus Action"",
  IF(
    ISNUMBER(SEARCH(""Reaction"", AE255)),
    ""Reaction"",
    IF(
      ISNUMBER(SEARCH(""Action"", AE255)),
      ""Action"",
      TEXTJOIN("", "", TRUE, FILTER(Validations!$S"&amp;"$2:$S$100, ISNUMBER(SEARCH(Validations!$S$2:$S$100, AE255))))
    )
  )
)"),"Action")</f>
        <v>Action</v>
      </c>
      <c r="AH255" s="36"/>
      <c r="AI255" s="20" t="s">
        <v>1210</v>
      </c>
      <c r="AJ255" s="26" t="str">
        <f>IFERROR(__xludf.DUMMYFUNCTION("TEXTJOIN("", "", TRUE, FILTER(Validations!$T$2:$T$100, ISNUMBER(SEARCH(Validations!$T$2:$T$100, AI255))))"),"")</f>
        <v/>
      </c>
      <c r="AK255" s="26">
        <f>IFERROR(__xludf.DUMMYFUNCTION("IFERROR(VALUE(REGEXEXTRACT(AI255, ""\d+"")), """")"),5.0)</f>
        <v>5</v>
      </c>
      <c r="AL255" s="26" t="str">
        <f>IFERROR(__xludf.DUMMYFUNCTION("TEXTJOIN("", "", TRUE, FILTER(Validations!$U$2:$U$100, ISNUMBER(SEARCH(Validations!$U$2:$U$100, AI255))))"),"Rounds")</f>
        <v>Rounds</v>
      </c>
      <c r="AM255" s="24" t="b">
        <f t="shared" si="1"/>
        <v>0</v>
      </c>
      <c r="AN255" s="42" t="b">
        <v>1</v>
      </c>
      <c r="AO255" s="36" t="s">
        <v>440</v>
      </c>
      <c r="AP255" s="12" t="str">
        <f>IFERROR(__xludf.DUMMYFUNCTION("IF(TEXTJOIN("", "", TRUE, FILTER(Validations!$Q$2:$Q$100, ISNUMBER(SEARCH(Validations!$Q$2:$Q$100, AO255)))) = """", Validations!$Q$2, TEXTJOIN("", "", TRUE, FILTER(Validations!$Q$2:$Q$100, ISNUMBER(SEARCH(Validations!$Q$2:$Q$100, AO255)))))"),"Point")</f>
        <v>Point</v>
      </c>
      <c r="AQ255" s="12">
        <f>IFERROR(__xludf.DUMMYFUNCTION("IFERROR(VALUE(REGEXEXTRACT(AO255, ""\d+"")), """")"),60.0)</f>
        <v>60</v>
      </c>
      <c r="AR255" s="12" t="str">
        <f>IFERROR(__xludf.DUMMYFUNCTION("TEXTJOIN("", "", TRUE, FILTER(Validations!$R$2:$R$100, ISNUMBER(SEARCH(Validations!$R$2:$R$100, AO255))))"),"Feet")</f>
        <v>Feet</v>
      </c>
      <c r="AS255" s="27"/>
      <c r="AT255" s="12" t="str">
        <f>IFERROR(__xludf.DUMMYFUNCTION("IFERROR(TEXTJOIN("", "", TRUE, FILTER(Validations!$I$2:$I$100, ISNUMBER(SEARCH(Validations!$I$2:$I$100, AS255)))), """")"),"")</f>
        <v/>
      </c>
      <c r="AU255" s="16" t="str">
        <f t="array" ref="AU255">IFERROR(INDEX(Validations!$J$2:$J$100, MATCH(TRUE, ISNUMBER(SEARCH(Validations!$I$2:$I$100, AT255)), 0)), "")</f>
        <v/>
      </c>
      <c r="AV255" s="12" t="str">
        <f>IFERROR(__xludf.DUMMYFUNCTION("IFERROR(VALUE(REGEXEXTRACT(AS255, ""\d+"")), """")"),"")</f>
        <v/>
      </c>
      <c r="AW255" s="12" t="str">
        <f>IFERROR(__xludf.DUMMYFUNCTION("IFERROR(TEXTJOIN("", "", TRUE, FILTER(Validations!$Q$2:$Q$100, ISNUMBER(SEARCH(Validations!$Q$2:$Q$100, AS255)))), """")"),"")</f>
        <v/>
      </c>
      <c r="AX255" s="28" t="s">
        <v>262</v>
      </c>
      <c r="AY255" s="28" t="str">
        <f>IFERROR(__xludf.DUMMYFUNCTION("TEXTJOIN("", "", TRUE, FILTER(Validations!$Y$2:$Y$100, ISNUMBER(SEARCH(Validations!$X$2:$X$100, AX255))))"),"V, S, R")</f>
        <v>V, S, R</v>
      </c>
      <c r="AZ255" s="19" t="s">
        <v>1211</v>
      </c>
      <c r="BA255" s="59"/>
      <c r="BB255" s="22"/>
      <c r="BC255" s="22"/>
      <c r="BD255" s="22"/>
      <c r="BE255" s="27"/>
      <c r="BF255" s="22"/>
      <c r="BG255" s="27"/>
      <c r="BH255" s="27"/>
      <c r="BI255" s="12" t="str">
        <f>IFERROR(__xludf.DUMMYFUNCTION("IFERROR(TEXTJOIN("", "", TRUE, FILTER(SRD!$A$2:$A$1000, EXACT(SRD!$A$2:$A$1000, J255))), """")"),"")</f>
        <v/>
      </c>
      <c r="BJ255" s="29"/>
      <c r="BK255" s="29"/>
    </row>
    <row r="256" ht="15.75" customHeight="1">
      <c r="A256" s="11" t="s">
        <v>1212</v>
      </c>
      <c r="B256" s="12"/>
      <c r="C256" s="16"/>
      <c r="D256" s="16" t="s">
        <v>1213</v>
      </c>
      <c r="E256" s="16"/>
      <c r="F256" s="32" t="s">
        <v>1214</v>
      </c>
      <c r="G256" s="15" t="s">
        <v>945</v>
      </c>
      <c r="H256" s="16" t="s">
        <v>103</v>
      </c>
      <c r="I256" s="16" t="str">
        <f t="array" ref="I256">INDEX(Validations!$C$2:$C$100, MATCH(TRUE, ISNUMBER(SEARCH(Validations!$B$2:$B$100, H256)), 0))</f>
        <v>C</v>
      </c>
      <c r="J256" s="17" t="s">
        <v>1215</v>
      </c>
      <c r="K256" s="18"/>
      <c r="L256" s="17" t="s">
        <v>1216</v>
      </c>
      <c r="M256" s="17" t="s">
        <v>1217</v>
      </c>
      <c r="N256" s="20" t="s">
        <v>1218</v>
      </c>
      <c r="O256" s="17"/>
      <c r="P256" s="21"/>
      <c r="Q256" s="21" t="s">
        <v>1219</v>
      </c>
      <c r="R256" s="36"/>
      <c r="S256" s="17"/>
      <c r="T256" s="17"/>
      <c r="U256" s="17"/>
      <c r="V256" s="12"/>
      <c r="W256" s="12"/>
      <c r="X256" s="12"/>
      <c r="Y256" s="12"/>
      <c r="Z256" s="12"/>
      <c r="AA256" s="12"/>
      <c r="AB256" s="23"/>
      <c r="AC256" s="24" t="b">
        <v>0</v>
      </c>
      <c r="AD256" s="24" t="b">
        <v>0</v>
      </c>
      <c r="AE256" s="36" t="s">
        <v>69</v>
      </c>
      <c r="AF256" s="25">
        <f>IFERROR(__xludf.DUMMYFUNCTION("IFERROR(VALUE(REGEXEXTRACT(AE256, ""\d+"")), 1)"),1.0)</f>
        <v>1</v>
      </c>
      <c r="AG256" s="12" t="str">
        <f>IFERROR(__xludf.DUMMYFUNCTION("IF(
  ISNUMBER(SEARCH(""Bonus Action"", AE256)),
  ""Bonus Action"",
  IF(
    ISNUMBER(SEARCH(""Reaction"", AE256)),
    ""Reaction"",
    IF(
      ISNUMBER(SEARCH(""Action"", AE256)),
      ""Action"",
      TEXTJOIN("", "", TRUE, FILTER(Validations!$S"&amp;"$2:$S$100, ISNUMBER(SEARCH(Validations!$S$2:$S$100, AE256))))
    )
  )
)"),"Action")</f>
        <v>Action</v>
      </c>
      <c r="AH256" s="36"/>
      <c r="AI256" s="20" t="s">
        <v>556</v>
      </c>
      <c r="AJ256" s="26" t="str">
        <f>IFERROR(__xludf.DUMMYFUNCTION("TEXTJOIN("", "", TRUE, FILTER(Validations!$T$2:$T$100, ISNUMBER(SEARCH(Validations!$T$2:$T$100, AI256))))"),"")</f>
        <v/>
      </c>
      <c r="AK256" s="26">
        <f>IFERROR(__xludf.DUMMYFUNCTION("IFERROR(VALUE(REGEXEXTRACT(AI256, ""\d+"")), """")"),1.0)</f>
        <v>1</v>
      </c>
      <c r="AL256" s="26" t="str">
        <f>IFERROR(__xludf.DUMMYFUNCTION("TEXTJOIN("", "", TRUE, FILTER(Validations!$U$2:$U$100, ISNUMBER(SEARCH(Validations!$U$2:$U$100, AI256))))"),"Minutes")</f>
        <v>Minutes</v>
      </c>
      <c r="AM256" s="24" t="b">
        <f t="shared" si="1"/>
        <v>1</v>
      </c>
      <c r="AN256" s="42" t="b">
        <v>1</v>
      </c>
      <c r="AO256" s="36" t="s">
        <v>502</v>
      </c>
      <c r="AP256" s="12" t="str">
        <f>IFERROR(__xludf.DUMMYFUNCTION("IF(TEXTJOIN("", "", TRUE, FILTER(Validations!$Q$2:$Q$100, ISNUMBER(SEARCH(Validations!$Q$2:$Q$100, AO256)))) = """", Validations!$Q$2, TEXTJOIN("", "", TRUE, FILTER(Validations!$Q$2:$Q$100, ISNUMBER(SEARCH(Validations!$Q$2:$Q$100, AO256)))))"),"Point")</f>
        <v>Point</v>
      </c>
      <c r="AQ256" s="12">
        <f>IFERROR(__xludf.DUMMYFUNCTION("IFERROR(VALUE(REGEXEXTRACT(AO256, ""\d+"")), """")"),120.0)</f>
        <v>120</v>
      </c>
      <c r="AR256" s="12" t="str">
        <f>IFERROR(__xludf.DUMMYFUNCTION("TEXTJOIN("", "", TRUE, FILTER(Validations!$R$2:$R$100, ISNUMBER(SEARCH(Validations!$R$2:$R$100, AO256))))"),"Feet")</f>
        <v>Feet</v>
      </c>
      <c r="AS256" s="27"/>
      <c r="AT256" s="12" t="str">
        <f>IFERROR(__xludf.DUMMYFUNCTION("IFERROR(TEXTJOIN("", "", TRUE, FILTER(Validations!$I$2:$I$100, ISNUMBER(SEARCH(Validations!$I$2:$I$100, AS256)))), """")"),"")</f>
        <v/>
      </c>
      <c r="AU256" s="16" t="str">
        <f t="array" ref="AU256">IFERROR(INDEX(Validations!$J$2:$J$100, MATCH(TRUE, ISNUMBER(SEARCH(Validations!$I$2:$I$100, AT256)), 0)), "")</f>
        <v/>
      </c>
      <c r="AV256" s="12" t="str">
        <f>IFERROR(__xludf.DUMMYFUNCTION("IFERROR(VALUE(REGEXEXTRACT(AS256, ""\d+"")), """")"),"")</f>
        <v/>
      </c>
      <c r="AW256" s="12" t="str">
        <f>IFERROR(__xludf.DUMMYFUNCTION("IFERROR(TEXTJOIN("", "", TRUE, FILTER(Validations!$Q$2:$Q$100, ISNUMBER(SEARCH(Validations!$Q$2:$Q$100, AS256)))), """")"),"")</f>
        <v/>
      </c>
      <c r="AX256" s="28" t="s">
        <v>262</v>
      </c>
      <c r="AY256" s="28" t="str">
        <f>IFERROR(__xludf.DUMMYFUNCTION("TEXTJOIN("", "", TRUE, FILTER(Validations!$Y$2:$Y$100, ISNUMBER(SEARCH(Validations!$X$2:$X$100, AX256))))"),"V, S, R")</f>
        <v>V, S, R</v>
      </c>
      <c r="AZ256" s="20" t="s">
        <v>1220</v>
      </c>
      <c r="BA256" s="22"/>
      <c r="BB256" s="22"/>
      <c r="BC256" s="22"/>
      <c r="BD256" s="22"/>
      <c r="BE256" s="27"/>
      <c r="BF256" s="22"/>
      <c r="BG256" s="27"/>
      <c r="BH256" s="20" t="s">
        <v>1221</v>
      </c>
      <c r="BI256" s="12"/>
      <c r="BJ256" s="29"/>
      <c r="BK256" s="29"/>
    </row>
    <row r="257" ht="15.75" customHeight="1">
      <c r="A257" s="30" t="s">
        <v>1222</v>
      </c>
      <c r="B257" s="22"/>
      <c r="C257" s="16"/>
      <c r="D257" s="16" t="s">
        <v>951</v>
      </c>
      <c r="E257" s="16"/>
      <c r="F257" s="32" t="s">
        <v>139</v>
      </c>
      <c r="G257" s="50" t="s">
        <v>1223</v>
      </c>
      <c r="H257" s="31" t="s">
        <v>103</v>
      </c>
      <c r="I257" s="16" t="str">
        <f t="array" ref="I257">INDEX(Validations!$C$2:$C$100, MATCH(TRUE, ISNUMBER(SEARCH(Validations!$B$2:$B$100, H257)), 0))</f>
        <v>C</v>
      </c>
      <c r="J257" s="17" t="s">
        <v>1224</v>
      </c>
      <c r="K257" s="18"/>
      <c r="L257" s="17"/>
      <c r="M257" s="17"/>
      <c r="N257" s="27"/>
      <c r="O257" s="17"/>
      <c r="P257" s="21"/>
      <c r="Q257" s="21"/>
      <c r="R257" s="22"/>
      <c r="S257" s="17" t="str">
        <f>IFERROR(__xludf.DUMMYFUNCTION("IFERROR(REGEXEXTRACT(J257, ""(\d{1,3}[dD]\d{1,3})""), """")"),"1d6")</f>
        <v>1d6</v>
      </c>
      <c r="T257" s="17" t="str">
        <f>IFERROR(__xludf.DUMMYFUNCTION("IF(COUNTIF(ARRAYFORMULA(LOWER(Validations!$O$2:$O$100)), LOWER(REGEXEXTRACT(J257, ""\d{1,3}[dD]\d{1,3}\s+(\w+)"")))&gt;0, REGEXEXTRACT(J257, ""\d{1,3}[dD]\d{1,3}\s+(\w+)""), """")"),"")</f>
        <v/>
      </c>
      <c r="U257" s="17" t="str">
        <f>IFERROR(__xludf.DUMMYFUNCTION("IF(COUNTIF(ARRAYFORMULA(LOWER(Validations!$P$2:$P$100)), LOWER(REGEXEXTRACT(J257, ""\d{1,3}[dD]\d{1,3}\s+(\w+)"")))&gt;0, REGEXEXTRACT(J257, ""\d{1,3}[dD]\d{1,3}\s+(\w+)""), """")"),"")</f>
        <v/>
      </c>
      <c r="V257" s="12" t="str">
        <f>IFERROR(__xludf.DUMMYFUNCTION("TEXTJOIN("", "", TRUE, FILTER(Validations!$L$2:$L$100, ISNUMBER(SEARCH(Validations!$L$2:$L$100, J257))))"),"")</f>
        <v/>
      </c>
      <c r="W257" s="12" t="str">
        <f>IFERROR(__xludf.DUMMYFUNCTION("IFERROR(TEXTJOIN("", "", TRUE, FILTER(Validations!$M$2:$M$100, ISNUMBER(SEARCH(Validations!$M$2:$M$100 &amp; "" saving throw"", J257)))), """")"),"")</f>
        <v/>
      </c>
      <c r="X257" s="12"/>
      <c r="Y257" s="12"/>
      <c r="Z257" s="12" t="str">
        <f>IFERROR(__xludf.DUMMYFUNCTION("IFERROR(TEXTJOIN("", "", TRUE, FILTER(Validations!$N$2:$N$100, ISNUMBER(SEARCH(Validations!$N$2:$N$100 &amp; "" check"", J257)))), """")"),"")</f>
        <v/>
      </c>
      <c r="AA257" s="12" t="str">
        <f>IFERROR(__xludf.DUMMYFUNCTION("IFERROR(TEXTJOIN("", "", TRUE, FILTER(Validations!$N$2:$N$100, ISNUMBER(SEARCH(Validations!$N$2:$N$100 &amp; "" check"", W257)))), """")"),"")</f>
        <v/>
      </c>
      <c r="AB257" s="23" t="str">
        <f>IFERROR(__xludf.DUMMYFUNCTION("IFERROR(CONCATENATE(IF(ISNUMBER(SEARCH(Validations!$M$2:$M$100 &amp; "" spell save"", J257)),""Spell Save"",""""), REGEXEXTRACT(J257, ""DC (\d+)"")), """")"),"")</f>
        <v/>
      </c>
      <c r="AC257" s="24" t="b">
        <v>0</v>
      </c>
      <c r="AD257" s="24" t="b">
        <v>0</v>
      </c>
      <c r="AE257" s="36" t="s">
        <v>69</v>
      </c>
      <c r="AF257" s="25">
        <f>IFERROR(__xludf.DUMMYFUNCTION("IFERROR(VALUE(REGEXEXTRACT(AE257, ""\d+"")), 1)"),1.0)</f>
        <v>1</v>
      </c>
      <c r="AG257" s="12" t="str">
        <f>IFERROR(__xludf.DUMMYFUNCTION("IF(
  ISNUMBER(SEARCH(""Bonus Action"", AE257)),
  ""Bonus Action"",
  IF(
    ISNUMBER(SEARCH(""Reaction"", AE257)),
    ""Reaction"",
    IF(
      ISNUMBER(SEARCH(""Action"", AE257)),
      ""Action"",
      TEXTJOIN("", "", TRUE, FILTER(Validations!$S"&amp;"$2:$S$100, ISNUMBER(SEARCH(Validations!$S$2:$S$100, AE257))))
    )
  )
)"),"Action")</f>
        <v>Action</v>
      </c>
      <c r="AH257" s="36"/>
      <c r="AI257" s="27" t="s">
        <v>70</v>
      </c>
      <c r="AJ257" s="26" t="str">
        <f>IFERROR(__xludf.DUMMYFUNCTION("TEXTJOIN("", "", TRUE, FILTER(Validations!$T$2:$T$100, ISNUMBER(SEARCH(Validations!$T$2:$T$100, AI257))))"),"Instantaneous")</f>
        <v>Instantaneous</v>
      </c>
      <c r="AK257" s="26" t="str">
        <f>IFERROR(__xludf.DUMMYFUNCTION("IFERROR(VALUE(REGEXEXTRACT(AI257, ""\d+"")), """")"),"")</f>
        <v/>
      </c>
      <c r="AL257" s="26" t="str">
        <f>IFERROR(__xludf.DUMMYFUNCTION("TEXTJOIN("", "", TRUE, FILTER(Validations!$U$2:$U$100, ISNUMBER(SEARCH(Validations!$U$2:$U$100, AI257))))"),"")</f>
        <v/>
      </c>
      <c r="AM257" s="24" t="b">
        <f t="shared" si="1"/>
        <v>0</v>
      </c>
      <c r="AN257" s="24" t="b">
        <v>0</v>
      </c>
      <c r="AO257" s="22" t="s">
        <v>71</v>
      </c>
      <c r="AP257" s="12" t="str">
        <f>IFERROR(__xludf.DUMMYFUNCTION("IF(TEXTJOIN("", "", TRUE, FILTER(Validations!$Q$2:$Q$100, ISNUMBER(SEARCH(Validations!$Q$2:$Q$100, AO257)))) = """", Validations!$Q$2, TEXTJOIN("", "", TRUE, FILTER(Validations!$Q$2:$Q$100, ISNUMBER(SEARCH(Validations!$Q$2:$Q$100, AO257)))))"),"Point")</f>
        <v>Point</v>
      </c>
      <c r="AQ257" s="12" t="str">
        <f>IFERROR(__xludf.DUMMYFUNCTION("IFERROR(VALUE(REGEXEXTRACT(AO257, ""\d+"")), """")"),"")</f>
        <v/>
      </c>
      <c r="AR257" s="12" t="str">
        <f>IFERROR(__xludf.DUMMYFUNCTION("TEXTJOIN("", "", TRUE, FILTER(Validations!$R$2:$R$100, ISNUMBER(SEARCH(Validations!$R$2:$R$100, AO257))))"),"Touch")</f>
        <v>Touch</v>
      </c>
      <c r="AS257" s="27"/>
      <c r="AT257" s="12" t="str">
        <f>IFERROR(__xludf.DUMMYFUNCTION("IFERROR(TEXTJOIN("", "", TRUE, FILTER(Validations!$I$2:$I$100, ISNUMBER(SEARCH(Validations!$I$2:$I$100, AS257)))), """")"),"")</f>
        <v/>
      </c>
      <c r="AU257" s="16" t="str">
        <f t="array" ref="AU257">IFERROR(INDEX(Validations!$J$2:$J$100, MATCH(TRUE, ISNUMBER(SEARCH(Validations!$I$2:$I$100, AT257)), 0)), "")</f>
        <v/>
      </c>
      <c r="AV257" s="12" t="str">
        <f>IFERROR(__xludf.DUMMYFUNCTION("IFERROR(VALUE(REGEXEXTRACT(AS257, ""\d+"")), """")"),"")</f>
        <v/>
      </c>
      <c r="AW257" s="12" t="str">
        <f>IFERROR(__xludf.DUMMYFUNCTION("IFERROR(TEXTJOIN("", "", TRUE, FILTER(Validations!$Q$2:$Q$100, ISNUMBER(SEARCH(Validations!$Q$2:$Q$100, AS257)))), """")"),"")</f>
        <v/>
      </c>
      <c r="AX257" s="28" t="s">
        <v>152</v>
      </c>
      <c r="AY257" s="28" t="str">
        <f>IFERROR(__xludf.DUMMYFUNCTION("TEXTJOIN("", "", TRUE, FILTER(Validations!$Y$2:$Y$100, ISNUMBER(SEARCH(Validations!$X$2:$X$100, AX257))))"),"V, S, R")</f>
        <v>V, S, R</v>
      </c>
      <c r="AZ257" s="20" t="s">
        <v>1225</v>
      </c>
      <c r="BA257" s="22"/>
      <c r="BB257" s="22"/>
      <c r="BC257" s="22"/>
      <c r="BD257" s="22"/>
      <c r="BE257" s="27"/>
      <c r="BF257" s="22"/>
      <c r="BG257" s="27"/>
      <c r="BH257" s="27"/>
      <c r="BI257" s="12" t="str">
        <f>IFERROR(__xludf.DUMMYFUNCTION("IFERROR(TEXTJOIN("", "", TRUE, FILTER(SRD!$A$2:$A$1000, EXACT(SRD!$A$2:$A$1000, J257))), """")"),"")</f>
        <v/>
      </c>
      <c r="BJ257" s="29"/>
      <c r="BK257" s="29"/>
    </row>
    <row r="258" ht="15.75" customHeight="1">
      <c r="A258" s="11" t="s">
        <v>1226</v>
      </c>
      <c r="B258" s="12"/>
      <c r="C258" s="16"/>
      <c r="D258" s="16" t="s">
        <v>538</v>
      </c>
      <c r="E258" s="16"/>
      <c r="F258" s="32" t="s">
        <v>1227</v>
      </c>
      <c r="G258" s="50" t="s">
        <v>1223</v>
      </c>
      <c r="H258" s="31" t="s">
        <v>76</v>
      </c>
      <c r="I258" s="16" t="str">
        <f t="array" ref="I258">INDEX(Validations!$C$2:$C$100, MATCH(TRUE, ISNUMBER(SEARCH(Validations!$B$2:$B$100, H258)), 0))</f>
        <v>V</v>
      </c>
      <c r="J258" s="17" t="s">
        <v>1228</v>
      </c>
      <c r="K258" s="18"/>
      <c r="L258" s="17"/>
      <c r="M258" s="17"/>
      <c r="N258" s="27"/>
      <c r="O258" s="17"/>
      <c r="P258" s="21"/>
      <c r="Q258" s="21"/>
      <c r="R258" s="22"/>
      <c r="S258" s="17" t="str">
        <f>IFERROR(__xludf.DUMMYFUNCTION("IFERROR(REGEXEXTRACT(J258, ""(\d{1,3}[dD]\d{1,3})""), """")"),"5d8")</f>
        <v>5d8</v>
      </c>
      <c r="T258" s="17" t="str">
        <f>IFERROR(__xludf.DUMMYFUNCTION("IF(COUNTIF(ARRAYFORMULA(LOWER(Validations!$O$2:$O$100)), LOWER(REGEXEXTRACT(J258, ""\d{1,3}[dD]\d{1,3}\s+(\w+)"")))&gt;0, REGEXEXTRACT(J258, ""\d{1,3}[dD]\d{1,3}\s+(\w+)""), """")"),"")</f>
        <v/>
      </c>
      <c r="U258" s="17" t="str">
        <f>IFERROR(__xludf.DUMMYFUNCTION("IF(COUNTIF(ARRAYFORMULA(LOWER(Validations!$P$2:$P$100)), LOWER(REGEXEXTRACT(J258, ""\d{1,3}[dD]\d{1,3}\s+(\w+)"")))&gt;0, REGEXEXTRACT(J258, ""\d{1,3}[dD]\d{1,3}\s+(\w+)""), """")"),"")</f>
        <v/>
      </c>
      <c r="V258" s="12" t="str">
        <f>IFERROR(__xludf.DUMMYFUNCTION("TEXTJOIN("", "", TRUE, FILTER(Validations!$L$2:$L$100, ISNUMBER(SEARCH(Validations!$L$2:$L$100, J258))))"),"Stunned")</f>
        <v>Stunned</v>
      </c>
      <c r="W258" s="12" t="str">
        <f>IFERROR(__xludf.DUMMYFUNCTION("IFERROR(TEXTJOIN("", "", TRUE, FILTER(Validations!$M$2:$M$100, ISNUMBER(SEARCH(Validations!$M$2:$M$100 &amp; "" saving throw"", J258)))), """")"),"Constitution")</f>
        <v>Constitution</v>
      </c>
      <c r="X258" s="12"/>
      <c r="Y258" s="12"/>
      <c r="Z258" s="12" t="str">
        <f>IFERROR(__xludf.DUMMYFUNCTION("IFERROR(TEXTJOIN("", "", TRUE, FILTER(Validations!$N$2:$N$100, ISNUMBER(SEARCH(Validations!$N$2:$N$100 &amp; "" check"", J258)))), """")"),"")</f>
        <v/>
      </c>
      <c r="AA258" s="12" t="str">
        <f>IFERROR(__xludf.DUMMYFUNCTION("IFERROR(TEXTJOIN("", "", TRUE, FILTER(Validations!$N$2:$N$100, ISNUMBER(SEARCH(Validations!$N$2:$N$100 &amp; "" check"", W258)))), """")"),"")</f>
        <v/>
      </c>
      <c r="AB258" s="23" t="str">
        <f>IFERROR(__xludf.DUMMYFUNCTION("IFERROR(CONCATENATE(IF(ISNUMBER(SEARCH(Validations!$M$2:$M$100 &amp; "" spell save"", J258)),""Spell Save"",""""), REGEXEXTRACT(J258, ""DC (\d+)"")), """")"),"")</f>
        <v/>
      </c>
      <c r="AC258" s="24" t="b">
        <v>0</v>
      </c>
      <c r="AD258" s="24" t="b">
        <v>0</v>
      </c>
      <c r="AE258" s="36" t="s">
        <v>69</v>
      </c>
      <c r="AF258" s="25">
        <f>IFERROR(__xludf.DUMMYFUNCTION("IFERROR(VALUE(REGEXEXTRACT(AE258, ""\d+"")), 1)"),1.0)</f>
        <v>1</v>
      </c>
      <c r="AG258" s="12" t="str">
        <f>IFERROR(__xludf.DUMMYFUNCTION("IF(
  ISNUMBER(SEARCH(""Bonus Action"", AE258)),
  ""Bonus Action"",
  IF(
    ISNUMBER(SEARCH(""Reaction"", AE258)),
    ""Reaction"",
    IF(
      ISNUMBER(SEARCH(""Action"", AE258)),
      ""Action"",
      TEXTJOIN("", "", TRUE, FILTER(Validations!$S"&amp;"$2:$S$100, ISNUMBER(SEARCH(Validations!$S$2:$S$100, AE258))))
    )
  )
)"),"Action")</f>
        <v>Action</v>
      </c>
      <c r="AH258" s="36"/>
      <c r="AI258" s="20" t="s">
        <v>92</v>
      </c>
      <c r="AJ258" s="26" t="str">
        <f>IFERROR(__xludf.DUMMYFUNCTION("TEXTJOIN("", "", TRUE, FILTER(Validations!$T$2:$T$100, ISNUMBER(SEARCH(Validations!$T$2:$T$100, AI258))))"),"")</f>
        <v/>
      </c>
      <c r="AK258" s="26">
        <f>IFERROR(__xludf.DUMMYFUNCTION("IFERROR(VALUE(REGEXEXTRACT(AI258, ""\d+"")), """")"),1.0)</f>
        <v>1</v>
      </c>
      <c r="AL258" s="26" t="str">
        <f>IFERROR(__xludf.DUMMYFUNCTION("TEXTJOIN("", "", TRUE, FILTER(Validations!$U$2:$U$100, ISNUMBER(SEARCH(Validations!$U$2:$U$100, AI258))))"),"Minutes")</f>
        <v>Minutes</v>
      </c>
      <c r="AM258" s="24" t="b">
        <f t="shared" si="1"/>
        <v>0</v>
      </c>
      <c r="AN258" s="24" t="b">
        <v>1</v>
      </c>
      <c r="AO258" s="22" t="s">
        <v>440</v>
      </c>
      <c r="AP258" s="12" t="str">
        <f>IFERROR(__xludf.DUMMYFUNCTION("IF(TEXTJOIN("", "", TRUE, FILTER(Validations!$Q$2:$Q$100, ISNUMBER(SEARCH(Validations!$Q$2:$Q$100, AO258)))) = """", Validations!$Q$2, TEXTJOIN("", "", TRUE, FILTER(Validations!$Q$2:$Q$100, ISNUMBER(SEARCH(Validations!$Q$2:$Q$100, AO258)))))"),"Point")</f>
        <v>Point</v>
      </c>
      <c r="AQ258" s="12">
        <f>IFERROR(__xludf.DUMMYFUNCTION("IFERROR(VALUE(REGEXEXTRACT(AO258, ""\d+"")), """")"),60.0)</f>
        <v>60</v>
      </c>
      <c r="AR258" s="12" t="str">
        <f>IFERROR(__xludf.DUMMYFUNCTION("TEXTJOIN("", "", TRUE, FILTER(Validations!$R$2:$R$100, ISNUMBER(SEARCH(Validations!$R$2:$R$100, AO258))))"),"Feet")</f>
        <v>Feet</v>
      </c>
      <c r="AS258" s="27"/>
      <c r="AT258" s="12" t="str">
        <f>IFERROR(__xludf.DUMMYFUNCTION("IFERROR(TEXTJOIN("", "", TRUE, FILTER(Validations!$I$2:$I$100, ISNUMBER(SEARCH(Validations!$I$2:$I$100, AS258)))), """")"),"")</f>
        <v/>
      </c>
      <c r="AU258" s="16" t="str">
        <f t="array" ref="AU258">IFERROR(INDEX(Validations!$J$2:$J$100, MATCH(TRUE, ISNUMBER(SEARCH(Validations!$I$2:$I$100, AT258)), 0)), "")</f>
        <v/>
      </c>
      <c r="AV258" s="12" t="str">
        <f>IFERROR(__xludf.DUMMYFUNCTION("IFERROR(VALUE(REGEXEXTRACT(AS258, ""\d+"")), """")"),"")</f>
        <v/>
      </c>
      <c r="AW258" s="12" t="str">
        <f>IFERROR(__xludf.DUMMYFUNCTION("IFERROR(TEXTJOIN("", "", TRUE, FILTER(Validations!$Q$2:$Q$100, ISNUMBER(SEARCH(Validations!$Q$2:$Q$100, AS258)))), """")"),"")</f>
        <v/>
      </c>
      <c r="AX258" s="28" t="s">
        <v>152</v>
      </c>
      <c r="AY258" s="28" t="str">
        <f>IFERROR(__xludf.DUMMYFUNCTION("TEXTJOIN("", "", TRUE, FILTER(Validations!$Y$2:$Y$100, ISNUMBER(SEARCH(Validations!$X$2:$X$100, AX258))))"),"V, S, R")</f>
        <v>V, S, R</v>
      </c>
      <c r="AZ258" s="20" t="s">
        <v>1229</v>
      </c>
      <c r="BA258" s="22"/>
      <c r="BB258" s="22"/>
      <c r="BC258" s="22"/>
      <c r="BD258" s="22"/>
      <c r="BE258" s="27"/>
      <c r="BF258" s="22" t="s">
        <v>597</v>
      </c>
      <c r="BG258" s="27"/>
      <c r="BH258" s="27"/>
      <c r="BI258" s="12" t="str">
        <f>IFERROR(__xludf.DUMMYFUNCTION("IFERROR(TEXTJOIN("", "", TRUE, FILTER(SRD!$A$2:$A$1000, EXACT(SRD!$A$2:$A$1000, J258))), """")"),"")</f>
        <v/>
      </c>
      <c r="BJ258" s="29"/>
      <c r="BK258" s="29"/>
    </row>
    <row r="259" ht="15.75" customHeight="1">
      <c r="A259" s="30" t="s">
        <v>1230</v>
      </c>
      <c r="B259" s="22"/>
      <c r="C259" s="16"/>
      <c r="D259" s="16" t="s">
        <v>302</v>
      </c>
      <c r="E259" s="16"/>
      <c r="F259" s="32" t="s">
        <v>1231</v>
      </c>
      <c r="G259" s="50" t="s">
        <v>1223</v>
      </c>
      <c r="H259" s="31" t="s">
        <v>85</v>
      </c>
      <c r="I259" s="16" t="str">
        <f t="array" ref="I259">INDEX(Validations!$C$2:$C$100, MATCH(TRUE, ISNUMBER(SEARCH(Validations!$B$2:$B$100, H259)), 0))</f>
        <v>T</v>
      </c>
      <c r="J259" s="17" t="s">
        <v>1232</v>
      </c>
      <c r="K259" s="18"/>
      <c r="L259" s="17"/>
      <c r="M259" s="17"/>
      <c r="N259" s="27"/>
      <c r="O259" s="17"/>
      <c r="P259" s="21"/>
      <c r="Q259" s="21"/>
      <c r="R259" s="36" t="s">
        <v>1233</v>
      </c>
      <c r="S259" s="17" t="str">
        <f>IFERROR(__xludf.DUMMYFUNCTION("IFERROR(REGEXEXTRACT(J259, ""(\d{1,3}[dD]\d{1,3})""), """")"),"")</f>
        <v/>
      </c>
      <c r="T259" s="17" t="str">
        <f>IFERROR(__xludf.DUMMYFUNCTION("IF(COUNTIF(ARRAYFORMULA(LOWER(Validations!$O$2:$O$100)), LOWER(REGEXEXTRACT(J259, ""\d{1,3}[dD]\d{1,3}\s+(\w+)"")))&gt;0, REGEXEXTRACT(J259, ""\d{1,3}[dD]\d{1,3}\s+(\w+)""), """")"),"")</f>
        <v/>
      </c>
      <c r="U259" s="17" t="str">
        <f>IFERROR(__xludf.DUMMYFUNCTION("IF(COUNTIF(ARRAYFORMULA(LOWER(Validations!$P$2:$P$100)), LOWER(REGEXEXTRACT(J259, ""\d{1,3}[dD]\d{1,3}\s+(\w+)"")))&gt;0, REGEXEXTRACT(J259, ""\d{1,3}[dD]\d{1,3}\s+(\w+)""), """")"),"")</f>
        <v/>
      </c>
      <c r="V259" s="12" t="str">
        <f>IFERROR(__xludf.DUMMYFUNCTION("TEXTJOIN("", "", TRUE, FILTER(Validations!$L$2:$L$100, ISNUMBER(SEARCH(Validations!$L$2:$L$100, J259))))"),"")</f>
        <v/>
      </c>
      <c r="W259" s="12" t="str">
        <f>IFERROR(__xludf.DUMMYFUNCTION("IFERROR(TEXTJOIN("", "", TRUE, FILTER(Validations!$M$2:$M$100, ISNUMBER(SEARCH(Validations!$M$2:$M$100 &amp; "" saving throw"", J259)))), """")"),"")</f>
        <v/>
      </c>
      <c r="X259" s="12"/>
      <c r="Y259" s="12"/>
      <c r="Z259" s="12" t="str">
        <f>IFERROR(__xludf.DUMMYFUNCTION("IFERROR(TEXTJOIN("", "", TRUE, FILTER(Validations!$N$2:$N$100, ISNUMBER(SEARCH(Validations!$N$2:$N$100 &amp; "" check"", J259)))), """")"),"")</f>
        <v/>
      </c>
      <c r="AA259" s="12" t="str">
        <f>IFERROR(__xludf.DUMMYFUNCTION("IFERROR(TEXTJOIN("", "", TRUE, FILTER(Validations!$N$2:$N$100, ISNUMBER(SEARCH(Validations!$N$2:$N$100 &amp; "" check"", W259)))), """")"),"")</f>
        <v/>
      </c>
      <c r="AB259" s="23" t="str">
        <f>IFERROR(__xludf.DUMMYFUNCTION("IFERROR(CONCATENATE(IF(ISNUMBER(SEARCH(Validations!$M$2:$M$100 &amp; "" spell save"", J259)),""Spell Save"",""""), REGEXEXTRACT(J259, ""DC (\d+)"")), """")"),"")</f>
        <v/>
      </c>
      <c r="AC259" s="24" t="b">
        <v>0</v>
      </c>
      <c r="AD259" s="24" t="b">
        <v>0</v>
      </c>
      <c r="AE259" s="36" t="s">
        <v>134</v>
      </c>
      <c r="AF259" s="25">
        <f>IFERROR(__xludf.DUMMYFUNCTION("IFERROR(VALUE(REGEXEXTRACT(AE259, ""\d+"")), 1)"),10.0)</f>
        <v>10</v>
      </c>
      <c r="AG259" s="12" t="str">
        <f>IFERROR(__xludf.DUMMYFUNCTION("IF(
  ISNUMBER(SEARCH(""Bonus Action"", AE259)),
  ""Bonus Action"",
  IF(
    ISNUMBER(SEARCH(""Reaction"", AE259)),
    ""Reaction"",
    IF(
      ISNUMBER(SEARCH(""Action"", AE259)),
      ""Action"",
      TEXTJOIN("", "", TRUE, FILTER(Validations!$S"&amp;"$2:$S$100, ISNUMBER(SEARCH(Validations!$S$2:$S$100, AE259))))
    )
  )
)"),"Minutes")</f>
        <v>Minutes</v>
      </c>
      <c r="AH259" s="22"/>
      <c r="AI259" s="27" t="s">
        <v>255</v>
      </c>
      <c r="AJ259" s="26" t="str">
        <f>IFERROR(__xludf.DUMMYFUNCTION("TEXTJOIN("", "", TRUE, FILTER(Validations!$T$2:$T$100, ISNUMBER(SEARCH(Validations!$T$2:$T$100, AI259))))"),"Permanent")</f>
        <v>Permanent</v>
      </c>
      <c r="AK259" s="26" t="str">
        <f>IFERROR(__xludf.DUMMYFUNCTION("IFERROR(VALUE(REGEXEXTRACT(AI259, ""\d+"")), """")"),"")</f>
        <v/>
      </c>
      <c r="AL259" s="26" t="str">
        <f>IFERROR(__xludf.DUMMYFUNCTION("TEXTJOIN("", "", TRUE, FILTER(Validations!$U$2:$U$100, ISNUMBER(SEARCH(Validations!$U$2:$U$100, AI259))))"),"")</f>
        <v/>
      </c>
      <c r="AM259" s="24" t="b">
        <f t="shared" si="1"/>
        <v>0</v>
      </c>
      <c r="AN259" s="24" t="b">
        <v>0</v>
      </c>
      <c r="AO259" s="36" t="s">
        <v>1234</v>
      </c>
      <c r="AP259" s="12" t="str">
        <f>IFERROR(__xludf.DUMMYFUNCTION("IF(TEXTJOIN("", "", TRUE, FILTER(Validations!$Q$2:$Q$100, ISNUMBER(SEARCH(Validations!$Q$2:$Q$100, AO259)))) = """", Validations!$Q$2, TEXTJOIN("", "", TRUE, FILTER(Validations!$Q$2:$Q$100, ISNUMBER(SEARCH(Validations!$Q$2:$Q$100, AO259)))))"),"Point")</f>
        <v>Point</v>
      </c>
      <c r="AQ259" s="12">
        <f>IFERROR(__xludf.DUMMYFUNCTION("IFERROR(VALUE(REGEXEXTRACT(AO259, ""\d+"")), """")"),10.0)</f>
        <v>10</v>
      </c>
      <c r="AR259" s="12" t="str">
        <f>IFERROR(__xludf.DUMMYFUNCTION("TEXTJOIN("", "", TRUE, FILTER(Validations!$R$2:$R$100, ISNUMBER(SEARCH(Validations!$R$2:$R$100, AO259))))"),"Touch, Feet")</f>
        <v>Touch, Feet</v>
      </c>
      <c r="AS259" s="27"/>
      <c r="AT259" s="12" t="str">
        <f>IFERROR(__xludf.DUMMYFUNCTION("IFERROR(TEXTJOIN("", "", TRUE, FILTER(Validations!$I$2:$I$100, ISNUMBER(SEARCH(Validations!$I$2:$I$100, AS259)))), """")"),"")</f>
        <v/>
      </c>
      <c r="AU259" s="16" t="str">
        <f t="array" ref="AU259">IFERROR(INDEX(Validations!$J$2:$J$100, MATCH(TRUE, ISNUMBER(SEARCH(Validations!$I$2:$I$100, AT259)), 0)), "")</f>
        <v/>
      </c>
      <c r="AV259" s="12" t="str">
        <f>IFERROR(__xludf.DUMMYFUNCTION("IFERROR(VALUE(REGEXEXTRACT(AS259, ""\d+"")), """")"),"")</f>
        <v/>
      </c>
      <c r="AW259" s="12" t="str">
        <f>IFERROR(__xludf.DUMMYFUNCTION("IFERROR(TEXTJOIN("", "", TRUE, FILTER(Validations!$Q$2:$Q$100, ISNUMBER(SEARCH(Validations!$Q$2:$Q$100, AS259)))), """")"),"")</f>
        <v/>
      </c>
      <c r="AX259" s="28" t="s">
        <v>152</v>
      </c>
      <c r="AY259" s="28" t="str">
        <f>IFERROR(__xludf.DUMMYFUNCTION("TEXTJOIN("", "", TRUE, FILTER(Validations!$Y$2:$Y$100, ISNUMBER(SEARCH(Validations!$X$2:$X$100, AX259))))"),"V, S, R")</f>
        <v>V, S, R</v>
      </c>
      <c r="AZ259" s="27"/>
      <c r="BA259" s="22"/>
      <c r="BB259" s="22"/>
      <c r="BC259" s="22"/>
      <c r="BD259" s="22"/>
      <c r="BE259" s="27"/>
      <c r="BF259" s="22"/>
      <c r="BG259" s="27"/>
      <c r="BH259" s="27"/>
      <c r="BI259" s="12" t="str">
        <f>IFERROR(__xludf.DUMMYFUNCTION("IFERROR(TEXTJOIN("", "", TRUE, FILTER(SRD!$A$2:$A$1000, EXACT(SRD!$A$2:$A$1000, J259))), """")"),"")</f>
        <v/>
      </c>
      <c r="BJ259" s="29"/>
      <c r="BK259" s="29"/>
    </row>
    <row r="260" ht="15.75" customHeight="1">
      <c r="A260" s="30" t="s">
        <v>1235</v>
      </c>
      <c r="B260" s="22"/>
      <c r="C260" s="16"/>
      <c r="D260" s="16" t="s">
        <v>302</v>
      </c>
      <c r="E260" s="16"/>
      <c r="F260" s="32" t="s">
        <v>600</v>
      </c>
      <c r="G260" s="50" t="s">
        <v>1223</v>
      </c>
      <c r="H260" s="31" t="s">
        <v>85</v>
      </c>
      <c r="I260" s="16" t="str">
        <f t="array" ref="I260">INDEX(Validations!$C$2:$C$100, MATCH(TRUE, ISNUMBER(SEARCH(Validations!$B$2:$B$100, H260)), 0))</f>
        <v>T</v>
      </c>
      <c r="J260" s="17" t="s">
        <v>1236</v>
      </c>
      <c r="K260" s="18"/>
      <c r="L260" s="17"/>
      <c r="M260" s="17"/>
      <c r="N260" s="27"/>
      <c r="O260" s="17"/>
      <c r="P260" s="21"/>
      <c r="Q260" s="21"/>
      <c r="R260" s="22"/>
      <c r="S260" s="17" t="str">
        <f>IFERROR(__xludf.DUMMYFUNCTION("IFERROR(REGEXEXTRACT(J260, ""(\d{1,3}[dD]\d{1,3})""), """")"),"5d8")</f>
        <v>5d8</v>
      </c>
      <c r="T260" s="17" t="str">
        <f>IFERROR(__xludf.DUMMYFUNCTION("IF(COUNTIF(ARRAYFORMULA(LOWER(Validations!$O$2:$O$100)), LOWER(REGEXEXTRACT(J260, ""\d{1,3}[dD]\d{1,3}\s+(\w+)"")))&gt;0, REGEXEXTRACT(J260, ""\d{1,3}[dD]\d{1,3}\s+(\w+)""), """")"),"")</f>
        <v/>
      </c>
      <c r="U260" s="17" t="str">
        <f>IFERROR(__xludf.DUMMYFUNCTION("IF(COUNTIF(ARRAYFORMULA(LOWER(Validations!$P$2:$P$100)), LOWER(REGEXEXTRACT(J260, ""\d{1,3}[dD]\d{1,3}\s+(\w+)"")))&gt;0, REGEXEXTRACT(J260, ""\d{1,3}[dD]\d{1,3}\s+(\w+)""), """")"),"")</f>
        <v/>
      </c>
      <c r="V260" s="12" t="str">
        <f>IFERROR(__xludf.DUMMYFUNCTION("TEXTJOIN("", "", TRUE, FILTER(Validations!$L$2:$L$100, ISNUMBER(SEARCH(Validations!$L$2:$L$100, J260))))"),"Blinded, Deafened, Poisoned")</f>
        <v>Blinded, Deafened, Poisoned</v>
      </c>
      <c r="W260" s="12" t="str">
        <f>IFERROR(__xludf.DUMMYFUNCTION("IFERROR(TEXTJOIN("", "", TRUE, FILTER(Validations!$M$2:$M$100, ISNUMBER(SEARCH(Validations!$M$2:$M$100 &amp; "" saving throw"", J260)))), """")"),"")</f>
        <v/>
      </c>
      <c r="X260" s="12"/>
      <c r="Y260" s="12"/>
      <c r="Z260" s="12" t="str">
        <f>IFERROR(__xludf.DUMMYFUNCTION("IFERROR(TEXTJOIN("", "", TRUE, FILTER(Validations!$N$2:$N$100, ISNUMBER(SEARCH(Validations!$N$2:$N$100 &amp; "" check"", J260)))), """")"),"")</f>
        <v/>
      </c>
      <c r="AA260" s="12" t="str">
        <f>IFERROR(__xludf.DUMMYFUNCTION("IFERROR(TEXTJOIN("", "", TRUE, FILTER(Validations!$N$2:$N$100, ISNUMBER(SEARCH(Validations!$N$2:$N$100 &amp; "" check"", W260)))), """")"),"")</f>
        <v/>
      </c>
      <c r="AB260" s="23" t="str">
        <f>IFERROR(__xludf.DUMMYFUNCTION("IFERROR(CONCATENATE(IF(ISNUMBER(SEARCH(Validations!$M$2:$M$100 &amp; "" spell save"", J260)),""Spell Save"",""""), REGEXEXTRACT(J260, ""DC (\d+)"")), """")"),"")</f>
        <v/>
      </c>
      <c r="AC260" s="24" t="b">
        <v>0</v>
      </c>
      <c r="AD260" s="24" t="b">
        <v>0</v>
      </c>
      <c r="AE260" s="36" t="s">
        <v>69</v>
      </c>
      <c r="AF260" s="25">
        <f>IFERROR(__xludf.DUMMYFUNCTION("IFERROR(VALUE(REGEXEXTRACT(AE260, ""\d+"")), 1)"),1.0)</f>
        <v>1</v>
      </c>
      <c r="AG260" s="12" t="str">
        <f>IFERROR(__xludf.DUMMYFUNCTION("IF(
  ISNUMBER(SEARCH(""Bonus Action"", AE260)),
  ""Bonus Action"",
  IF(
    ISNUMBER(SEARCH(""Reaction"", AE260)),
    ""Reaction"",
    IF(
      ISNUMBER(SEARCH(""Action"", AE260)),
      ""Action"",
      TEXTJOIN("", "", TRUE, FILTER(Validations!$S"&amp;"$2:$S$100, ISNUMBER(SEARCH(Validations!$S$2:$S$100, AE260))))
    )
  )
)"),"Action")</f>
        <v>Action</v>
      </c>
      <c r="AH260" s="36"/>
      <c r="AI260" s="27" t="s">
        <v>70</v>
      </c>
      <c r="AJ260" s="26" t="str">
        <f>IFERROR(__xludf.DUMMYFUNCTION("TEXTJOIN("", "", TRUE, FILTER(Validations!$T$2:$T$100, ISNUMBER(SEARCH(Validations!$T$2:$T$100, AI260))))"),"Instantaneous")</f>
        <v>Instantaneous</v>
      </c>
      <c r="AK260" s="26" t="str">
        <f>IFERROR(__xludf.DUMMYFUNCTION("IFERROR(VALUE(REGEXEXTRACT(AI260, ""\d+"")), """")"),"")</f>
        <v/>
      </c>
      <c r="AL260" s="26" t="str">
        <f>IFERROR(__xludf.DUMMYFUNCTION("TEXTJOIN("", "", TRUE, FILTER(Validations!$U$2:$U$100, ISNUMBER(SEARCH(Validations!$U$2:$U$100, AI260))))"),"")</f>
        <v/>
      </c>
      <c r="AM260" s="24" t="b">
        <f t="shared" si="1"/>
        <v>0</v>
      </c>
      <c r="AN260" s="24" t="b">
        <v>0</v>
      </c>
      <c r="AO260" s="22" t="s">
        <v>112</v>
      </c>
      <c r="AP260" s="12" t="str">
        <f>IFERROR(__xludf.DUMMYFUNCTION("IF(TEXTJOIN("", "", TRUE, FILTER(Validations!$Q$2:$Q$100, ISNUMBER(SEARCH(Validations!$Q$2:$Q$100, AO260)))) = """", Validations!$Q$2, TEXTJOIN("", "", TRUE, FILTER(Validations!$Q$2:$Q$100, ISNUMBER(SEARCH(Validations!$Q$2:$Q$100, AO260)))))"),"Point")</f>
        <v>Point</v>
      </c>
      <c r="AQ260" s="12">
        <f>IFERROR(__xludf.DUMMYFUNCTION("IFERROR(VALUE(REGEXEXTRACT(AO260, ""\d+"")), """")"),30.0)</f>
        <v>30</v>
      </c>
      <c r="AR260" s="12" t="str">
        <f>IFERROR(__xludf.DUMMYFUNCTION("TEXTJOIN("", "", TRUE, FILTER(Validations!$R$2:$R$100, ISNUMBER(SEARCH(Validations!$R$2:$R$100, AO260))))"),"Feet")</f>
        <v>Feet</v>
      </c>
      <c r="AS260" s="27"/>
      <c r="AT260" s="12" t="str">
        <f>IFERROR(__xludf.DUMMYFUNCTION("IFERROR(TEXTJOIN("", "", TRUE, FILTER(Validations!$I$2:$I$100, ISNUMBER(SEARCH(Validations!$I$2:$I$100, AS260)))), """")"),"")</f>
        <v/>
      </c>
      <c r="AU260" s="16" t="str">
        <f t="array" ref="AU260">IFERROR(INDEX(Validations!$J$2:$J$100, MATCH(TRUE, ISNUMBER(SEARCH(Validations!$I$2:$I$100, AT260)), 0)), "")</f>
        <v/>
      </c>
      <c r="AV260" s="12" t="str">
        <f>IFERROR(__xludf.DUMMYFUNCTION("IFERROR(VALUE(REGEXEXTRACT(AS260, ""\d+"")), """")"),"")</f>
        <v/>
      </c>
      <c r="AW260" s="12" t="str">
        <f>IFERROR(__xludf.DUMMYFUNCTION("IFERROR(TEXTJOIN("", "", TRUE, FILTER(Validations!$Q$2:$Q$100, ISNUMBER(SEARCH(Validations!$Q$2:$Q$100, AS260)))), """")"),"")</f>
        <v/>
      </c>
      <c r="AX260" s="28" t="s">
        <v>152</v>
      </c>
      <c r="AY260" s="28" t="str">
        <f>IFERROR(__xludf.DUMMYFUNCTION("TEXTJOIN("", "", TRUE, FILTER(Validations!$Y$2:$Y$100, ISNUMBER(SEARCH(Validations!$X$2:$X$100, AX260))))"),"V, S, R")</f>
        <v>V, S, R</v>
      </c>
      <c r="AZ260" s="20" t="s">
        <v>1237</v>
      </c>
      <c r="BA260" s="22"/>
      <c r="BB260" s="22"/>
      <c r="BC260" s="22"/>
      <c r="BD260" s="22"/>
      <c r="BE260" s="27"/>
      <c r="BF260" s="22" t="s">
        <v>854</v>
      </c>
      <c r="BG260" s="27"/>
      <c r="BH260" s="27"/>
      <c r="BI260" s="12" t="str">
        <f>IFERROR(__xludf.DUMMYFUNCTION("IFERROR(TEXTJOIN("", "", TRUE, FILTER(SRD!$A$2:$A$1000, EXACT(SRD!$A$2:$A$1000, J260))), """")"),"")</f>
        <v/>
      </c>
      <c r="BJ260" s="29"/>
      <c r="BK260" s="29"/>
    </row>
    <row r="261" ht="15.75" customHeight="1">
      <c r="A261" s="30" t="s">
        <v>1238</v>
      </c>
      <c r="B261" s="22"/>
      <c r="C261" s="16"/>
      <c r="D261" s="16" t="s">
        <v>1239</v>
      </c>
      <c r="E261" s="16"/>
      <c r="F261" s="32" t="s">
        <v>1071</v>
      </c>
      <c r="G261" s="50" t="s">
        <v>1223</v>
      </c>
      <c r="H261" s="31" t="s">
        <v>76</v>
      </c>
      <c r="I261" s="16" t="str">
        <f t="array" ref="I261">INDEX(Validations!$C$2:$C$100, MATCH(TRUE, ISNUMBER(SEARCH(Validations!$B$2:$B$100, H261)), 0))</f>
        <v>V</v>
      </c>
      <c r="J261" s="17" t="s">
        <v>1240</v>
      </c>
      <c r="K261" s="18"/>
      <c r="L261" s="17"/>
      <c r="M261" s="17"/>
      <c r="N261" s="27"/>
      <c r="O261" s="17"/>
      <c r="P261" s="21"/>
      <c r="Q261" s="21"/>
      <c r="R261" s="22"/>
      <c r="S261" s="17" t="str">
        <f>IFERROR(__xludf.DUMMYFUNCTION("IFERROR(REGEXEXTRACT(J261, ""(\d{1,3}[dD]\d{1,3})""), """")"),"")</f>
        <v/>
      </c>
      <c r="T261" s="17" t="str">
        <f>IFERROR(__xludf.DUMMYFUNCTION("IF(COUNTIF(ARRAYFORMULA(LOWER(Validations!$O$2:$O$100)), LOWER(REGEXEXTRACT(J261, ""\d{1,3}[dD]\d{1,3}\s+(\w+)"")))&gt;0, REGEXEXTRACT(J261, ""\d{1,3}[dD]\d{1,3}\s+(\w+)""), """")"),"")</f>
        <v/>
      </c>
      <c r="U261" s="17" t="str">
        <f>IFERROR(__xludf.DUMMYFUNCTION("IF(COUNTIF(ARRAYFORMULA(LOWER(Validations!$P$2:$P$100)), LOWER(REGEXEXTRACT(J261, ""\d{1,3}[dD]\d{1,3}\s+(\w+)"")))&gt;0, REGEXEXTRACT(J261, ""\d{1,3}[dD]\d{1,3}\s+(\w+)""), """")"),"")</f>
        <v/>
      </c>
      <c r="V261" s="12" t="str">
        <f>IFERROR(__xludf.DUMMYFUNCTION("TEXTJOIN("", "", TRUE, FILTER(Validations!$L$2:$L$100, ISNUMBER(SEARCH(Validations!$L$2:$L$100, J261))))"),"Blinded, Deafened")</f>
        <v>Blinded, Deafened</v>
      </c>
      <c r="W261" s="12" t="str">
        <f>IFERROR(__xludf.DUMMYFUNCTION("IFERROR(TEXTJOIN("", "", TRUE, FILTER(Validations!$M$2:$M$100, ISNUMBER(SEARCH(Validations!$M$2:$M$100 &amp; "" saving throw"", J261)))), """")"),"Wisdom")</f>
        <v>Wisdom</v>
      </c>
      <c r="X261" s="12"/>
      <c r="Y261" s="12"/>
      <c r="Z261" s="12" t="str">
        <f>IFERROR(__xludf.DUMMYFUNCTION("IFERROR(TEXTJOIN("", "", TRUE, FILTER(Validations!$N$2:$N$100, ISNUMBER(SEARCH(Validations!$N$2:$N$100 &amp; "" check"", J261)))), """")"),"")</f>
        <v/>
      </c>
      <c r="AA261" s="12" t="str">
        <f>IFERROR(__xludf.DUMMYFUNCTION("IFERROR(TEXTJOIN("", "", TRUE, FILTER(Validations!$N$2:$N$100, ISNUMBER(SEARCH(Validations!$N$2:$N$100 &amp; "" check"", W261)))), """")"),"")</f>
        <v/>
      </c>
      <c r="AB261" s="23" t="str">
        <f>IFERROR(__xludf.DUMMYFUNCTION("IFERROR(CONCATENATE(IF(ISNUMBER(SEARCH(Validations!$M$2:$M$100 &amp; "" spell save"", J261)),""Spell Save"",""""), REGEXEXTRACT(J261, ""DC (\d+)"")), """")"),"")</f>
        <v/>
      </c>
      <c r="AC261" s="24" t="b">
        <v>0</v>
      </c>
      <c r="AD261" s="24" t="b">
        <v>0</v>
      </c>
      <c r="AE261" s="36" t="s">
        <v>69</v>
      </c>
      <c r="AF261" s="25">
        <f>IFERROR(__xludf.DUMMYFUNCTION("IFERROR(VALUE(REGEXEXTRACT(AE261, ""\d+"")), 1)"),1.0)</f>
        <v>1</v>
      </c>
      <c r="AG261" s="12" t="str">
        <f>IFERROR(__xludf.DUMMYFUNCTION("IF(
  ISNUMBER(SEARCH(""Bonus Action"", AE261)),
  ""Bonus Action"",
  IF(
    ISNUMBER(SEARCH(""Reaction"", AE261)),
    ""Reaction"",
    IF(
      ISNUMBER(SEARCH(""Action"", AE261)),
      ""Action"",
      TEXTJOIN("", "", TRUE, FILTER(Validations!$S"&amp;"$2:$S$100, ISNUMBER(SEARCH(Validations!$S$2:$S$100, AE261))))
    )
  )
)"),"Action")</f>
        <v>Action</v>
      </c>
      <c r="AH261" s="36"/>
      <c r="AI261" s="20" t="s">
        <v>134</v>
      </c>
      <c r="AJ261" s="26" t="str">
        <f>IFERROR(__xludf.DUMMYFUNCTION("TEXTJOIN("", "", TRUE, FILTER(Validations!$T$2:$T$100, ISNUMBER(SEARCH(Validations!$T$2:$T$100, AI261))))"),"")</f>
        <v/>
      </c>
      <c r="AK261" s="26">
        <f>IFERROR(__xludf.DUMMYFUNCTION("IFERROR(VALUE(REGEXEXTRACT(AI261, ""\d+"")), """")"),10.0)</f>
        <v>10</v>
      </c>
      <c r="AL261" s="26" t="str">
        <f>IFERROR(__xludf.DUMMYFUNCTION("TEXTJOIN("", "", TRUE, FILTER(Validations!$U$2:$U$100, ISNUMBER(SEARCH(Validations!$U$2:$U$100, AI261))))"),"Minutes")</f>
        <v>Minutes</v>
      </c>
      <c r="AM261" s="24" t="b">
        <f t="shared" si="1"/>
        <v>0</v>
      </c>
      <c r="AN261" s="24" t="b">
        <v>1</v>
      </c>
      <c r="AO261" s="22" t="s">
        <v>440</v>
      </c>
      <c r="AP261" s="12" t="str">
        <f>IFERROR(__xludf.DUMMYFUNCTION("IF(TEXTJOIN("", "", TRUE, FILTER(Validations!$Q$2:$Q$100, ISNUMBER(SEARCH(Validations!$Q$2:$Q$100, AO261)))) = """", Validations!$Q$2, TEXTJOIN("", "", TRUE, FILTER(Validations!$Q$2:$Q$100, ISNUMBER(SEARCH(Validations!$Q$2:$Q$100, AO261)))))"),"Point")</f>
        <v>Point</v>
      </c>
      <c r="AQ261" s="12">
        <f>IFERROR(__xludf.DUMMYFUNCTION("IFERROR(VALUE(REGEXEXTRACT(AO261, ""\d+"")), """")"),60.0)</f>
        <v>60</v>
      </c>
      <c r="AR261" s="12" t="str">
        <f>IFERROR(__xludf.DUMMYFUNCTION("TEXTJOIN("", "", TRUE, FILTER(Validations!$R$2:$R$100, ISNUMBER(SEARCH(Validations!$R$2:$R$100, AO261))))"),"Feet")</f>
        <v>Feet</v>
      </c>
      <c r="AS261" s="27"/>
      <c r="AT261" s="12" t="str">
        <f>IFERROR(__xludf.DUMMYFUNCTION("IFERROR(TEXTJOIN("", "", TRUE, FILTER(Validations!$I$2:$I$100, ISNUMBER(SEARCH(Validations!$I$2:$I$100, AS261)))), """")"),"")</f>
        <v/>
      </c>
      <c r="AU261" s="16" t="str">
        <f t="array" ref="AU261">IFERROR(INDEX(Validations!$J$2:$J$100, MATCH(TRUE, ISNUMBER(SEARCH(Validations!$I$2:$I$100, AT261)), 0)), "")</f>
        <v/>
      </c>
      <c r="AV261" s="12" t="str">
        <f>IFERROR(__xludf.DUMMYFUNCTION("IFERROR(VALUE(REGEXEXTRACT(AS261, ""\d+"")), """")"),"")</f>
        <v/>
      </c>
      <c r="AW261" s="12" t="str">
        <f>IFERROR(__xludf.DUMMYFUNCTION("IFERROR(TEXTJOIN("", "", TRUE, FILTER(Validations!$Q$2:$Q$100, ISNUMBER(SEARCH(Validations!$Q$2:$Q$100, AS261)))), """")"),"")</f>
        <v/>
      </c>
      <c r="AX261" s="28" t="s">
        <v>152</v>
      </c>
      <c r="AY261" s="28" t="str">
        <f>IFERROR(__xludf.DUMMYFUNCTION("TEXTJOIN("", "", TRUE, FILTER(Validations!$Y$2:$Y$100, ISNUMBER(SEARCH(Validations!$X$2:$X$100, AX261))))"),"V, S, R")</f>
        <v>V, S, R</v>
      </c>
      <c r="AZ261" s="20" t="s">
        <v>1241</v>
      </c>
      <c r="BA261" s="22"/>
      <c r="BB261" s="22"/>
      <c r="BC261" s="22"/>
      <c r="BD261" s="22"/>
      <c r="BE261" s="27"/>
      <c r="BF261" s="22"/>
      <c r="BG261" s="27"/>
      <c r="BH261" s="27"/>
      <c r="BI261" s="12" t="str">
        <f>IFERROR(__xludf.DUMMYFUNCTION("IFERROR(TEXTJOIN("", "", TRUE, FILTER(SRD!$A$2:$A$1000, EXACT(SRD!$A$2:$A$1000, J261))), """")"),"")</f>
        <v/>
      </c>
      <c r="BJ261" s="29"/>
      <c r="BK261" s="29"/>
    </row>
    <row r="262" ht="15.75" customHeight="1">
      <c r="A262" s="38" t="s">
        <v>1242</v>
      </c>
      <c r="B262" s="12"/>
      <c r="C262" s="16"/>
      <c r="D262" s="16" t="s">
        <v>302</v>
      </c>
      <c r="E262" s="16"/>
      <c r="F262" s="32" t="s">
        <v>965</v>
      </c>
      <c r="G262" s="50" t="s">
        <v>1223</v>
      </c>
      <c r="H262" s="31" t="s">
        <v>103</v>
      </c>
      <c r="I262" s="16" t="str">
        <f t="array" ref="I262">INDEX(Validations!$C$2:$C$100, MATCH(TRUE, ISNUMBER(SEARCH(Validations!$B$2:$B$100, H262)), 0))</f>
        <v>C</v>
      </c>
      <c r="J262" s="17" t="s">
        <v>1243</v>
      </c>
      <c r="K262" s="18"/>
      <c r="L262" s="17"/>
      <c r="M262" s="17"/>
      <c r="N262" s="27"/>
      <c r="O262" s="17"/>
      <c r="P262" s="21"/>
      <c r="Q262" s="21"/>
      <c r="R262" s="22"/>
      <c r="S262" s="17" t="str">
        <f>IFERROR(__xludf.DUMMYFUNCTION("IFERROR(REGEXEXTRACT(J262, ""(\d{1,3}[dD]\d{1,3})""), """")"),"")</f>
        <v/>
      </c>
      <c r="T262" s="17" t="str">
        <f>IFERROR(__xludf.DUMMYFUNCTION("IF(COUNTIF(ARRAYFORMULA(LOWER(Validations!$O$2:$O$100)), LOWER(REGEXEXTRACT(J262, ""\d{1,3}[dD]\d{1,3}\s+(\w+)"")))&gt;0, REGEXEXTRACT(J262, ""\d{1,3}[dD]\d{1,3}\s+(\w+)""), """")"),"")</f>
        <v/>
      </c>
      <c r="U262" s="17" t="str">
        <f>IFERROR(__xludf.DUMMYFUNCTION("IF(COUNTIF(ARRAYFORMULA(LOWER(Validations!$P$2:$P$100)), LOWER(REGEXEXTRACT(J262, ""\d{1,3}[dD]\d{1,3}\s+(\w+)"")))&gt;0, REGEXEXTRACT(J262, ""\d{1,3}[dD]\d{1,3}\s+(\w+)""), """")"),"")</f>
        <v/>
      </c>
      <c r="V262" s="12" t="str">
        <f>IFERROR(__xludf.DUMMYFUNCTION("TEXTJOIN("", "", TRUE, FILTER(Validations!$L$2:$L$100, ISNUMBER(SEARCH(Validations!$L$2:$L$100, J262))))"),"")</f>
        <v/>
      </c>
      <c r="W262" s="12" t="str">
        <f>IFERROR(__xludf.DUMMYFUNCTION("IFERROR(TEXTJOIN("", "", TRUE, FILTER(Validations!$M$2:$M$100, ISNUMBER(SEARCH(Validations!$M$2:$M$100 &amp; "" saving throw"", J262)))), """")"),"")</f>
        <v/>
      </c>
      <c r="X262" s="12"/>
      <c r="Y262" s="12"/>
      <c r="Z262" s="12" t="str">
        <f>IFERROR(__xludf.DUMMYFUNCTION("IFERROR(TEXTJOIN("", "", TRUE, FILTER(Validations!$N$2:$N$100, ISNUMBER(SEARCH(Validations!$N$2:$N$100 &amp; "" check"", J262)))), """")"),"Persuasion")</f>
        <v>Persuasion</v>
      </c>
      <c r="AA262" s="12" t="str">
        <f>IFERROR(__xludf.DUMMYFUNCTION("IFERROR(TEXTJOIN("", "", TRUE, FILTER(Validations!$N$2:$N$100, ISNUMBER(SEARCH(Validations!$N$2:$N$100 &amp; "" check"", W262)))), """")"),"")</f>
        <v/>
      </c>
      <c r="AB262" s="23" t="str">
        <f>IFERROR(__xludf.DUMMYFUNCTION("IFERROR(CONCATENATE(IF(ISNUMBER(SEARCH(Validations!$M$2:$M$100 &amp; "" spell save"", J262)),""Spell Save"",""""), REGEXEXTRACT(J262, ""DC (\d+)"")), """")"),"")</f>
        <v/>
      </c>
      <c r="AC262" s="24" t="b">
        <v>1</v>
      </c>
      <c r="AD262" s="24" t="b">
        <v>0</v>
      </c>
      <c r="AE262" s="36" t="s">
        <v>134</v>
      </c>
      <c r="AF262" s="25">
        <f>IFERROR(__xludf.DUMMYFUNCTION("IFERROR(VALUE(REGEXEXTRACT(AE262, ""\d+"")), 1)"),10.0)</f>
        <v>10</v>
      </c>
      <c r="AG262" s="12" t="str">
        <f>IFERROR(__xludf.DUMMYFUNCTION("IF(
  ISNUMBER(SEARCH(""Bonus Action"", AE262)),
  ""Bonus Action"",
  IF(
    ISNUMBER(SEARCH(""Reaction"", AE262)),
    ""Reaction"",
    IF(
      ISNUMBER(SEARCH(""Action"", AE262)),
      ""Action"",
      TEXTJOIN("", "", TRUE, FILTER(Validations!$S"&amp;"$2:$S$100, ISNUMBER(SEARCH(Validations!$S$2:$S$100, AE262))))
    )
  )
)"),"Minutes")</f>
        <v>Minutes</v>
      </c>
      <c r="AH262" s="22"/>
      <c r="AI262" s="20" t="s">
        <v>134</v>
      </c>
      <c r="AJ262" s="26" t="str">
        <f>IFERROR(__xludf.DUMMYFUNCTION("TEXTJOIN("", "", TRUE, FILTER(Validations!$T$2:$T$100, ISNUMBER(SEARCH(Validations!$T$2:$T$100, AI262))))"),"")</f>
        <v/>
      </c>
      <c r="AK262" s="26">
        <f>IFERROR(__xludf.DUMMYFUNCTION("IFERROR(VALUE(REGEXEXTRACT(AI262, ""\d+"")), """")"),10.0)</f>
        <v>10</v>
      </c>
      <c r="AL262" s="26" t="str">
        <f>IFERROR(__xludf.DUMMYFUNCTION("TEXTJOIN("", "", TRUE, FILTER(Validations!$U$2:$U$100, ISNUMBER(SEARCH(Validations!$U$2:$U$100, AI262))))"),"Minutes")</f>
        <v>Minutes</v>
      </c>
      <c r="AM262" s="24" t="b">
        <f t="shared" si="1"/>
        <v>0</v>
      </c>
      <c r="AN262" s="24" t="b">
        <v>0</v>
      </c>
      <c r="AO262" s="36" t="s">
        <v>1009</v>
      </c>
      <c r="AP262" s="12" t="str">
        <f>IFERROR(__xludf.DUMMYFUNCTION("IF(TEXTJOIN("", "", TRUE, FILTER(Validations!$Q$2:$Q$100, ISNUMBER(SEARCH(Validations!$Q$2:$Q$100, AO262)))) = """", Validations!$Q$2, TEXTJOIN("", "", TRUE, FILTER(Validations!$Q$2:$Q$100, ISNUMBER(SEARCH(Validations!$Q$2:$Q$100, AO262)))))"),"Radius")</f>
        <v>Radius</v>
      </c>
      <c r="AQ262" s="12">
        <f>IFERROR(__xludf.DUMMYFUNCTION("IFERROR(VALUE(REGEXEXTRACT(AO262, ""\d+"")), """")"),10.0)</f>
        <v>10</v>
      </c>
      <c r="AR262" s="12" t="str">
        <f>IFERROR(__xludf.DUMMYFUNCTION("TEXTJOIN("", "", TRUE, FILTER(Validations!$R$2:$R$100, ISNUMBER(SEARCH(Validations!$R$2:$R$100, AO262))))"),"Self, Feet")</f>
        <v>Self, Feet</v>
      </c>
      <c r="AS262" s="27"/>
      <c r="AT262" s="12" t="str">
        <f>IFERROR(__xludf.DUMMYFUNCTION("IFERROR(TEXTJOIN("", "", TRUE, FILTER(Validations!$I$2:$I$100, ISNUMBER(SEARCH(Validations!$I$2:$I$100, AS262)))), """")"),"")</f>
        <v/>
      </c>
      <c r="AU262" s="16" t="str">
        <f t="array" ref="AU262">IFERROR(INDEX(Validations!$J$2:$J$100, MATCH(TRUE, ISNUMBER(SEARCH(Validations!$I$2:$I$100, AT262)), 0)), "")</f>
        <v/>
      </c>
      <c r="AV262" s="12" t="str">
        <f>IFERROR(__xludf.DUMMYFUNCTION("IFERROR(VALUE(REGEXEXTRACT(AS262, ""\d+"")), """")"),"")</f>
        <v/>
      </c>
      <c r="AW262" s="12" t="str">
        <f>IFERROR(__xludf.DUMMYFUNCTION("IFERROR(TEXTJOIN("", "", TRUE, FILTER(Validations!$Q$2:$Q$100, ISNUMBER(SEARCH(Validations!$Q$2:$Q$100, AS262)))), """")"),"")</f>
        <v/>
      </c>
      <c r="AX262" s="28" t="s">
        <v>152</v>
      </c>
      <c r="AY262" s="28" t="str">
        <f>IFERROR(__xludf.DUMMYFUNCTION("TEXTJOIN("", "", TRUE, FILTER(Validations!$Y$2:$Y$100, ISNUMBER(SEARCH(Validations!$X$2:$X$100, AX262))))"),"V, S, R")</f>
        <v>V, S, R</v>
      </c>
      <c r="AZ262" s="20" t="s">
        <v>1244</v>
      </c>
      <c r="BA262" s="22"/>
      <c r="BB262" s="22"/>
      <c r="BC262" s="22"/>
      <c r="BD262" s="22"/>
      <c r="BE262" s="27"/>
      <c r="BF262" s="22"/>
      <c r="BG262" s="27"/>
      <c r="BH262" s="27"/>
      <c r="BI262" s="12" t="str">
        <f>IFERROR(__xludf.DUMMYFUNCTION("IFERROR(TEXTJOIN("", "", TRUE, FILTER(SRD!$A$2:$A$1000, EXACT(SRD!$A$2:$A$1000, J262))), """")"),"")</f>
        <v/>
      </c>
      <c r="BJ262" s="29"/>
      <c r="BK262" s="29"/>
    </row>
    <row r="263" ht="15.75" customHeight="1">
      <c r="A263" s="30" t="s">
        <v>1245</v>
      </c>
      <c r="B263" s="22"/>
      <c r="C263" s="16"/>
      <c r="D263" s="16" t="s">
        <v>1246</v>
      </c>
      <c r="E263" s="16"/>
      <c r="F263" s="40" t="s">
        <v>1247</v>
      </c>
      <c r="G263" s="50" t="s">
        <v>1223</v>
      </c>
      <c r="H263" s="31" t="s">
        <v>178</v>
      </c>
      <c r="I263" s="16" t="str">
        <f t="array" ref="I263">INDEX(Validations!$C$2:$C$100, MATCH(TRUE, ISNUMBER(SEARCH(Validations!$B$2:$B$100, H263)), 0))</f>
        <v>A</v>
      </c>
      <c r="J263" s="17" t="s">
        <v>1248</v>
      </c>
      <c r="K263" s="18"/>
      <c r="L263" s="17"/>
      <c r="M263" s="17"/>
      <c r="N263" s="27"/>
      <c r="O263" s="17"/>
      <c r="P263" s="21"/>
      <c r="Q263" s="21"/>
      <c r="R263" s="22"/>
      <c r="S263" s="17" t="str">
        <f>IFERROR(__xludf.DUMMYFUNCTION("IFERROR(REGEXEXTRACT(J263, ""(\d{1,3}[dD]\d{1,3})""), """")"),"4d6")</f>
        <v>4d6</v>
      </c>
      <c r="T263" s="17" t="str">
        <f>IFERROR(__xludf.DUMMYFUNCTION("IF(COUNTIF(ARRAYFORMULA(LOWER(Validations!$O$2:$O$100)), LOWER(REGEXEXTRACT(J263, ""\d{1,3}[dD]\d{1,3}\s+(\w+)"")))&gt;0, REGEXEXTRACT(J263, ""\d{1,3}[dD]\d{1,3}\s+(\w+)""), """")"),"cognitive")</f>
        <v>cognitive</v>
      </c>
      <c r="U263" s="17" t="str">
        <f>IFERROR(__xludf.DUMMYFUNCTION("IF(COUNTIF(ARRAYFORMULA(LOWER(Validations!$P$2:$P$100)), LOWER(REGEXEXTRACT(J263, ""\d{1,3}[dD]\d{1,3}\s+(\w+)"")))&gt;0, REGEXEXTRACT(J263, ""\d{1,3}[dD]\d{1,3}\s+(\w+)""), """")"),"")</f>
        <v/>
      </c>
      <c r="V263" s="12" t="str">
        <f>IFERROR(__xludf.DUMMYFUNCTION("TEXTJOIN("", "", TRUE, FILTER(Validations!$L$2:$L$100, ISNUMBER(SEARCH(Validations!$L$2:$L$100, J263))))"),"Compelled, Bleeding, Charmed")</f>
        <v>Compelled, Bleeding, Charmed</v>
      </c>
      <c r="W263" s="12" t="str">
        <f>IFERROR(__xludf.DUMMYFUNCTION("IFERROR(TEXTJOIN("", "", TRUE, FILTER(Validations!$M$2:$M$100, ISNUMBER(SEARCH(Validations!$M$2:$M$100 &amp; "" saving throw"", J263)))), """")"),"")</f>
        <v/>
      </c>
      <c r="X263" s="12"/>
      <c r="Y263" s="12"/>
      <c r="Z263" s="12" t="str">
        <f>IFERROR(__xludf.DUMMYFUNCTION("IFERROR(TEXTJOIN("", "", TRUE, FILTER(Validations!$N$2:$N$100, ISNUMBER(SEARCH(Validations!$N$2:$N$100 &amp; "" check"", J263)))), """")"),"")</f>
        <v/>
      </c>
      <c r="AA263" s="12" t="str">
        <f>IFERROR(__xludf.DUMMYFUNCTION("IFERROR(TEXTJOIN("", "", TRUE, FILTER(Validations!$N$2:$N$100, ISNUMBER(SEARCH(Validations!$N$2:$N$100 &amp; "" check"", W263)))), """")"),"")</f>
        <v/>
      </c>
      <c r="AB263" s="23" t="str">
        <f>IFERROR(__xludf.DUMMYFUNCTION("IFERROR(CONCATENATE(IF(ISNUMBER(SEARCH(Validations!$M$2:$M$100 &amp; "" spell save"", J263)),""Spell Save"",""""), REGEXEXTRACT(J263, ""DC (\d+)"")), """")"),"")</f>
        <v/>
      </c>
      <c r="AC263" s="24" t="b">
        <v>0</v>
      </c>
      <c r="AD263" s="24" t="b">
        <v>0</v>
      </c>
      <c r="AE263" s="36" t="s">
        <v>208</v>
      </c>
      <c r="AF263" s="25">
        <f>IFERROR(__xludf.DUMMYFUNCTION("IFERROR(VALUE(REGEXEXTRACT(AE263, ""\d+"")), 1)"),1.0)</f>
        <v>1</v>
      </c>
      <c r="AG263" s="12" t="str">
        <f>IFERROR(__xludf.DUMMYFUNCTION("IF(
  ISNUMBER(SEARCH(""Bonus Action"", AE263)),
  ""Bonus Action"",
  IF(
    ISNUMBER(SEARCH(""Reaction"", AE263)),
    ""Reaction"",
    IF(
      ISNUMBER(SEARCH(""Action"", AE263)),
      ""Action"",
      TEXTJOIN("", "", TRUE, FILTER(Validations!$S"&amp;"$2:$S$100, ISNUMBER(SEARCH(Validations!$S$2:$S$100, AE263))))
    )
  )
)"),"Reaction")</f>
        <v>Reaction</v>
      </c>
      <c r="AH263" s="36" t="s">
        <v>1249</v>
      </c>
      <c r="AI263" s="27" t="s">
        <v>70</v>
      </c>
      <c r="AJ263" s="26" t="str">
        <f>IFERROR(__xludf.DUMMYFUNCTION("TEXTJOIN("", "", TRUE, FILTER(Validations!$T$2:$T$100, ISNUMBER(SEARCH(Validations!$T$2:$T$100, AI263))))"),"Instantaneous")</f>
        <v>Instantaneous</v>
      </c>
      <c r="AK263" s="26" t="str">
        <f>IFERROR(__xludf.DUMMYFUNCTION("IFERROR(VALUE(REGEXEXTRACT(AI263, ""\d+"")), """")"),"")</f>
        <v/>
      </c>
      <c r="AL263" s="26" t="str">
        <f>IFERROR(__xludf.DUMMYFUNCTION("TEXTJOIN("", "", TRUE, FILTER(Validations!$U$2:$U$100, ISNUMBER(SEARCH(Validations!$U$2:$U$100, AI263))))"),"")</f>
        <v/>
      </c>
      <c r="AM263" s="24" t="b">
        <f t="shared" si="1"/>
        <v>0</v>
      </c>
      <c r="AN263" s="24" t="b">
        <v>0</v>
      </c>
      <c r="AO263" s="22" t="s">
        <v>78</v>
      </c>
      <c r="AP263" s="12" t="str">
        <f>IFERROR(__xludf.DUMMYFUNCTION("IF(TEXTJOIN("", "", TRUE, FILTER(Validations!$Q$2:$Q$100, ISNUMBER(SEARCH(Validations!$Q$2:$Q$100, AO263)))) = """", Validations!$Q$2, TEXTJOIN("", "", TRUE, FILTER(Validations!$Q$2:$Q$100, ISNUMBER(SEARCH(Validations!$Q$2:$Q$100, AO263)))))"),"Point")</f>
        <v>Point</v>
      </c>
      <c r="AQ263" s="12" t="str">
        <f>IFERROR(__xludf.DUMMYFUNCTION("IFERROR(VALUE(REGEXEXTRACT(AO263, ""\d+"")), """")"),"")</f>
        <v/>
      </c>
      <c r="AR263" s="12" t="str">
        <f>IFERROR(__xludf.DUMMYFUNCTION("TEXTJOIN("", "", TRUE, FILTER(Validations!$R$2:$R$100, ISNUMBER(SEARCH(Validations!$R$2:$R$100, AO263))))"),"Self")</f>
        <v>Self</v>
      </c>
      <c r="AS263" s="27"/>
      <c r="AT263" s="12" t="str">
        <f>IFERROR(__xludf.DUMMYFUNCTION("IFERROR(TEXTJOIN("", "", TRUE, FILTER(Validations!$I$2:$I$100, ISNUMBER(SEARCH(Validations!$I$2:$I$100, AS263)))), """")"),"")</f>
        <v/>
      </c>
      <c r="AU263" s="16" t="str">
        <f t="array" ref="AU263">IFERROR(INDEX(Validations!$J$2:$J$100, MATCH(TRUE, ISNUMBER(SEARCH(Validations!$I$2:$I$100, AT263)), 0)), "")</f>
        <v/>
      </c>
      <c r="AV263" s="12" t="str">
        <f>IFERROR(__xludf.DUMMYFUNCTION("IFERROR(VALUE(REGEXEXTRACT(AS263, ""\d+"")), """")"),"")</f>
        <v/>
      </c>
      <c r="AW263" s="12" t="str">
        <f>IFERROR(__xludf.DUMMYFUNCTION("IFERROR(TEXTJOIN("", "", TRUE, FILTER(Validations!$Q$2:$Q$100, ISNUMBER(SEARCH(Validations!$Q$2:$Q$100, AS263)))), """")"),"")</f>
        <v/>
      </c>
      <c r="AX263" s="28" t="s">
        <v>142</v>
      </c>
      <c r="AY263" s="28" t="str">
        <f>IFERROR(__xludf.DUMMYFUNCTION("TEXTJOIN("", "", TRUE, FILTER(Validations!$Y$2:$Y$100, ISNUMBER(SEARCH(Validations!$X$2:$X$100, AX263))))"),"V, S")</f>
        <v>V, S</v>
      </c>
      <c r="AZ263" s="27"/>
      <c r="BA263" s="22"/>
      <c r="BB263" s="22"/>
      <c r="BC263" s="22"/>
      <c r="BD263" s="22"/>
      <c r="BE263" s="27"/>
      <c r="BF263" s="22"/>
      <c r="BG263" s="27"/>
      <c r="BH263" s="27"/>
      <c r="BI263" s="12" t="str">
        <f>IFERROR(__xludf.DUMMYFUNCTION("IFERROR(TEXTJOIN("", "", TRUE, FILTER(SRD!$A$2:$A$1000, EXACT(SRD!$A$2:$A$1000, J263))), """")"),"")</f>
        <v/>
      </c>
      <c r="BJ263" s="29"/>
      <c r="BK263" s="29"/>
    </row>
    <row r="264" ht="15.75" customHeight="1">
      <c r="A264" s="30" t="s">
        <v>1250</v>
      </c>
      <c r="B264" s="22"/>
      <c r="C264" s="31"/>
      <c r="D264" s="31" t="s">
        <v>18</v>
      </c>
      <c r="E264" s="31"/>
      <c r="F264" s="32" t="s">
        <v>1251</v>
      </c>
      <c r="G264" s="50" t="s">
        <v>1223</v>
      </c>
      <c r="H264" s="31" t="s">
        <v>85</v>
      </c>
      <c r="I264" s="16" t="str">
        <f t="array" ref="I264">INDEX(Validations!$C$2:$C$100, MATCH(TRUE, ISNUMBER(SEARCH(Validations!$B$2:$B$100, H264)), 0))</f>
        <v>T</v>
      </c>
      <c r="J264" s="17" t="s">
        <v>1252</v>
      </c>
      <c r="K264" s="18"/>
      <c r="L264" s="17"/>
      <c r="M264" s="17"/>
      <c r="N264" s="27"/>
      <c r="O264" s="17"/>
      <c r="P264" s="21"/>
      <c r="Q264" s="21"/>
      <c r="R264" s="22"/>
      <c r="S264" s="17" t="str">
        <f>IFERROR(__xludf.DUMMYFUNCTION("IFERROR(REGEXEXTRACT(J264, ""(\d{1,3}[dD]\d{1,3})""), """")"),"6d10")</f>
        <v>6d10</v>
      </c>
      <c r="T264" s="17" t="str">
        <f>IFERROR(__xludf.DUMMYFUNCTION("IF(COUNTIF(ARRAYFORMULA(LOWER(Validations!$O$2:$O$100)), LOWER(REGEXEXTRACT(J264, ""\d{1,3}[dD]\d{1,3}\s+(\w+)"")))&gt;0, REGEXEXTRACT(J264, ""\d{1,3}[dD]\d{1,3}\s+(\w+)""), """")"),"cognitive")</f>
        <v>cognitive</v>
      </c>
      <c r="U264" s="17" t="str">
        <f>IFERROR(__xludf.DUMMYFUNCTION("IF(COUNTIF(ARRAYFORMULA(LOWER(Validations!$P$2:$P$100)), LOWER(REGEXEXTRACT(J264, ""\d{1,3}[dD]\d{1,3}\s+(\w+)"")))&gt;0, REGEXEXTRACT(J264, ""\d{1,3}[dD]\d{1,3}\s+(\w+)""), """")"),"")</f>
        <v/>
      </c>
      <c r="V264" s="12" t="str">
        <f>IFERROR(__xludf.DUMMYFUNCTION("TEXTJOIN("", "", TRUE, FILTER(Validations!$L$2:$L$100, ISNUMBER(SEARCH(Validations!$L$2:$L$100, J264))))"),"Unstable, Displaced")</f>
        <v>Unstable, Displaced</v>
      </c>
      <c r="W264" s="12" t="str">
        <f>IFERROR(__xludf.DUMMYFUNCTION("IFERROR(TEXTJOIN("", "", TRUE, FILTER(Validations!$M$2:$M$100, ISNUMBER(SEARCH(Validations!$M$2:$M$100 &amp; "" saving throw"", J264)))), """")"),"Dexterity, Constitution")</f>
        <v>Dexterity, Constitution</v>
      </c>
      <c r="X264" s="12"/>
      <c r="Y264" s="12"/>
      <c r="Z264" s="12" t="str">
        <f>IFERROR(__xludf.DUMMYFUNCTION("IFERROR(TEXTJOIN("", "", TRUE, FILTER(Validations!$N$2:$N$100, ISNUMBER(SEARCH(Validations!$N$2:$N$100 &amp; "" check"", J264)))), """")"),"")</f>
        <v/>
      </c>
      <c r="AA264" s="12" t="str">
        <f>IFERROR(__xludf.DUMMYFUNCTION("IFERROR(TEXTJOIN("", "", TRUE, FILTER(Validations!$N$2:$N$100, ISNUMBER(SEARCH(Validations!$N$2:$N$100 &amp; "" check"", W264)))), """")"),"")</f>
        <v/>
      </c>
      <c r="AB264" s="23" t="str">
        <f>IFERROR(__xludf.DUMMYFUNCTION("IFERROR(CONCATENATE(IF(ISNUMBER(SEARCH(Validations!$M$2:$M$100 &amp; "" spell save"", J264)),""Spell Save"",""""), REGEXEXTRACT(J264, ""DC (\d+)"")), """")"),"")</f>
        <v/>
      </c>
      <c r="AC264" s="24" t="b">
        <v>0</v>
      </c>
      <c r="AD264" s="24" t="b">
        <v>0</v>
      </c>
      <c r="AE264" s="36" t="s">
        <v>69</v>
      </c>
      <c r="AF264" s="25">
        <f>IFERROR(__xludf.DUMMYFUNCTION("IFERROR(VALUE(REGEXEXTRACT(AE264, ""\d+"")), 1)"),1.0)</f>
        <v>1</v>
      </c>
      <c r="AG264" s="12" t="str">
        <f>IFERROR(__xludf.DUMMYFUNCTION("IF(
  ISNUMBER(SEARCH(""Bonus Action"", AE264)),
  ""Bonus Action"",
  IF(
    ISNUMBER(SEARCH(""Reaction"", AE264)),
    ""Reaction"",
    IF(
      ISNUMBER(SEARCH(""Action"", AE264)),
      ""Action"",
      TEXTJOIN("", "", TRUE, FILTER(Validations!$S"&amp;"$2:$S$100, ISNUMBER(SEARCH(Validations!$S$2:$S$100, AE264))))
    )
  )
)"),"Action")</f>
        <v>Action</v>
      </c>
      <c r="AH264" s="36"/>
      <c r="AI264" s="27" t="s">
        <v>70</v>
      </c>
      <c r="AJ264" s="26" t="str">
        <f>IFERROR(__xludf.DUMMYFUNCTION("TEXTJOIN("", "", TRUE, FILTER(Validations!$T$2:$T$100, ISNUMBER(SEARCH(Validations!$T$2:$T$100, AI264))))"),"Instantaneous")</f>
        <v>Instantaneous</v>
      </c>
      <c r="AK264" s="26" t="str">
        <f>IFERROR(__xludf.DUMMYFUNCTION("IFERROR(VALUE(REGEXEXTRACT(AI264, ""\d+"")), """")"),"")</f>
        <v/>
      </c>
      <c r="AL264" s="26" t="str">
        <f>IFERROR(__xludf.DUMMYFUNCTION("TEXTJOIN("", "", TRUE, FILTER(Validations!$U$2:$U$100, ISNUMBER(SEARCH(Validations!$U$2:$U$100, AI264))))"),"")</f>
        <v/>
      </c>
      <c r="AM264" s="24" t="b">
        <f t="shared" si="1"/>
        <v>0</v>
      </c>
      <c r="AN264" s="24" t="b">
        <v>0</v>
      </c>
      <c r="AO264" s="36" t="s">
        <v>1253</v>
      </c>
      <c r="AP264" s="12" t="str">
        <f>IFERROR(__xludf.DUMMYFUNCTION("IF(TEXTJOIN("", "", TRUE, FILTER(Validations!$Q$2:$Q$100, ISNUMBER(SEARCH(Validations!$Q$2:$Q$100, AO264)))) = """", Validations!$Q$2, TEXTJOIN("", "", TRUE, FILTER(Validations!$Q$2:$Q$100, ISNUMBER(SEARCH(Validations!$Q$2:$Q$100, AO264)))))"),"Radius, Sphere")</f>
        <v>Radius, Sphere</v>
      </c>
      <c r="AQ264" s="12">
        <f>IFERROR(__xludf.DUMMYFUNCTION("IFERROR(VALUE(REGEXEXTRACT(AO264, ""\d+"")), """")"),30.0)</f>
        <v>30</v>
      </c>
      <c r="AR264" s="12" t="str">
        <f>IFERROR(__xludf.DUMMYFUNCTION("TEXTJOIN("", "", TRUE, FILTER(Validations!$R$2:$R$100, ISNUMBER(SEARCH(Validations!$R$2:$R$100, AO264))))"),"Feet")</f>
        <v>Feet</v>
      </c>
      <c r="AS264" s="27"/>
      <c r="AT264" s="12" t="str">
        <f>IFERROR(__xludf.DUMMYFUNCTION("IFERROR(TEXTJOIN("", "", TRUE, FILTER(Validations!$I$2:$I$100, ISNUMBER(SEARCH(Validations!$I$2:$I$100, AS264)))), """")"),"")</f>
        <v/>
      </c>
      <c r="AU264" s="16" t="str">
        <f t="array" ref="AU264">IFERROR(INDEX(Validations!$J$2:$J$100, MATCH(TRUE, ISNUMBER(SEARCH(Validations!$I$2:$I$100, AT264)), 0)), "")</f>
        <v/>
      </c>
      <c r="AV264" s="12" t="str">
        <f>IFERROR(__xludf.DUMMYFUNCTION("IFERROR(VALUE(REGEXEXTRACT(AS264, ""\d+"")), """")"),"")</f>
        <v/>
      </c>
      <c r="AW264" s="12" t="str">
        <f>IFERROR(__xludf.DUMMYFUNCTION("IFERROR(TEXTJOIN("", "", TRUE, FILTER(Validations!$Q$2:$Q$100, ISNUMBER(SEARCH(Validations!$Q$2:$Q$100, AS264)))), """")"),"")</f>
        <v/>
      </c>
      <c r="AX264" s="28" t="s">
        <v>142</v>
      </c>
      <c r="AY264" s="28" t="str">
        <f>IFERROR(__xludf.DUMMYFUNCTION("TEXTJOIN("", "", TRUE, FILTER(Validations!$Y$2:$Y$100, ISNUMBER(SEARCH(Validations!$X$2:$X$100, AX264))))"),"V, S")</f>
        <v>V, S</v>
      </c>
      <c r="AZ264" s="27"/>
      <c r="BA264" s="22"/>
      <c r="BB264" s="22"/>
      <c r="BC264" s="22"/>
      <c r="BD264" s="22"/>
      <c r="BE264" s="27"/>
      <c r="BF264" s="22"/>
      <c r="BG264" s="27"/>
      <c r="BH264" s="20" t="s">
        <v>1254</v>
      </c>
      <c r="BI264" s="12" t="str">
        <f>IFERROR(__xludf.DUMMYFUNCTION("IFERROR(TEXTJOIN("", "", TRUE, FILTER(SRD!$A$2:$A$1000, EXACT(SRD!$A$2:$A$1000, J264))), """")"),"")</f>
        <v/>
      </c>
      <c r="BJ264" s="29"/>
      <c r="BK264" s="29"/>
    </row>
    <row r="265" ht="15.75" customHeight="1">
      <c r="A265" s="30" t="s">
        <v>1255</v>
      </c>
      <c r="B265" s="22"/>
      <c r="C265" s="31"/>
      <c r="D265" s="31" t="s">
        <v>74</v>
      </c>
      <c r="E265" s="31"/>
      <c r="F265" s="32" t="s">
        <v>1256</v>
      </c>
      <c r="G265" s="50" t="s">
        <v>1223</v>
      </c>
      <c r="H265" s="31" t="s">
        <v>178</v>
      </c>
      <c r="I265" s="16" t="str">
        <f t="array" ref="I265">INDEX(Validations!$C$2:$C$100, MATCH(TRUE, ISNUMBER(SEARCH(Validations!$B$2:$B$100, H265)), 0))</f>
        <v>A</v>
      </c>
      <c r="J265" s="17" t="s">
        <v>1257</v>
      </c>
      <c r="K265" s="18"/>
      <c r="L265" s="17"/>
      <c r="M265" s="17"/>
      <c r="N265" s="20" t="s">
        <v>1258</v>
      </c>
      <c r="O265" s="17"/>
      <c r="P265" s="21"/>
      <c r="Q265" s="21"/>
      <c r="R265" s="22"/>
      <c r="S265" s="17" t="str">
        <f>IFERROR(__xludf.DUMMYFUNCTION("IFERROR(REGEXEXTRACT(J265, ""(\d{1,3}[dD]\d{1,3})""), """")"),"")</f>
        <v/>
      </c>
      <c r="T265" s="17" t="str">
        <f>IFERROR(__xludf.DUMMYFUNCTION("IF(COUNTIF(ARRAYFORMULA(LOWER(Validations!$O$2:$O$100)), LOWER(REGEXEXTRACT(J265, ""\d{1,3}[dD]\d{1,3}\s+(\w+)"")))&gt;0, REGEXEXTRACT(J265, ""\d{1,3}[dD]\d{1,3}\s+(\w+)""), """")"),"")</f>
        <v/>
      </c>
      <c r="U265" s="17" t="str">
        <f>IFERROR(__xludf.DUMMYFUNCTION("IF(COUNTIF(ARRAYFORMULA(LOWER(Validations!$P$2:$P$100)), LOWER(REGEXEXTRACT(J265, ""\d{1,3}[dD]\d{1,3}\s+(\w+)"")))&gt;0, REGEXEXTRACT(J265, ""\d{1,3}[dD]\d{1,3}\s+(\w+)""), """")"),"")</f>
        <v/>
      </c>
      <c r="V265" s="12" t="str">
        <f>IFERROR(__xludf.DUMMYFUNCTION("TEXTJOIN("", "", TRUE, FILTER(Validations!$L$2:$L$100, ISNUMBER(SEARCH(Validations!$L$2:$L$100, J265))))"),"Unstable")</f>
        <v>Unstable</v>
      </c>
      <c r="W265" s="12" t="str">
        <f>IFERROR(__xludf.DUMMYFUNCTION("IFERROR(TEXTJOIN("", "", TRUE, FILTER(Validations!$M$2:$M$100, ISNUMBER(SEARCH(Validations!$M$2:$M$100 &amp; "" saving throw"", J265)))), """")"),"Charisma")</f>
        <v>Charisma</v>
      </c>
      <c r="X265" s="12"/>
      <c r="Y265" s="12"/>
      <c r="Z265" s="12" t="str">
        <f>IFERROR(__xludf.DUMMYFUNCTION("IFERROR(TEXTJOIN("", "", TRUE, FILTER(Validations!$N$2:$N$100, ISNUMBER(SEARCH(Validations!$N$2:$N$100 &amp; "" check"", J265)))), """")"),"")</f>
        <v/>
      </c>
      <c r="AA265" s="12" t="str">
        <f>IFERROR(__xludf.DUMMYFUNCTION("IFERROR(TEXTJOIN("", "", TRUE, FILTER(Validations!$N$2:$N$100, ISNUMBER(SEARCH(Validations!$N$2:$N$100 &amp; "" check"", W265)))), """")"),"")</f>
        <v/>
      </c>
      <c r="AB265" s="23" t="str">
        <f>IFERROR(__xludf.DUMMYFUNCTION("IFERROR(CONCATENATE(IF(ISNUMBER(SEARCH(Validations!$M$2:$M$100 &amp; "" spell save"", J265)),""Spell Save"",""""), REGEXEXTRACT(J265, ""DC (\d+)"")), """")"),"")</f>
        <v/>
      </c>
      <c r="AC265" s="24" t="b">
        <v>0</v>
      </c>
      <c r="AD265" s="24" t="b">
        <v>0</v>
      </c>
      <c r="AE265" s="36" t="s">
        <v>69</v>
      </c>
      <c r="AF265" s="25">
        <f>IFERROR(__xludf.DUMMYFUNCTION("IFERROR(VALUE(REGEXEXTRACT(AE265, ""\d+"")), 1)"),1.0)</f>
        <v>1</v>
      </c>
      <c r="AG265" s="12" t="str">
        <f>IFERROR(__xludf.DUMMYFUNCTION("IF(
  ISNUMBER(SEARCH(""Bonus Action"", AE265)),
  ""Bonus Action"",
  IF(
    ISNUMBER(SEARCH(""Reaction"", AE265)),
    ""Reaction"",
    IF(
      ISNUMBER(SEARCH(""Action"", AE265)),
      ""Action"",
      TEXTJOIN("", "", TRUE, FILTER(Validations!$S"&amp;"$2:$S$100, ISNUMBER(SEARCH(Validations!$S$2:$S$100, AE265))))
    )
  )
)"),"Action")</f>
        <v>Action</v>
      </c>
      <c r="AH265" s="36"/>
      <c r="AI265" s="27" t="s">
        <v>70</v>
      </c>
      <c r="AJ265" s="26" t="str">
        <f>IFERROR(__xludf.DUMMYFUNCTION("TEXTJOIN("", "", TRUE, FILTER(Validations!$T$2:$T$100, ISNUMBER(SEARCH(Validations!$T$2:$T$100, AI265))))"),"Instantaneous")</f>
        <v>Instantaneous</v>
      </c>
      <c r="AK265" s="26" t="str">
        <f>IFERROR(__xludf.DUMMYFUNCTION("IFERROR(VALUE(REGEXEXTRACT(AI265, ""\d+"")), """")"),"")</f>
        <v/>
      </c>
      <c r="AL265" s="26" t="str">
        <f>IFERROR(__xludf.DUMMYFUNCTION("TEXTJOIN("", "", TRUE, FILTER(Validations!$U$2:$U$100, ISNUMBER(SEARCH(Validations!$U$2:$U$100, AI265))))"),"")</f>
        <v/>
      </c>
      <c r="AM265" s="24" t="b">
        <f t="shared" si="1"/>
        <v>0</v>
      </c>
      <c r="AN265" s="24" t="b">
        <v>0</v>
      </c>
      <c r="AO265" s="22" t="s">
        <v>112</v>
      </c>
      <c r="AP265" s="12" t="str">
        <f>IFERROR(__xludf.DUMMYFUNCTION("IF(TEXTJOIN("", "", TRUE, FILTER(Validations!$Q$2:$Q$100, ISNUMBER(SEARCH(Validations!$Q$2:$Q$100, AO265)))) = """", Validations!$Q$2, TEXTJOIN("", "", TRUE, FILTER(Validations!$Q$2:$Q$100, ISNUMBER(SEARCH(Validations!$Q$2:$Q$100, AO265)))))"),"Point")</f>
        <v>Point</v>
      </c>
      <c r="AQ265" s="12">
        <f>IFERROR(__xludf.DUMMYFUNCTION("IFERROR(VALUE(REGEXEXTRACT(AO265, ""\d+"")), """")"),30.0)</f>
        <v>30</v>
      </c>
      <c r="AR265" s="12" t="str">
        <f>IFERROR(__xludf.DUMMYFUNCTION("TEXTJOIN("", "", TRUE, FILTER(Validations!$R$2:$R$100, ISNUMBER(SEARCH(Validations!$R$2:$R$100, AO265))))"),"Feet")</f>
        <v>Feet</v>
      </c>
      <c r="AS265" s="27"/>
      <c r="AT265" s="12" t="str">
        <f>IFERROR(__xludf.DUMMYFUNCTION("IFERROR(TEXTJOIN("", "", TRUE, FILTER(Validations!$I$2:$I$100, ISNUMBER(SEARCH(Validations!$I$2:$I$100, AS265)))), """")"),"")</f>
        <v/>
      </c>
      <c r="AU265" s="16" t="str">
        <f t="array" ref="AU265">IFERROR(INDEX(Validations!$J$2:$J$100, MATCH(TRUE, ISNUMBER(SEARCH(Validations!$I$2:$I$100, AT265)), 0)), "")</f>
        <v/>
      </c>
      <c r="AV265" s="12" t="str">
        <f>IFERROR(__xludf.DUMMYFUNCTION("IFERROR(VALUE(REGEXEXTRACT(AS265, ""\d+"")), """")"),"")</f>
        <v/>
      </c>
      <c r="AW265" s="12" t="str">
        <f>IFERROR(__xludf.DUMMYFUNCTION("IFERROR(TEXTJOIN("", "", TRUE, FILTER(Validations!$Q$2:$Q$100, ISNUMBER(SEARCH(Validations!$Q$2:$Q$100, AS265)))), """")"),"")</f>
        <v/>
      </c>
      <c r="AX265" s="28" t="s">
        <v>152</v>
      </c>
      <c r="AY265" s="28" t="str">
        <f>IFERROR(__xludf.DUMMYFUNCTION("TEXTJOIN("", "", TRUE, FILTER(Validations!$Y$2:$Y$100, ISNUMBER(SEARCH(Validations!$X$2:$X$100, AX265))))"),"V, S, R")</f>
        <v>V, S, R</v>
      </c>
      <c r="AZ265" s="20" t="s">
        <v>1259</v>
      </c>
      <c r="BA265" s="22"/>
      <c r="BB265" s="22"/>
      <c r="BC265" s="22"/>
      <c r="BD265" s="22"/>
      <c r="BE265" s="27"/>
      <c r="BF265" s="22"/>
      <c r="BG265" s="27"/>
      <c r="BH265" s="27"/>
      <c r="BI265" s="12" t="str">
        <f>IFERROR(__xludf.DUMMYFUNCTION("IFERROR(TEXTJOIN("", "", TRUE, FILTER(SRD!$A$2:$A$1000, EXACT(SRD!$A$2:$A$1000, J265))), """")"),"")</f>
        <v/>
      </c>
      <c r="BJ265" s="29"/>
      <c r="BK265" s="29"/>
    </row>
    <row r="266" ht="15.75" customHeight="1">
      <c r="A266" s="30" t="s">
        <v>1260</v>
      </c>
      <c r="B266" s="22"/>
      <c r="C266" s="16"/>
      <c r="D266" s="16" t="s">
        <v>1261</v>
      </c>
      <c r="E266" s="16"/>
      <c r="F266" s="32" t="s">
        <v>123</v>
      </c>
      <c r="G266" s="50" t="s">
        <v>1223</v>
      </c>
      <c r="H266" s="31" t="s">
        <v>103</v>
      </c>
      <c r="I266" s="16" t="str">
        <f t="array" ref="I266">INDEX(Validations!$C$2:$C$100, MATCH(TRUE, ISNUMBER(SEARCH(Validations!$B$2:$B$100, H266)), 0))</f>
        <v>C</v>
      </c>
      <c r="J266" s="17" t="s">
        <v>1262</v>
      </c>
      <c r="K266" s="18"/>
      <c r="L266" s="17"/>
      <c r="M266" s="17"/>
      <c r="N266" s="27"/>
      <c r="O266" s="17"/>
      <c r="P266" s="21"/>
      <c r="Q266" s="21"/>
      <c r="R266" s="36" t="s">
        <v>1263</v>
      </c>
      <c r="S266" s="17" t="str">
        <f>IFERROR(__xludf.DUMMYFUNCTION("IFERROR(REGEXEXTRACT(J266, ""(\d{1,3}[dD]\d{1,3})""), """")"),"")</f>
        <v/>
      </c>
      <c r="T266" s="17" t="str">
        <f>IFERROR(__xludf.DUMMYFUNCTION("IF(COUNTIF(ARRAYFORMULA(LOWER(Validations!$O$2:$O$100)), LOWER(REGEXEXTRACT(J266, ""\d{1,3}[dD]\d{1,3}\s+(\w+)"")))&gt;0, REGEXEXTRACT(J266, ""\d{1,3}[dD]\d{1,3}\s+(\w+)""), """")"),"")</f>
        <v/>
      </c>
      <c r="U266" s="17" t="str">
        <f>IFERROR(__xludf.DUMMYFUNCTION("IF(COUNTIF(ARRAYFORMULA(LOWER(Validations!$P$2:$P$100)), LOWER(REGEXEXTRACT(J266, ""\d{1,3}[dD]\d{1,3}\s+(\w+)"")))&gt;0, REGEXEXTRACT(J266, ""\d{1,3}[dD]\d{1,3}\s+(\w+)""), """")"),"")</f>
        <v/>
      </c>
      <c r="V266" s="12" t="str">
        <f>IFERROR(__xludf.DUMMYFUNCTION("TEXTJOIN("", "", TRUE, FILTER(Validations!$L$2:$L$100, ISNUMBER(SEARCH(Validations!$L$2:$L$100, J266))))"),"Invisible")</f>
        <v>Invisible</v>
      </c>
      <c r="W266" s="12" t="str">
        <f>IFERROR(__xludf.DUMMYFUNCTION("IFERROR(TEXTJOIN("", "", TRUE, FILTER(Validations!$M$2:$M$100, ISNUMBER(SEARCH(Validations!$M$2:$M$100 &amp; "" saving throw"", J266)))), """")"),"")</f>
        <v/>
      </c>
      <c r="X266" s="12"/>
      <c r="Y266" s="12"/>
      <c r="Z266" s="12" t="str">
        <f>IFERROR(__xludf.DUMMYFUNCTION("IFERROR(TEXTJOIN("", "", TRUE, FILTER(Validations!$N$2:$N$100, ISNUMBER(SEARCH(Validations!$N$2:$N$100 &amp; "" check"", J266)))), """")"),"")</f>
        <v/>
      </c>
      <c r="AA266" s="12" t="str">
        <f>IFERROR(__xludf.DUMMYFUNCTION("IFERROR(TEXTJOIN("", "", TRUE, FILTER(Validations!$N$2:$N$100, ISNUMBER(SEARCH(Validations!$N$2:$N$100 &amp; "" check"", W266)))), """")"),"")</f>
        <v/>
      </c>
      <c r="AB266" s="23" t="str">
        <f>IFERROR(__xludf.DUMMYFUNCTION("IFERROR(CONCATENATE(IF(ISNUMBER(SEARCH(Validations!$M$2:$M$100 &amp; "" spell save"", J266)),""Spell Save"",""""), REGEXEXTRACT(J266, ""DC (\d+)"")), """")"),"")</f>
        <v/>
      </c>
      <c r="AC266" s="24" t="b">
        <v>0</v>
      </c>
      <c r="AD266" s="24" t="b">
        <v>0</v>
      </c>
      <c r="AE266" s="36" t="s">
        <v>69</v>
      </c>
      <c r="AF266" s="25">
        <f>IFERROR(__xludf.DUMMYFUNCTION("IFERROR(VALUE(REGEXEXTRACT(AE266, ""\d+"")), 1)"),1.0)</f>
        <v>1</v>
      </c>
      <c r="AG266" s="12" t="str">
        <f>IFERROR(__xludf.DUMMYFUNCTION("IF(
  ISNUMBER(SEARCH(""Bonus Action"", AE266)),
  ""Bonus Action"",
  IF(
    ISNUMBER(SEARCH(""Reaction"", AE266)),
    ""Reaction"",
    IF(
      ISNUMBER(SEARCH(""Action"", AE266)),
      ""Action"",
      TEXTJOIN("", "", TRUE, FILTER(Validations!$S"&amp;"$2:$S$100, ISNUMBER(SEARCH(Validations!$S$2:$S$100, AE266))))
    )
  )
)"),"Action")</f>
        <v>Action</v>
      </c>
      <c r="AH266" s="36"/>
      <c r="AI266" s="20" t="s">
        <v>1264</v>
      </c>
      <c r="AJ266" s="26" t="str">
        <f>IFERROR(__xludf.DUMMYFUNCTION("TEXTJOIN("", "", TRUE, FILTER(Validations!$T$2:$T$100, ISNUMBER(SEARCH(Validations!$T$2:$T$100, AI266))))"),"")</f>
        <v/>
      </c>
      <c r="AK266" s="26">
        <f>IFERROR(__xludf.DUMMYFUNCTION("IFERROR(VALUE(REGEXEXTRACT(AI266, ""\d+"")), """")"),10.0)</f>
        <v>10</v>
      </c>
      <c r="AL266" s="26" t="str">
        <f>IFERROR(__xludf.DUMMYFUNCTION("TEXTJOIN("", "", TRUE, FILTER(Validations!$U$2:$U$100, ISNUMBER(SEARCH(Validations!$U$2:$U$100, AI266))))"),"Minutes")</f>
        <v>Minutes</v>
      </c>
      <c r="AM266" s="24" t="b">
        <f t="shared" si="1"/>
        <v>0</v>
      </c>
      <c r="AN266" s="24" t="b">
        <v>0</v>
      </c>
      <c r="AO266" s="22" t="s">
        <v>105</v>
      </c>
      <c r="AP266" s="12" t="str">
        <f>IFERROR(__xludf.DUMMYFUNCTION("IF(TEXTJOIN("", "", TRUE, FILTER(Validations!$Q$2:$Q$100, ISNUMBER(SEARCH(Validations!$Q$2:$Q$100, AO266)))) = """", Validations!$Q$2, TEXTJOIN("", "", TRUE, FILTER(Validations!$Q$2:$Q$100, ISNUMBER(SEARCH(Validations!$Q$2:$Q$100, AO266)))))"),"Point")</f>
        <v>Point</v>
      </c>
      <c r="AQ266" s="12">
        <f>IFERROR(__xludf.DUMMYFUNCTION("IFERROR(VALUE(REGEXEXTRACT(AO266, ""\d+"")), """")"),10.0)</f>
        <v>10</v>
      </c>
      <c r="AR266" s="12" t="str">
        <f>IFERROR(__xludf.DUMMYFUNCTION("TEXTJOIN("", "", TRUE, FILTER(Validations!$R$2:$R$100, ISNUMBER(SEARCH(Validations!$R$2:$R$100, AO266))))"),"Feet")</f>
        <v>Feet</v>
      </c>
      <c r="AS266" s="27"/>
      <c r="AT266" s="12" t="str">
        <f>IFERROR(__xludf.DUMMYFUNCTION("IFERROR(TEXTJOIN("", "", TRUE, FILTER(Validations!$I$2:$I$100, ISNUMBER(SEARCH(Validations!$I$2:$I$100, AS266)))), """")"),"")</f>
        <v/>
      </c>
      <c r="AU266" s="16" t="str">
        <f t="array" ref="AU266">IFERROR(INDEX(Validations!$J$2:$J$100, MATCH(TRUE, ISNUMBER(SEARCH(Validations!$I$2:$I$100, AT266)), 0)), "")</f>
        <v/>
      </c>
      <c r="AV266" s="12" t="str">
        <f>IFERROR(__xludf.DUMMYFUNCTION("IFERROR(VALUE(REGEXEXTRACT(AS266, ""\d+"")), """")"),"")</f>
        <v/>
      </c>
      <c r="AW266" s="12" t="str">
        <f>IFERROR(__xludf.DUMMYFUNCTION("IFERROR(TEXTJOIN("", "", TRUE, FILTER(Validations!$Q$2:$Q$100, ISNUMBER(SEARCH(Validations!$Q$2:$Q$100, AS266)))), """")"),"")</f>
        <v/>
      </c>
      <c r="AX266" s="28" t="s">
        <v>152</v>
      </c>
      <c r="AY266" s="28" t="str">
        <f>IFERROR(__xludf.DUMMYFUNCTION("TEXTJOIN("", "", TRUE, FILTER(Validations!$Y$2:$Y$100, ISNUMBER(SEARCH(Validations!$X$2:$X$100, AX266))))"),"V, S, R")</f>
        <v>V, S, R</v>
      </c>
      <c r="AZ266" s="20" t="s">
        <v>1265</v>
      </c>
      <c r="BA266" s="22"/>
      <c r="BB266" s="22"/>
      <c r="BC266" s="22"/>
      <c r="BD266" s="22"/>
      <c r="BE266" s="27"/>
      <c r="BF266" s="22"/>
      <c r="BG266" s="27"/>
      <c r="BH266" s="27"/>
      <c r="BI266" s="12" t="str">
        <f>IFERROR(__xludf.DUMMYFUNCTION("IFERROR(TEXTJOIN("", "", TRUE, FILTER(SRD!$A$2:$A$1000, EXACT(SRD!$A$2:$A$1000, J266))), """")"),"")</f>
        <v/>
      </c>
      <c r="BJ266" s="29"/>
      <c r="BK266" s="29"/>
    </row>
    <row r="267" ht="15.75" customHeight="1">
      <c r="A267" s="30" t="s">
        <v>1266</v>
      </c>
      <c r="B267" s="22"/>
      <c r="C267" s="16"/>
      <c r="D267" s="16" t="s">
        <v>302</v>
      </c>
      <c r="E267" s="16"/>
      <c r="F267" s="32" t="s">
        <v>1267</v>
      </c>
      <c r="G267" s="50" t="s">
        <v>1223</v>
      </c>
      <c r="H267" s="31" t="s">
        <v>140</v>
      </c>
      <c r="I267" s="16" t="str">
        <f t="array" ref="I267">INDEX(Validations!$C$2:$C$100, MATCH(TRUE, ISNUMBER(SEARCH(Validations!$B$2:$B$100, H267)), 0))</f>
        <v>N</v>
      </c>
      <c r="J267" s="17" t="s">
        <v>1268</v>
      </c>
      <c r="K267" s="18"/>
      <c r="L267" s="17"/>
      <c r="M267" s="17"/>
      <c r="N267" s="27"/>
      <c r="O267" s="17"/>
      <c r="P267" s="21"/>
      <c r="Q267" s="21"/>
      <c r="R267" s="36" t="s">
        <v>1269</v>
      </c>
      <c r="S267" s="17" t="str">
        <f>IFERROR(__xludf.DUMMYFUNCTION("IFERROR(REGEXEXTRACT(J267, ""(\d{1,3}[dD]\d{1,3})""), """")"),"")</f>
        <v/>
      </c>
      <c r="T267" s="17" t="str">
        <f>IFERROR(__xludf.DUMMYFUNCTION("IF(COUNTIF(ARRAYFORMULA(LOWER(Validations!$O$2:$O$100)), LOWER(REGEXEXTRACT(J267, ""\d{1,3}[dD]\d{1,3}\s+(\w+)"")))&gt;0, REGEXEXTRACT(J267, ""\d{1,3}[dD]\d{1,3}\s+(\w+)""), """")"),"")</f>
        <v/>
      </c>
      <c r="U267" s="17" t="str">
        <f>IFERROR(__xludf.DUMMYFUNCTION("IF(COUNTIF(ARRAYFORMULA(LOWER(Validations!$P$2:$P$100)), LOWER(REGEXEXTRACT(J267, ""\d{1,3}[dD]\d{1,3}\s+(\w+)"")))&gt;0, REGEXEXTRACT(J267, ""\d{1,3}[dD]\d{1,3}\s+(\w+)""), """")"),"")</f>
        <v/>
      </c>
      <c r="V267" s="12" t="str">
        <f>IFERROR(__xludf.DUMMYFUNCTION("TEXTJOIN("", "", TRUE, FILTER(Validations!$L$2:$L$100, ISNUMBER(SEARCH(Validations!$L$2:$L$100, J267))))"),"")</f>
        <v/>
      </c>
      <c r="W267" s="12" t="str">
        <f>IFERROR(__xludf.DUMMYFUNCTION("IFERROR(TEXTJOIN("", "", TRUE, FILTER(Validations!$M$2:$M$100, ISNUMBER(SEARCH(Validations!$M$2:$M$100 &amp; "" saving throw"", J267)))), """")"),"Constitution")</f>
        <v>Constitution</v>
      </c>
      <c r="X267" s="12"/>
      <c r="Y267" s="12"/>
      <c r="Z267" s="12" t="str">
        <f>IFERROR(__xludf.DUMMYFUNCTION("IFERROR(TEXTJOIN("", "", TRUE, FILTER(Validations!$N$2:$N$100, ISNUMBER(SEARCH(Validations!$N$2:$N$100 &amp; "" check"", J267)))), """")"),"")</f>
        <v/>
      </c>
      <c r="AA267" s="12" t="str">
        <f>IFERROR(__xludf.DUMMYFUNCTION("IFERROR(TEXTJOIN("", "", TRUE, FILTER(Validations!$N$2:$N$100, ISNUMBER(SEARCH(Validations!$N$2:$N$100 &amp; "" check"", W267)))), """")"),"")</f>
        <v/>
      </c>
      <c r="AB267" s="23" t="str">
        <f>IFERROR(__xludf.DUMMYFUNCTION("IFERROR(CONCATENATE(IF(ISNUMBER(SEARCH(Validations!$M$2:$M$100 &amp; "" spell save"", J267)),""Spell Save"",""""), REGEXEXTRACT(J267, ""DC (\d+)"")), """")"),"")</f>
        <v/>
      </c>
      <c r="AC267" s="24" t="b">
        <v>1</v>
      </c>
      <c r="AD267" s="24" t="b">
        <v>0</v>
      </c>
      <c r="AE267" s="36" t="s">
        <v>296</v>
      </c>
      <c r="AF267" s="25">
        <f>IFERROR(__xludf.DUMMYFUNCTION("IFERROR(VALUE(REGEXEXTRACT(AE267, ""\d+"")), 1)"),1.0)</f>
        <v>1</v>
      </c>
      <c r="AG267" s="12" t="str">
        <f>IFERROR(__xludf.DUMMYFUNCTION("IF(
  ISNUMBER(SEARCH(""Bonus Action"", AE267)),
  ""Bonus Action"",
  IF(
    ISNUMBER(SEARCH(""Reaction"", AE267)),
    ""Reaction"",
    IF(
      ISNUMBER(SEARCH(""Action"", AE267)),
      ""Action"",
      TEXTJOIN("", "", TRUE, FILTER(Validations!$S"&amp;"$2:$S$100, ISNUMBER(SEARCH(Validations!$S$2:$S$100, AE267))))
    )
  )
)"),"Hours")</f>
        <v>Hours</v>
      </c>
      <c r="AH267" s="22"/>
      <c r="AI267" s="27" t="s">
        <v>1270</v>
      </c>
      <c r="AJ267" s="26" t="str">
        <f>IFERROR(__xludf.DUMMYFUNCTION("TEXTJOIN("", "", TRUE, FILTER(Validations!$T$2:$T$100, ISNUMBER(SEARCH(Validations!$T$2:$T$100, AI267))))"),"Permanent")</f>
        <v>Permanent</v>
      </c>
      <c r="AK267" s="26" t="str">
        <f>IFERROR(__xludf.DUMMYFUNCTION("IFERROR(VALUE(REGEXEXTRACT(AI267, ""\d+"")), """")"),"")</f>
        <v/>
      </c>
      <c r="AL267" s="26" t="str">
        <f>IFERROR(__xludf.DUMMYFUNCTION("TEXTJOIN("", "", TRUE, FILTER(Validations!$U$2:$U$100, ISNUMBER(SEARCH(Validations!$U$2:$U$100, AI267))))"),"")</f>
        <v/>
      </c>
      <c r="AM267" s="24" t="b">
        <f t="shared" si="1"/>
        <v>0</v>
      </c>
      <c r="AN267" s="24" t="b">
        <v>0</v>
      </c>
      <c r="AO267" s="22" t="s">
        <v>71</v>
      </c>
      <c r="AP267" s="12" t="str">
        <f>IFERROR(__xludf.DUMMYFUNCTION("IF(TEXTJOIN("", "", TRUE, FILTER(Validations!$Q$2:$Q$100, ISNUMBER(SEARCH(Validations!$Q$2:$Q$100, AO267)))) = """", Validations!$Q$2, TEXTJOIN("", "", TRUE, FILTER(Validations!$Q$2:$Q$100, ISNUMBER(SEARCH(Validations!$Q$2:$Q$100, AO267)))))"),"Point")</f>
        <v>Point</v>
      </c>
      <c r="AQ267" s="12" t="str">
        <f>IFERROR(__xludf.DUMMYFUNCTION("IFERROR(VALUE(REGEXEXTRACT(AO267, ""\d+"")), """")"),"")</f>
        <v/>
      </c>
      <c r="AR267" s="12" t="str">
        <f>IFERROR(__xludf.DUMMYFUNCTION("TEXTJOIN("", "", TRUE, FILTER(Validations!$R$2:$R$100, ISNUMBER(SEARCH(Validations!$R$2:$R$100, AO267))))"),"Touch")</f>
        <v>Touch</v>
      </c>
      <c r="AS267" s="27"/>
      <c r="AT267" s="12" t="str">
        <f>IFERROR(__xludf.DUMMYFUNCTION("IFERROR(TEXTJOIN("", "", TRUE, FILTER(Validations!$I$2:$I$100, ISNUMBER(SEARCH(Validations!$I$2:$I$100, AS267)))), """")"),"")</f>
        <v/>
      </c>
      <c r="AU267" s="16" t="str">
        <f t="array" ref="AU267">IFERROR(INDEX(Validations!$J$2:$J$100, MATCH(TRUE, ISNUMBER(SEARCH(Validations!$I$2:$I$100, AT267)), 0)), "")</f>
        <v/>
      </c>
      <c r="AV267" s="12" t="str">
        <f>IFERROR(__xludf.DUMMYFUNCTION("IFERROR(VALUE(REGEXEXTRACT(AS267, ""\d+"")), """")"),"")</f>
        <v/>
      </c>
      <c r="AW267" s="12" t="str">
        <f>IFERROR(__xludf.DUMMYFUNCTION("IFERROR(TEXTJOIN("", "", TRUE, FILTER(Validations!$Q$2:$Q$100, ISNUMBER(SEARCH(Validations!$Q$2:$Q$100, AS267)))), """")"),"")</f>
        <v/>
      </c>
      <c r="AX267" s="28" t="s">
        <v>152</v>
      </c>
      <c r="AY267" s="28" t="str">
        <f>IFERROR(__xludf.DUMMYFUNCTION("TEXTJOIN("", "", TRUE, FILTER(Validations!$Y$2:$Y$100, ISNUMBER(SEARCH(Validations!$X$2:$X$100, AX267))))"),"V, S, R")</f>
        <v>V, S, R</v>
      </c>
      <c r="AZ267" s="20" t="s">
        <v>1271</v>
      </c>
      <c r="BA267" s="22"/>
      <c r="BB267" s="22"/>
      <c r="BC267" s="22"/>
      <c r="BD267" s="22"/>
      <c r="BE267" s="27"/>
      <c r="BF267" s="22"/>
      <c r="BG267" s="27"/>
      <c r="BH267" s="27"/>
      <c r="BI267" s="12" t="str">
        <f>IFERROR(__xludf.DUMMYFUNCTION("IFERROR(TEXTJOIN("", "", TRUE, FILTER(SRD!$A$2:$A$1000, EXACT(SRD!$A$2:$A$1000, J267))), """")"),"")</f>
        <v/>
      </c>
      <c r="BJ267" s="29"/>
      <c r="BK267" s="29"/>
    </row>
    <row r="268" ht="15.75" customHeight="1">
      <c r="A268" s="38" t="s">
        <v>1272</v>
      </c>
      <c r="B268" s="12"/>
      <c r="C268" s="16"/>
      <c r="D268" s="16" t="s">
        <v>1273</v>
      </c>
      <c r="E268" s="16"/>
      <c r="F268" s="14" t="s">
        <v>250</v>
      </c>
      <c r="G268" s="50" t="s">
        <v>1223</v>
      </c>
      <c r="H268" s="31" t="s">
        <v>140</v>
      </c>
      <c r="I268" s="16" t="str">
        <f t="array" ref="I268">INDEX(Validations!$C$2:$C$100, MATCH(TRUE, ISNUMBER(SEARCH(Validations!$B$2:$B$100, H268)), 0))</f>
        <v>N</v>
      </c>
      <c r="J268" s="17" t="s">
        <v>1274</v>
      </c>
      <c r="K268" s="51"/>
      <c r="L268" s="17"/>
      <c r="M268" s="52"/>
      <c r="N268" s="20" t="s">
        <v>1275</v>
      </c>
      <c r="O268" s="17" t="s">
        <v>1276</v>
      </c>
      <c r="P268" s="21"/>
      <c r="Q268" s="21"/>
      <c r="R268" s="36" t="s">
        <v>1277</v>
      </c>
      <c r="S268" s="17" t="str">
        <f>IFERROR(__xludf.DUMMYFUNCTION("IFERROR(REGEXEXTRACT(J268, ""(\d{1,3}[dD]\d{1,3})""), """")"),"5d6")</f>
        <v>5d6</v>
      </c>
      <c r="T268" s="17" t="str">
        <f>IFERROR(__xludf.DUMMYFUNCTION("IF(COUNTIF(ARRAYFORMULA(LOWER(Validations!$O$2:$O$100)), LOWER(REGEXEXTRACT(J268, ""\d{1,3}[dD]\d{1,3}\s+(\w+)"")))&gt;0, REGEXEXTRACT(J268, ""\d{1,3}[dD]\d{1,3}\s+(\w+)""), """")"),"cognitive")</f>
        <v>cognitive</v>
      </c>
      <c r="U268" s="17" t="str">
        <f>IFERROR(__xludf.DUMMYFUNCTION("IF(COUNTIF(ARRAYFORMULA(LOWER(Validations!$P$2:$P$100)), LOWER(REGEXEXTRACT(J268, ""\d{1,3}[dD]\d{1,3}\s+(\w+)"")))&gt;0, REGEXEXTRACT(J268, ""\d{1,3}[dD]\d{1,3}\s+(\w+)""), """")"),"")</f>
        <v/>
      </c>
      <c r="V268" s="12" t="str">
        <f>IFERROR(__xludf.DUMMYFUNCTION("TEXTJOIN("", "", TRUE, FILTER(Validations!$L$2:$L$100, ISNUMBER(SEARCH(Validations!$L$2:$L$100, J268))))"),"Frightened")</f>
        <v>Frightened</v>
      </c>
      <c r="W268" s="12" t="str">
        <f>IFERROR(__xludf.DUMMYFUNCTION("IFERROR(TEXTJOIN("", "", TRUE, FILTER(Validations!$M$2:$M$100, ISNUMBER(SEARCH(Validations!$M$2:$M$100 &amp; "" saving throw"", J268)))), """")"),"Wisdom")</f>
        <v>Wisdom</v>
      </c>
      <c r="X268" s="12"/>
      <c r="Y268" s="12"/>
      <c r="Z268" s="12" t="str">
        <f>IFERROR(__xludf.DUMMYFUNCTION("IFERROR(TEXTJOIN("", "", TRUE, FILTER(Validations!$N$2:$N$100, ISNUMBER(SEARCH(Validations!$N$2:$N$100 &amp; "" check"", J268)))), """")"),"")</f>
        <v/>
      </c>
      <c r="AA268" s="12" t="str">
        <f>IFERROR(__xludf.DUMMYFUNCTION("IFERROR(TEXTJOIN("", "", TRUE, FILTER(Validations!$N$2:$N$100, ISNUMBER(SEARCH(Validations!$N$2:$N$100 &amp; "" check"", W268)))), """")"),"")</f>
        <v/>
      </c>
      <c r="AB268" s="23" t="str">
        <f>IFERROR(__xludf.DUMMYFUNCTION("IFERROR(CONCATENATE(IF(ISNUMBER(SEARCH(Validations!$M$2:$M$100 &amp; "" spell save"", J268)),""Spell Save"",""""), REGEXEXTRACT(J268, ""DC (\d+)"")), """")"),"")</f>
        <v/>
      </c>
      <c r="AC268" s="24" t="b">
        <v>0</v>
      </c>
      <c r="AD268" s="24" t="b">
        <v>0</v>
      </c>
      <c r="AE268" s="12" t="s">
        <v>69</v>
      </c>
      <c r="AF268" s="25">
        <f>IFERROR(__xludf.DUMMYFUNCTION("IFERROR(VALUE(REGEXEXTRACT(AE268, ""\d+"")), 1)"),1.0)</f>
        <v>1</v>
      </c>
      <c r="AG268" s="12" t="str">
        <f>IFERROR(__xludf.DUMMYFUNCTION("IF(
  ISNUMBER(SEARCH(""Bonus Action"", AE268)),
  ""Bonus Action"",
  IF(
    ISNUMBER(SEARCH(""Reaction"", AE268)),
    ""Reaction"",
    IF(
      ISNUMBER(SEARCH(""Action"", AE268)),
      ""Action"",
      TEXTJOIN("", "", TRUE, FILTER(Validations!$S"&amp;"$2:$S$100, ISNUMBER(SEARCH(Validations!$S$2:$S$100, AE268))))
    )
  )
)"),"Action")</f>
        <v>Action</v>
      </c>
      <c r="AH268" s="12"/>
      <c r="AI268" s="26" t="s">
        <v>70</v>
      </c>
      <c r="AJ268" s="26" t="str">
        <f>IFERROR(__xludf.DUMMYFUNCTION("TEXTJOIN("", "", TRUE, FILTER(Validations!$T$2:$T$100, ISNUMBER(SEARCH(Validations!$T$2:$T$100, AI268))))"),"Instantaneous")</f>
        <v>Instantaneous</v>
      </c>
      <c r="AK268" s="26" t="str">
        <f>IFERROR(__xludf.DUMMYFUNCTION("IFERROR(VALUE(REGEXEXTRACT(AI268, ""\d+"")), """")"),"")</f>
        <v/>
      </c>
      <c r="AL268" s="26" t="str">
        <f>IFERROR(__xludf.DUMMYFUNCTION("TEXTJOIN("", "", TRUE, FILTER(Validations!$U$2:$U$100, ISNUMBER(SEARCH(Validations!$U$2:$U$100, AI268))))"),"")</f>
        <v/>
      </c>
      <c r="AM268" s="24" t="b">
        <f t="shared" si="1"/>
        <v>0</v>
      </c>
      <c r="AN268" s="24" t="b">
        <v>0</v>
      </c>
      <c r="AO268" s="12" t="s">
        <v>112</v>
      </c>
      <c r="AP268" s="12" t="str">
        <f>IFERROR(__xludf.DUMMYFUNCTION("IF(TEXTJOIN("", "", TRUE, FILTER(Validations!$Q$2:$Q$100, ISNUMBER(SEARCH(Validations!$Q$2:$Q$100, AO268)))) = """", Validations!$Q$2, TEXTJOIN("", "", TRUE, FILTER(Validations!$Q$2:$Q$100, ISNUMBER(SEARCH(Validations!$Q$2:$Q$100, AO268)))))"),"Point")</f>
        <v>Point</v>
      </c>
      <c r="AQ268" s="12">
        <f>IFERROR(__xludf.DUMMYFUNCTION("IFERROR(VALUE(REGEXEXTRACT(AO268, ""\d+"")), """")"),30.0)</f>
        <v>30</v>
      </c>
      <c r="AR268" s="12" t="str">
        <f>IFERROR(__xludf.DUMMYFUNCTION("TEXTJOIN("", "", TRUE, FILTER(Validations!$R$2:$R$100, ISNUMBER(SEARCH(Validations!$R$2:$R$100, AO268))))"),"Feet")</f>
        <v>Feet</v>
      </c>
      <c r="AS268" s="26" t="s">
        <v>1278</v>
      </c>
      <c r="AT268" s="12" t="str">
        <f>IFERROR(__xludf.DUMMYFUNCTION("IFERROR(TEXTJOIN("", "", TRUE, FILTER(Validations!$I$2:$I$100, ISNUMBER(SEARCH(Validations!$I$2:$I$100, AS268)))), """")"),"Cone")</f>
        <v>Cone</v>
      </c>
      <c r="AU268" s="16" t="str">
        <f t="array" ref="AU268">IFERROR(INDEX(Validations!$J$2:$J$100, MATCH(TRUE, ISNUMBER(SEARCH(Validations!$I$2:$I$100, AT268)), 0)), "")</f>
        <v>N</v>
      </c>
      <c r="AV268" s="12" t="str">
        <f>IFERROR(__xludf.DUMMYFUNCTION("IFERROR(VALUE(REGEXEXTRACT(AS268, ""\d+"")), """")"),"")</f>
        <v/>
      </c>
      <c r="AW268" s="12" t="str">
        <f>IFERROR(__xludf.DUMMYFUNCTION("IFERROR(TEXTJOIN("", "", TRUE, FILTER(Validations!$Q$2:$Q$100, ISNUMBER(SEARCH(Validations!$Q$2:$Q$100, AS268)))), """")"),"Cone")</f>
        <v>Cone</v>
      </c>
      <c r="AX268" s="36" t="s">
        <v>142</v>
      </c>
      <c r="AY268" s="28" t="str">
        <f>IFERROR(__xludf.DUMMYFUNCTION("TEXTJOIN("", "", TRUE, FILTER(Validations!$Y$2:$Y$100, ISNUMBER(SEARCH(Validations!$X$2:$X$100, AX268))))"),"V, S")</f>
        <v>V, S</v>
      </c>
      <c r="AZ268" s="26" t="s">
        <v>1279</v>
      </c>
      <c r="BA268" s="12"/>
      <c r="BB268" s="22"/>
      <c r="BC268" s="22"/>
      <c r="BD268" s="22"/>
      <c r="BE268" s="27"/>
      <c r="BF268" s="22" t="s">
        <v>897</v>
      </c>
      <c r="BG268" s="27"/>
      <c r="BH268" s="27"/>
      <c r="BI268" s="12" t="str">
        <f>IFERROR(__xludf.DUMMYFUNCTION("IFERROR(TEXTJOIN("", "", TRUE, FILTER(SRD!$A$2:$A$1000, EXACT(SRD!$A$2:$A$1000, J268))), """")"),"")</f>
        <v/>
      </c>
      <c r="BJ268" s="29"/>
      <c r="BK268" s="29"/>
    </row>
    <row r="269" ht="15.75" customHeight="1">
      <c r="A269" s="30" t="s">
        <v>1280</v>
      </c>
      <c r="B269" s="22"/>
      <c r="C269" s="16"/>
      <c r="D269" s="16" t="s">
        <v>302</v>
      </c>
      <c r="E269" s="16"/>
      <c r="F269" s="32" t="s">
        <v>1281</v>
      </c>
      <c r="G269" s="50" t="s">
        <v>1223</v>
      </c>
      <c r="H269" s="31" t="s">
        <v>85</v>
      </c>
      <c r="I269" s="16" t="str">
        <f t="array" ref="I269">INDEX(Validations!$C$2:$C$100, MATCH(TRUE, ISNUMBER(SEARCH(Validations!$B$2:$B$100, H269)), 0))</f>
        <v>T</v>
      </c>
      <c r="J269" s="17" t="s">
        <v>1282</v>
      </c>
      <c r="K269" s="18"/>
      <c r="L269" s="17"/>
      <c r="M269" s="17"/>
      <c r="N269" s="27"/>
      <c r="O269" s="17"/>
      <c r="P269" s="21"/>
      <c r="Q269" s="21"/>
      <c r="R269" s="22"/>
      <c r="S269" s="17" t="str">
        <f>IFERROR(__xludf.DUMMYFUNCTION("IFERROR(REGEXEXTRACT(J269, ""(\d{1,3}[dD]\d{1,3})""), """")"),"")</f>
        <v/>
      </c>
      <c r="T269" s="17" t="str">
        <f>IFERROR(__xludf.DUMMYFUNCTION("IF(COUNTIF(ARRAYFORMULA(LOWER(Validations!$O$2:$O$100)), LOWER(REGEXEXTRACT(J269, ""\d{1,3}[dD]\d{1,3}\s+(\w+)"")))&gt;0, REGEXEXTRACT(J269, ""\d{1,3}[dD]\d{1,3}\s+(\w+)""), """")"),"")</f>
        <v/>
      </c>
      <c r="U269" s="17" t="str">
        <f>IFERROR(__xludf.DUMMYFUNCTION("IF(COUNTIF(ARRAYFORMULA(LOWER(Validations!$P$2:$P$100)), LOWER(REGEXEXTRACT(J269, ""\d{1,3}[dD]\d{1,3}\s+(\w+)"")))&gt;0, REGEXEXTRACT(J269, ""\d{1,3}[dD]\d{1,3}\s+(\w+)""), """")"),"")</f>
        <v/>
      </c>
      <c r="V269" s="12" t="str">
        <f>IFERROR(__xludf.DUMMYFUNCTION("TEXTJOIN("", "", TRUE, FILTER(Validations!$L$2:$L$100, ISNUMBER(SEARCH(Validations!$L$2:$L$100, J269))))"),"Exhaustion")</f>
        <v>Exhaustion</v>
      </c>
      <c r="W269" s="12" t="str">
        <f>IFERROR(__xludf.DUMMYFUNCTION("IFERROR(TEXTJOIN("", "", TRUE, FILTER(Validations!$M$2:$M$100, ISNUMBER(SEARCH(Validations!$M$2:$M$100 &amp; "" saving throw"", J269)))), """")"),"")</f>
        <v/>
      </c>
      <c r="X269" s="12"/>
      <c r="Y269" s="12"/>
      <c r="Z269" s="12" t="str">
        <f>IFERROR(__xludf.DUMMYFUNCTION("IFERROR(TEXTJOIN("", "", TRUE, FILTER(Validations!$N$2:$N$100, ISNUMBER(SEARCH(Validations!$N$2:$N$100 &amp; "" check"", J269)))), """")"),"")</f>
        <v/>
      </c>
      <c r="AA269" s="12" t="str">
        <f>IFERROR(__xludf.DUMMYFUNCTION("IFERROR(TEXTJOIN("", "", TRUE, FILTER(Validations!$N$2:$N$100, ISNUMBER(SEARCH(Validations!$N$2:$N$100 &amp; "" check"", W269)))), """")"),"")</f>
        <v/>
      </c>
      <c r="AB269" s="23" t="str">
        <f>IFERROR(__xludf.DUMMYFUNCTION("IFERROR(CONCATENATE(IF(ISNUMBER(SEARCH(Validations!$M$2:$M$100 &amp; "" spell save"", J269)),""Spell Save"",""""), REGEXEXTRACT(J269, ""DC (\d+)"")), """")"),"")</f>
        <v/>
      </c>
      <c r="AC269" s="24" t="b">
        <v>0</v>
      </c>
      <c r="AD269" s="24" t="b">
        <v>0</v>
      </c>
      <c r="AE269" s="36" t="s">
        <v>69</v>
      </c>
      <c r="AF269" s="25">
        <f>IFERROR(__xludf.DUMMYFUNCTION("IFERROR(VALUE(REGEXEXTRACT(AE269, ""\d+"")), 1)"),1.0)</f>
        <v>1</v>
      </c>
      <c r="AG269" s="12" t="str">
        <f>IFERROR(__xludf.DUMMYFUNCTION("IF(
  ISNUMBER(SEARCH(""Bonus Action"", AE269)),
  ""Bonus Action"",
  IF(
    ISNUMBER(SEARCH(""Reaction"", AE269)),
    ""Reaction"",
    IF(
      ISNUMBER(SEARCH(""Action"", AE269)),
      ""Action"",
      TEXTJOIN("", "", TRUE, FILTER(Validations!$S"&amp;"$2:$S$100, ISNUMBER(SEARCH(Validations!$S$2:$S$100, AE269))))
    )
  )
)"),"Action")</f>
        <v>Action</v>
      </c>
      <c r="AH269" s="36"/>
      <c r="AI269" s="20" t="s">
        <v>296</v>
      </c>
      <c r="AJ269" s="26" t="str">
        <f>IFERROR(__xludf.DUMMYFUNCTION("TEXTJOIN("", "", TRUE, FILTER(Validations!$T$2:$T$100, ISNUMBER(SEARCH(Validations!$T$2:$T$100, AI269))))"),"")</f>
        <v/>
      </c>
      <c r="AK269" s="26">
        <f>IFERROR(__xludf.DUMMYFUNCTION("IFERROR(VALUE(REGEXEXTRACT(AI269, ""\d+"")), """")"),1.0)</f>
        <v>1</v>
      </c>
      <c r="AL269" s="26" t="str">
        <f>IFERROR(__xludf.DUMMYFUNCTION("TEXTJOIN("", "", TRUE, FILTER(Validations!$U$2:$U$100, ISNUMBER(SEARCH(Validations!$U$2:$U$100, AI269))))"),"Hours")</f>
        <v>Hours</v>
      </c>
      <c r="AM269" s="24" t="b">
        <f t="shared" si="1"/>
        <v>0</v>
      </c>
      <c r="AN269" s="24" t="b">
        <v>1</v>
      </c>
      <c r="AO269" s="22" t="s">
        <v>71</v>
      </c>
      <c r="AP269" s="12" t="str">
        <f>IFERROR(__xludf.DUMMYFUNCTION("IF(TEXTJOIN("", "", TRUE, FILTER(Validations!$Q$2:$Q$100, ISNUMBER(SEARCH(Validations!$Q$2:$Q$100, AO269)))) = """", Validations!$Q$2, TEXTJOIN("", "", TRUE, FILTER(Validations!$Q$2:$Q$100, ISNUMBER(SEARCH(Validations!$Q$2:$Q$100, AO269)))))"),"Point")</f>
        <v>Point</v>
      </c>
      <c r="AQ269" s="12" t="str">
        <f>IFERROR(__xludf.DUMMYFUNCTION("IFERROR(VALUE(REGEXEXTRACT(AO269, ""\d+"")), """")"),"")</f>
        <v/>
      </c>
      <c r="AR269" s="12" t="str">
        <f>IFERROR(__xludf.DUMMYFUNCTION("TEXTJOIN("", "", TRUE, FILTER(Validations!$R$2:$R$100, ISNUMBER(SEARCH(Validations!$R$2:$R$100, AO269))))"),"Touch")</f>
        <v>Touch</v>
      </c>
      <c r="AS269" s="27"/>
      <c r="AT269" s="12" t="str">
        <f>IFERROR(__xludf.DUMMYFUNCTION("IFERROR(TEXTJOIN("", "", TRUE, FILTER(Validations!$I$2:$I$100, ISNUMBER(SEARCH(Validations!$I$2:$I$100, AS269)))), """")"),"")</f>
        <v/>
      </c>
      <c r="AU269" s="16" t="str">
        <f t="array" ref="AU269">IFERROR(INDEX(Validations!$J$2:$J$100, MATCH(TRUE, ISNUMBER(SEARCH(Validations!$I$2:$I$100, AT269)), 0)), "")</f>
        <v/>
      </c>
      <c r="AV269" s="12" t="str">
        <f>IFERROR(__xludf.DUMMYFUNCTION("IFERROR(VALUE(REGEXEXTRACT(AS269, ""\d+"")), """")"),"")</f>
        <v/>
      </c>
      <c r="AW269" s="12" t="str">
        <f>IFERROR(__xludf.DUMMYFUNCTION("IFERROR(TEXTJOIN("", "", TRUE, FILTER(Validations!$Q$2:$Q$100, ISNUMBER(SEARCH(Validations!$Q$2:$Q$100, AS269)))), """")"),"")</f>
        <v/>
      </c>
      <c r="AX269" s="28" t="s">
        <v>152</v>
      </c>
      <c r="AY269" s="28" t="str">
        <f>IFERROR(__xludf.DUMMYFUNCTION("TEXTJOIN("", "", TRUE, FILTER(Validations!$Y$2:$Y$100, ISNUMBER(SEARCH(Validations!$X$2:$X$100, AX269))))"),"V, S, R")</f>
        <v>V, S, R</v>
      </c>
      <c r="AZ269" s="20" t="s">
        <v>1283</v>
      </c>
      <c r="BA269" s="22"/>
      <c r="BB269" s="22"/>
      <c r="BC269" s="22"/>
      <c r="BD269" s="22"/>
      <c r="BE269" s="27"/>
      <c r="BF269" s="22"/>
      <c r="BG269" s="27"/>
      <c r="BH269" s="27"/>
      <c r="BI269" s="12" t="str">
        <f>IFERROR(__xludf.DUMMYFUNCTION("IFERROR(TEXTJOIN("", "", TRUE, FILTER(SRD!$A$2:$A$1000, EXACT(SRD!$A$2:$A$1000, J269))), """")"),"")</f>
        <v/>
      </c>
      <c r="BJ269" s="29"/>
      <c r="BK269" s="29"/>
    </row>
    <row r="270" ht="15.75" customHeight="1">
      <c r="A270" s="30" t="s">
        <v>1284</v>
      </c>
      <c r="B270" s="22"/>
      <c r="C270" s="31"/>
      <c r="D270" s="31" t="s">
        <v>74</v>
      </c>
      <c r="E270" s="31"/>
      <c r="F270" s="32" t="s">
        <v>844</v>
      </c>
      <c r="G270" s="50" t="s">
        <v>1223</v>
      </c>
      <c r="H270" s="31" t="s">
        <v>178</v>
      </c>
      <c r="I270" s="16" t="str">
        <f t="array" ref="I270">INDEX(Validations!$C$2:$C$100, MATCH(TRUE, ISNUMBER(SEARCH(Validations!$B$2:$B$100, H270)), 0))</f>
        <v>A</v>
      </c>
      <c r="J270" s="17" t="s">
        <v>1285</v>
      </c>
      <c r="K270" s="18"/>
      <c r="L270" s="17"/>
      <c r="M270" s="17"/>
      <c r="N270" s="27"/>
      <c r="O270" s="17"/>
      <c r="P270" s="21"/>
      <c r="Q270" s="21"/>
      <c r="R270" s="36" t="s">
        <v>1286</v>
      </c>
      <c r="S270" s="17" t="str">
        <f>IFERROR(__xludf.DUMMYFUNCTION("IFERROR(REGEXEXTRACT(J270, ""(\d{1,3}[dD]\d{1,3})""), """")"),"")</f>
        <v/>
      </c>
      <c r="T270" s="17" t="str">
        <f>IFERROR(__xludf.DUMMYFUNCTION("IF(COUNTIF(ARRAYFORMULA(LOWER(Validations!$O$2:$O$100)), LOWER(REGEXEXTRACT(J270, ""\d{1,3}[dD]\d{1,3}\s+(\w+)"")))&gt;0, REGEXEXTRACT(J270, ""\d{1,3}[dD]\d{1,3}\s+(\w+)""), """")"),"")</f>
        <v/>
      </c>
      <c r="U270" s="17" t="str">
        <f>IFERROR(__xludf.DUMMYFUNCTION("IF(COUNTIF(ARRAYFORMULA(LOWER(Validations!$P$2:$P$100)), LOWER(REGEXEXTRACT(J270, ""\d{1,3}[dD]\d{1,3}\s+(\w+)"")))&gt;0, REGEXEXTRACT(J270, ""\d{1,3}[dD]\d{1,3}\s+(\w+)""), """")"),"")</f>
        <v/>
      </c>
      <c r="V270" s="12" t="str">
        <f>IFERROR(__xludf.DUMMYFUNCTION("TEXTJOIN("", "", TRUE, FILTER(Validations!$L$2:$L$100, ISNUMBER(SEARCH(Validations!$L$2:$L$100, J270))))"),"")</f>
        <v/>
      </c>
      <c r="W270" s="12" t="str">
        <f>IFERROR(__xludf.DUMMYFUNCTION("IFERROR(TEXTJOIN("", "", TRUE, FILTER(Validations!$M$2:$M$100, ISNUMBER(SEARCH(Validations!$M$2:$M$100 &amp; "" saving throw"", J270)))), """")"),"Wisdom")</f>
        <v>Wisdom</v>
      </c>
      <c r="X270" s="12"/>
      <c r="Y270" s="12"/>
      <c r="Z270" s="12" t="str">
        <f>IFERROR(__xludf.DUMMYFUNCTION("IFERROR(TEXTJOIN("", "", TRUE, FILTER(Validations!$N$2:$N$100, ISNUMBER(SEARCH(Validations!$N$2:$N$100 &amp; "" check"", J270)))), """")"),"")</f>
        <v/>
      </c>
      <c r="AA270" s="12" t="str">
        <f>IFERROR(__xludf.DUMMYFUNCTION("IFERROR(TEXTJOIN("", "", TRUE, FILTER(Validations!$N$2:$N$100, ISNUMBER(SEARCH(Validations!$N$2:$N$100 &amp; "" check"", W270)))), """")"),"")</f>
        <v/>
      </c>
      <c r="AB270" s="23" t="str">
        <f>IFERROR(__xludf.DUMMYFUNCTION("IFERROR(CONCATENATE(IF(ISNUMBER(SEARCH(Validations!$M$2:$M$100 &amp; "" spell save"", J270)),""Spell Save"",""""), REGEXEXTRACT(J270, ""DC (\d+)"")), """")"),"")</f>
        <v/>
      </c>
      <c r="AC270" s="24" t="b">
        <v>0</v>
      </c>
      <c r="AD270" s="24" t="b">
        <v>0</v>
      </c>
      <c r="AE270" s="36" t="s">
        <v>69</v>
      </c>
      <c r="AF270" s="25">
        <f>IFERROR(__xludf.DUMMYFUNCTION("IFERROR(VALUE(REGEXEXTRACT(AE270, ""\d+"")), 1)"),1.0)</f>
        <v>1</v>
      </c>
      <c r="AG270" s="12" t="str">
        <f>IFERROR(__xludf.DUMMYFUNCTION("IF(
  ISNUMBER(SEARCH(""Bonus Action"", AE270)),
  ""Bonus Action"",
  IF(
    ISNUMBER(SEARCH(""Reaction"", AE270)),
    ""Reaction"",
    IF(
      ISNUMBER(SEARCH(""Action"", AE270)),
      ""Action"",
      TEXTJOIN("", "", TRUE, FILTER(Validations!$S"&amp;"$2:$S$100, ISNUMBER(SEARCH(Validations!$S$2:$S$100, AE270))))
    )
  )
)"),"Action")</f>
        <v>Action</v>
      </c>
      <c r="AH270" s="36"/>
      <c r="AI270" s="27" t="s">
        <v>1019</v>
      </c>
      <c r="AJ270" s="26" t="str">
        <f>IFERROR(__xludf.DUMMYFUNCTION("TEXTJOIN("", "", TRUE, FILTER(Validations!$T$2:$T$100, ISNUMBER(SEARCH(Validations!$T$2:$T$100, AI270))))"),"")</f>
        <v/>
      </c>
      <c r="AK270" s="26" t="str">
        <f>IFERROR(__xludf.DUMMYFUNCTION("IFERROR(VALUE(REGEXEXTRACT(AI270, ""\d+"")), """")"),"")</f>
        <v/>
      </c>
      <c r="AL270" s="26" t="str">
        <f>IFERROR(__xludf.DUMMYFUNCTION("TEXTJOIN("", "", TRUE, FILTER(Validations!$U$2:$U$100, ISNUMBER(SEARCH(Validations!$U$2:$U$100, AI270))))"),"")</f>
        <v/>
      </c>
      <c r="AM270" s="24" t="b">
        <f t="shared" si="1"/>
        <v>0</v>
      </c>
      <c r="AN270" s="24" t="b">
        <v>0</v>
      </c>
      <c r="AO270" s="22" t="s">
        <v>71</v>
      </c>
      <c r="AP270" s="12" t="str">
        <f>IFERROR(__xludf.DUMMYFUNCTION("IF(TEXTJOIN("", "", TRUE, FILTER(Validations!$Q$2:$Q$100, ISNUMBER(SEARCH(Validations!$Q$2:$Q$100, AO270)))) = """", Validations!$Q$2, TEXTJOIN("", "", TRUE, FILTER(Validations!$Q$2:$Q$100, ISNUMBER(SEARCH(Validations!$Q$2:$Q$100, AO270)))))"),"Point")</f>
        <v>Point</v>
      </c>
      <c r="AQ270" s="12" t="str">
        <f>IFERROR(__xludf.DUMMYFUNCTION("IFERROR(VALUE(REGEXEXTRACT(AO270, ""\d+"")), """")"),"")</f>
        <v/>
      </c>
      <c r="AR270" s="12" t="str">
        <f>IFERROR(__xludf.DUMMYFUNCTION("TEXTJOIN("", "", TRUE, FILTER(Validations!$R$2:$R$100, ISNUMBER(SEARCH(Validations!$R$2:$R$100, AO270))))"),"Touch")</f>
        <v>Touch</v>
      </c>
      <c r="AS270" s="27"/>
      <c r="AT270" s="12" t="str">
        <f>IFERROR(__xludf.DUMMYFUNCTION("IFERROR(TEXTJOIN("", "", TRUE, FILTER(Validations!$I$2:$I$100, ISNUMBER(SEARCH(Validations!$I$2:$I$100, AS270)))), """")"),"")</f>
        <v/>
      </c>
      <c r="AU270" s="16" t="str">
        <f t="array" ref="AU270">IFERROR(INDEX(Validations!$J$2:$J$100, MATCH(TRUE, ISNUMBER(SEARCH(Validations!$I$2:$I$100, AT270)), 0)), "")</f>
        <v/>
      </c>
      <c r="AV270" s="12" t="str">
        <f>IFERROR(__xludf.DUMMYFUNCTION("IFERROR(VALUE(REGEXEXTRACT(AS270, ""\d+"")), """")"),"")</f>
        <v/>
      </c>
      <c r="AW270" s="12" t="str">
        <f>IFERROR(__xludf.DUMMYFUNCTION("IFERROR(TEXTJOIN("", "", TRUE, FILTER(Validations!$Q$2:$Q$100, ISNUMBER(SEARCH(Validations!$Q$2:$Q$100, AS270)))), """")"),"")</f>
        <v/>
      </c>
      <c r="AX270" s="28" t="s">
        <v>152</v>
      </c>
      <c r="AY270" s="28" t="str">
        <f>IFERROR(__xludf.DUMMYFUNCTION("TEXTJOIN("", "", TRUE, FILTER(Validations!$Y$2:$Y$100, ISNUMBER(SEARCH(Validations!$X$2:$X$100, AX270))))"),"V, S, R")</f>
        <v>V, S, R</v>
      </c>
      <c r="AZ270" s="20" t="s">
        <v>1287</v>
      </c>
      <c r="BA270" s="22"/>
      <c r="BB270" s="22"/>
      <c r="BC270" s="22"/>
      <c r="BD270" s="22" t="s">
        <v>1288</v>
      </c>
      <c r="BE270" s="27"/>
      <c r="BF270" s="22"/>
      <c r="BG270" s="27"/>
      <c r="BH270" s="27"/>
      <c r="BI270" s="12" t="str">
        <f>IFERROR(__xludf.DUMMYFUNCTION("IFERROR(TEXTJOIN("", "", TRUE, FILTER(SRD!$A$2:$A$1000, EXACT(SRD!$A$2:$A$1000, J270))), """")"),"")</f>
        <v/>
      </c>
      <c r="BJ270" s="29"/>
      <c r="BK270" s="29"/>
    </row>
    <row r="271" ht="15.75" customHeight="1">
      <c r="A271" s="30" t="s">
        <v>1289</v>
      </c>
      <c r="B271" s="22"/>
      <c r="C271" s="16"/>
      <c r="D271" s="16" t="s">
        <v>302</v>
      </c>
      <c r="E271" s="16"/>
      <c r="F271" s="32" t="s">
        <v>123</v>
      </c>
      <c r="G271" s="50" t="s">
        <v>1223</v>
      </c>
      <c r="H271" s="31" t="s">
        <v>183</v>
      </c>
      <c r="I271" s="16" t="str">
        <f t="array" ref="I271">INDEX(Validations!$C$2:$C$100, MATCH(TRUE, ISNUMBER(SEARCH(Validations!$B$2:$B$100, H271)), 0))</f>
        <v>E</v>
      </c>
      <c r="J271" s="17" t="s">
        <v>1290</v>
      </c>
      <c r="K271" s="18"/>
      <c r="L271" s="17"/>
      <c r="M271" s="17"/>
      <c r="N271" s="27"/>
      <c r="O271" s="17" t="s">
        <v>1291</v>
      </c>
      <c r="P271" s="21"/>
      <c r="Q271" s="21"/>
      <c r="R271" s="22"/>
      <c r="S271" s="17" t="str">
        <f>IFERROR(__xludf.DUMMYFUNCTION("IFERROR(REGEXEXTRACT(J271, ""(\d{1,3}[dD]\d{1,3})""), """")"),"")</f>
        <v/>
      </c>
      <c r="T271" s="17" t="str">
        <f>IFERROR(__xludf.DUMMYFUNCTION("IF(COUNTIF(ARRAYFORMULA(LOWER(Validations!$O$2:$O$100)), LOWER(REGEXEXTRACT(J271, ""\d{1,3}[dD]\d{1,3}\s+(\w+)"")))&gt;0, REGEXEXTRACT(J271, ""\d{1,3}[dD]\d{1,3}\s+(\w+)""), """")"),"")</f>
        <v/>
      </c>
      <c r="U271" s="17" t="str">
        <f>IFERROR(__xludf.DUMMYFUNCTION("IF(COUNTIF(ARRAYFORMULA(LOWER(Validations!$P$2:$P$100)), LOWER(REGEXEXTRACT(J271, ""\d{1,3}[dD]\d{1,3}\s+(\w+)"")))&gt;0, REGEXEXTRACT(J271, ""\d{1,3}[dD]\d{1,3}\s+(\w+)""), """")"),"")</f>
        <v/>
      </c>
      <c r="V271" s="12" t="str">
        <f>IFERROR(__xludf.DUMMYFUNCTION("TEXTJOIN("", "", TRUE, FILTER(Validations!$L$2:$L$100, ISNUMBER(SEARCH(Validations!$L$2:$L$100, J271))))"),"Paranoid")</f>
        <v>Paranoid</v>
      </c>
      <c r="W271" s="12" t="str">
        <f>IFERROR(__xludf.DUMMYFUNCTION("IFERROR(TEXTJOIN("", "", TRUE, FILTER(Validations!$M$2:$M$100, ISNUMBER(SEARCH(Validations!$M$2:$M$100 &amp; "" saving throw"", J271)))), """")"),"Wisdom")</f>
        <v>Wisdom</v>
      </c>
      <c r="X271" s="12"/>
      <c r="Y271" s="12"/>
      <c r="Z271" s="12" t="str">
        <f>IFERROR(__xludf.DUMMYFUNCTION("IFERROR(TEXTJOIN("", "", TRUE, FILTER(Validations!$N$2:$N$100, ISNUMBER(SEARCH(Validations!$N$2:$N$100 &amp; "" check"", J271)))), """")"),"")</f>
        <v/>
      </c>
      <c r="AA271" s="12" t="str">
        <f>IFERROR(__xludf.DUMMYFUNCTION("IFERROR(TEXTJOIN("", "", TRUE, FILTER(Validations!$N$2:$N$100, ISNUMBER(SEARCH(Validations!$N$2:$N$100 &amp; "" check"", W271)))), """")"),"")</f>
        <v/>
      </c>
      <c r="AB271" s="23" t="str">
        <f>IFERROR(__xludf.DUMMYFUNCTION("IFERROR(CONCATENATE(IF(ISNUMBER(SEARCH(Validations!$M$2:$M$100 &amp; "" spell save"", J271)),""Spell Save"",""""), REGEXEXTRACT(J271, ""DC (\d+)"")), """")"),"")</f>
        <v/>
      </c>
      <c r="AC271" s="24" t="b">
        <v>0</v>
      </c>
      <c r="AD271" s="24" t="b">
        <v>0</v>
      </c>
      <c r="AE271" s="36" t="s">
        <v>69</v>
      </c>
      <c r="AF271" s="25">
        <f>IFERROR(__xludf.DUMMYFUNCTION("IFERROR(VALUE(REGEXEXTRACT(AE271, ""\d+"")), 1)"),1.0)</f>
        <v>1</v>
      </c>
      <c r="AG271" s="12" t="str">
        <f>IFERROR(__xludf.DUMMYFUNCTION("IF(
  ISNUMBER(SEARCH(""Bonus Action"", AE271)),
  ""Bonus Action"",
  IF(
    ISNUMBER(SEARCH(""Reaction"", AE271)),
    ""Reaction"",
    IF(
      ISNUMBER(SEARCH(""Action"", AE271)),
      ""Action"",
      TEXTJOIN("", "", TRUE, FILTER(Validations!$S"&amp;"$2:$S$100, ISNUMBER(SEARCH(Validations!$S$2:$S$100, AE271))))
    )
  )
)"),"Action")</f>
        <v>Action</v>
      </c>
      <c r="AH271" s="36"/>
      <c r="AI271" s="20" t="s">
        <v>296</v>
      </c>
      <c r="AJ271" s="26" t="str">
        <f>IFERROR(__xludf.DUMMYFUNCTION("TEXTJOIN("", "", TRUE, FILTER(Validations!$T$2:$T$100, ISNUMBER(SEARCH(Validations!$T$2:$T$100, AI271))))"),"")</f>
        <v/>
      </c>
      <c r="AK271" s="26">
        <f>IFERROR(__xludf.DUMMYFUNCTION("IFERROR(VALUE(REGEXEXTRACT(AI271, ""\d+"")), """")"),1.0)</f>
        <v>1</v>
      </c>
      <c r="AL271" s="26" t="str">
        <f>IFERROR(__xludf.DUMMYFUNCTION("TEXTJOIN("", "", TRUE, FILTER(Validations!$U$2:$U$100, ISNUMBER(SEARCH(Validations!$U$2:$U$100, AI271))))"),"Hours")</f>
        <v>Hours</v>
      </c>
      <c r="AM271" s="24" t="b">
        <f t="shared" si="1"/>
        <v>0</v>
      </c>
      <c r="AN271" s="24" t="b">
        <v>0</v>
      </c>
      <c r="AO271" s="22" t="s">
        <v>112</v>
      </c>
      <c r="AP271" s="12" t="str">
        <f>IFERROR(__xludf.DUMMYFUNCTION("IF(TEXTJOIN("", "", TRUE, FILTER(Validations!$Q$2:$Q$100, ISNUMBER(SEARCH(Validations!$Q$2:$Q$100, AO271)))) = """", Validations!$Q$2, TEXTJOIN("", "", TRUE, FILTER(Validations!$Q$2:$Q$100, ISNUMBER(SEARCH(Validations!$Q$2:$Q$100, AO271)))))"),"Point")</f>
        <v>Point</v>
      </c>
      <c r="AQ271" s="12">
        <f>IFERROR(__xludf.DUMMYFUNCTION("IFERROR(VALUE(REGEXEXTRACT(AO271, ""\d+"")), """")"),30.0)</f>
        <v>30</v>
      </c>
      <c r="AR271" s="12" t="str">
        <f>IFERROR(__xludf.DUMMYFUNCTION("TEXTJOIN("", "", TRUE, FILTER(Validations!$R$2:$R$100, ISNUMBER(SEARCH(Validations!$R$2:$R$100, AO271))))"),"Feet")</f>
        <v>Feet</v>
      </c>
      <c r="AS271" s="27"/>
      <c r="AT271" s="12" t="str">
        <f>IFERROR(__xludf.DUMMYFUNCTION("IFERROR(TEXTJOIN("", "", TRUE, FILTER(Validations!$I$2:$I$100, ISNUMBER(SEARCH(Validations!$I$2:$I$100, AS271)))), """")"),"")</f>
        <v/>
      </c>
      <c r="AU271" s="16" t="str">
        <f t="array" ref="AU271">IFERROR(INDEX(Validations!$J$2:$J$100, MATCH(TRUE, ISNUMBER(SEARCH(Validations!$I$2:$I$100, AT271)), 0)), "")</f>
        <v/>
      </c>
      <c r="AV271" s="12" t="str">
        <f>IFERROR(__xludf.DUMMYFUNCTION("IFERROR(VALUE(REGEXEXTRACT(AS271, ""\d+"")), """")"),"")</f>
        <v/>
      </c>
      <c r="AW271" s="12" t="str">
        <f>IFERROR(__xludf.DUMMYFUNCTION("IFERROR(TEXTJOIN("", "", TRUE, FILTER(Validations!$Q$2:$Q$100, ISNUMBER(SEARCH(Validations!$Q$2:$Q$100, AS271)))), """")"),"")</f>
        <v/>
      </c>
      <c r="AX271" s="28" t="s">
        <v>152</v>
      </c>
      <c r="AY271" s="28" t="str">
        <f>IFERROR(__xludf.DUMMYFUNCTION("TEXTJOIN("", "", TRUE, FILTER(Validations!$Y$2:$Y$100, ISNUMBER(SEARCH(Validations!$X$2:$X$100, AX271))))"),"V, S, R")</f>
        <v>V, S, R</v>
      </c>
      <c r="AZ271" s="20" t="s">
        <v>1292</v>
      </c>
      <c r="BA271" s="22"/>
      <c r="BB271" s="22"/>
      <c r="BC271" s="22"/>
      <c r="BD271" s="22"/>
      <c r="BE271" s="27"/>
      <c r="BF271" s="22"/>
      <c r="BG271" s="27"/>
      <c r="BH271" s="27"/>
      <c r="BI271" s="12" t="str">
        <f>IFERROR(__xludf.DUMMYFUNCTION("IFERROR(TEXTJOIN("", "", TRUE, FILTER(SRD!$A$2:$A$1000, EXACT(SRD!$A$2:$A$1000, J271))), """")"),"")</f>
        <v/>
      </c>
      <c r="BJ271" s="29"/>
      <c r="BK271" s="29"/>
    </row>
    <row r="272" ht="15.75" customHeight="1">
      <c r="A272" s="30" t="s">
        <v>1293</v>
      </c>
      <c r="B272" s="22"/>
      <c r="C272" s="16"/>
      <c r="D272" s="16" t="s">
        <v>1294</v>
      </c>
      <c r="E272" s="16"/>
      <c r="F272" s="32" t="s">
        <v>108</v>
      </c>
      <c r="G272" s="50" t="s">
        <v>1223</v>
      </c>
      <c r="H272" s="31" t="s">
        <v>178</v>
      </c>
      <c r="I272" s="16" t="str">
        <f t="array" ref="I272">INDEX(Validations!$C$2:$C$100, MATCH(TRUE, ISNUMBER(SEARCH(Validations!$B$2:$B$100, H272)), 0))</f>
        <v>A</v>
      </c>
      <c r="J272" s="17" t="s">
        <v>1295</v>
      </c>
      <c r="K272" s="18"/>
      <c r="L272" s="17"/>
      <c r="M272" s="17"/>
      <c r="N272" s="27"/>
      <c r="O272" s="17"/>
      <c r="P272" s="21"/>
      <c r="Q272" s="21"/>
      <c r="R272" s="22"/>
      <c r="S272" s="17" t="str">
        <f>IFERROR(__xludf.DUMMYFUNCTION("IFERROR(REGEXEXTRACT(J272, ""(\d{1,3}[dD]\d{1,3})""), """")"),"4d8")</f>
        <v>4d8</v>
      </c>
      <c r="T272" s="17" t="str">
        <f>IFERROR(__xludf.DUMMYFUNCTION("IF(COUNTIF(ARRAYFORMULA(LOWER(Validations!$O$2:$O$100)), LOWER(REGEXEXTRACT(J272, ""\d{1,3}[dD]\d{1,3}\s+(\w+)"")))&gt;0, REGEXEXTRACT(J272, ""\d{1,3}[dD]\d{1,3}\s+(\w+)""), """")"),"")</f>
        <v/>
      </c>
      <c r="U272" s="17" t="str">
        <f>IFERROR(__xludf.DUMMYFUNCTION("IF(COUNTIF(ARRAYFORMULA(LOWER(Validations!$P$2:$P$100)), LOWER(REGEXEXTRACT(J272, ""\d{1,3}[dD]\d{1,3}\s+(\w+)"")))&gt;0, REGEXEXTRACT(J272, ""\d{1,3}[dD]\d{1,3}\s+(\w+)""), """")"),"")</f>
        <v/>
      </c>
      <c r="V272" s="12" t="str">
        <f>IFERROR(__xludf.DUMMYFUNCTION("TEXTJOIN("", "", TRUE, FILTER(Validations!$L$2:$L$100, ISNUMBER(SEARCH(Validations!$L$2:$L$100, J272))))"),"Unconscious, Exhaustion")</f>
        <v>Unconscious, Exhaustion</v>
      </c>
      <c r="W272" s="12" t="str">
        <f>IFERROR(__xludf.DUMMYFUNCTION("IFERROR(TEXTJOIN("", "", TRUE, FILTER(Validations!$M$2:$M$100, ISNUMBER(SEARCH(Validations!$M$2:$M$100 &amp; "" saving throw"", J272)))), """")"),"")</f>
        <v/>
      </c>
      <c r="X272" s="12"/>
      <c r="Y272" s="12"/>
      <c r="Z272" s="12" t="str">
        <f>IFERROR(__xludf.DUMMYFUNCTION("IFERROR(TEXTJOIN("", "", TRUE, FILTER(Validations!$N$2:$N$100, ISNUMBER(SEARCH(Validations!$N$2:$N$100 &amp; "" check"", J272)))), """")"),"")</f>
        <v/>
      </c>
      <c r="AA272" s="12" t="str">
        <f>IFERROR(__xludf.DUMMYFUNCTION("IFERROR(TEXTJOIN("", "", TRUE, FILTER(Validations!$N$2:$N$100, ISNUMBER(SEARCH(Validations!$N$2:$N$100 &amp; "" check"", W272)))), """")"),"")</f>
        <v/>
      </c>
      <c r="AB272" s="23" t="str">
        <f>IFERROR(__xludf.DUMMYFUNCTION("IFERROR(CONCATENATE(IF(ISNUMBER(SEARCH(Validations!$M$2:$M$100 &amp; "" spell save"", J272)),""Spell Save"",""""), REGEXEXTRACT(J272, ""DC (\d+)"")), """")"),"")</f>
        <v/>
      </c>
      <c r="AC272" s="24" t="b">
        <v>0</v>
      </c>
      <c r="AD272" s="24" t="b">
        <v>0</v>
      </c>
      <c r="AE272" s="36" t="s">
        <v>69</v>
      </c>
      <c r="AF272" s="25">
        <f>IFERROR(__xludf.DUMMYFUNCTION("IFERROR(VALUE(REGEXEXTRACT(AE272, ""\d+"")), 1)"),1.0)</f>
        <v>1</v>
      </c>
      <c r="AG272" s="12" t="str">
        <f>IFERROR(__xludf.DUMMYFUNCTION("IF(
  ISNUMBER(SEARCH(""Bonus Action"", AE272)),
  ""Bonus Action"",
  IF(
    ISNUMBER(SEARCH(""Reaction"", AE272)),
    ""Reaction"",
    IF(
      ISNUMBER(SEARCH(""Action"", AE272)),
      ""Action"",
      TEXTJOIN("", "", TRUE, FILTER(Validations!$S"&amp;"$2:$S$100, ISNUMBER(SEARCH(Validations!$S$2:$S$100, AE272))))
    )
  )
)"),"Action")</f>
        <v>Action</v>
      </c>
      <c r="AH272" s="36"/>
      <c r="AI272" s="27" t="s">
        <v>70</v>
      </c>
      <c r="AJ272" s="26" t="str">
        <f>IFERROR(__xludf.DUMMYFUNCTION("TEXTJOIN("", "", TRUE, FILTER(Validations!$T$2:$T$100, ISNUMBER(SEARCH(Validations!$T$2:$T$100, AI272))))"),"Instantaneous")</f>
        <v>Instantaneous</v>
      </c>
      <c r="AK272" s="26" t="str">
        <f>IFERROR(__xludf.DUMMYFUNCTION("IFERROR(VALUE(REGEXEXTRACT(AI272, ""\d+"")), """")"),"")</f>
        <v/>
      </c>
      <c r="AL272" s="26" t="str">
        <f>IFERROR(__xludf.DUMMYFUNCTION("TEXTJOIN("", "", TRUE, FILTER(Validations!$U$2:$U$100, ISNUMBER(SEARCH(Validations!$U$2:$U$100, AI272))))"),"")</f>
        <v/>
      </c>
      <c r="AM272" s="24" t="b">
        <f t="shared" si="1"/>
        <v>0</v>
      </c>
      <c r="AN272" s="24" t="b">
        <v>0</v>
      </c>
      <c r="AO272" s="22" t="s">
        <v>71</v>
      </c>
      <c r="AP272" s="12" t="str">
        <f>IFERROR(__xludf.DUMMYFUNCTION("IF(TEXTJOIN("", "", TRUE, FILTER(Validations!$Q$2:$Q$100, ISNUMBER(SEARCH(Validations!$Q$2:$Q$100, AO272)))) = """", Validations!$Q$2, TEXTJOIN("", "", TRUE, FILTER(Validations!$Q$2:$Q$100, ISNUMBER(SEARCH(Validations!$Q$2:$Q$100, AO272)))))"),"Point")</f>
        <v>Point</v>
      </c>
      <c r="AQ272" s="12" t="str">
        <f>IFERROR(__xludf.DUMMYFUNCTION("IFERROR(VALUE(REGEXEXTRACT(AO272, ""\d+"")), """")"),"")</f>
        <v/>
      </c>
      <c r="AR272" s="12" t="str">
        <f>IFERROR(__xludf.DUMMYFUNCTION("TEXTJOIN("", "", TRUE, FILTER(Validations!$R$2:$R$100, ISNUMBER(SEARCH(Validations!$R$2:$R$100, AO272))))"),"Touch")</f>
        <v>Touch</v>
      </c>
      <c r="AS272" s="27"/>
      <c r="AT272" s="12" t="str">
        <f>IFERROR(__xludf.DUMMYFUNCTION("IFERROR(TEXTJOIN("", "", TRUE, FILTER(Validations!$I$2:$I$100, ISNUMBER(SEARCH(Validations!$I$2:$I$100, AS272)))), """")"),"")</f>
        <v/>
      </c>
      <c r="AU272" s="16" t="str">
        <f t="array" ref="AU272">IFERROR(INDEX(Validations!$J$2:$J$100, MATCH(TRUE, ISNUMBER(SEARCH(Validations!$I$2:$I$100, AT272)), 0)), "")</f>
        <v/>
      </c>
      <c r="AV272" s="12" t="str">
        <f>IFERROR(__xludf.DUMMYFUNCTION("IFERROR(VALUE(REGEXEXTRACT(AS272, ""\d+"")), """")"),"")</f>
        <v/>
      </c>
      <c r="AW272" s="12" t="str">
        <f>IFERROR(__xludf.DUMMYFUNCTION("IFERROR(TEXTJOIN("", "", TRUE, FILTER(Validations!$Q$2:$Q$100, ISNUMBER(SEARCH(Validations!$Q$2:$Q$100, AS272)))), """")"),"")</f>
        <v/>
      </c>
      <c r="AX272" s="28" t="s">
        <v>152</v>
      </c>
      <c r="AY272" s="28" t="str">
        <f>IFERROR(__xludf.DUMMYFUNCTION("TEXTJOIN("", "", TRUE, FILTER(Validations!$Y$2:$Y$100, ISNUMBER(SEARCH(Validations!$X$2:$X$100, AX272))))"),"V, S, R")</f>
        <v>V, S, R</v>
      </c>
      <c r="AZ272" s="20" t="s">
        <v>1296</v>
      </c>
      <c r="BA272" s="22"/>
      <c r="BB272" s="22"/>
      <c r="BC272" s="22"/>
      <c r="BD272" s="22"/>
      <c r="BE272" s="27"/>
      <c r="BF272" s="22"/>
      <c r="BG272" s="27"/>
      <c r="BH272" s="27"/>
      <c r="BI272" s="12" t="str">
        <f>IFERROR(__xludf.DUMMYFUNCTION("IFERROR(TEXTJOIN("", "", TRUE, FILTER(SRD!$A$2:$A$1000, EXACT(SRD!$A$2:$A$1000, J272))), """")"),"")</f>
        <v/>
      </c>
      <c r="BJ272" s="29"/>
      <c r="BK272" s="29"/>
    </row>
    <row r="273" ht="15.75" customHeight="1">
      <c r="A273" s="38" t="s">
        <v>1297</v>
      </c>
      <c r="B273" s="12"/>
      <c r="C273" s="16"/>
      <c r="D273" s="16" t="s">
        <v>1298</v>
      </c>
      <c r="E273" s="16"/>
      <c r="F273" s="32" t="s">
        <v>199</v>
      </c>
      <c r="G273" s="50" t="s">
        <v>1223</v>
      </c>
      <c r="H273" s="31" t="s">
        <v>85</v>
      </c>
      <c r="I273" s="16" t="str">
        <f t="array" ref="I273">INDEX(Validations!$C$2:$C$100, MATCH(TRUE, ISNUMBER(SEARCH(Validations!$B$2:$B$100, H273)), 0))</f>
        <v>T</v>
      </c>
      <c r="J273" s="17" t="s">
        <v>1299</v>
      </c>
      <c r="K273" s="18"/>
      <c r="L273" s="17"/>
      <c r="M273" s="17"/>
      <c r="N273" s="27"/>
      <c r="O273" s="17"/>
      <c r="P273" s="21"/>
      <c r="Q273" s="21"/>
      <c r="R273" s="22"/>
      <c r="S273" s="17" t="str">
        <f>IFERROR(__xludf.DUMMYFUNCTION("IFERROR(REGEXEXTRACT(J273, ""(\d{1,3}[dD]\d{1,3})""), """")"),"")</f>
        <v/>
      </c>
      <c r="T273" s="17" t="str">
        <f>IFERROR(__xludf.DUMMYFUNCTION("IF(COUNTIF(ARRAYFORMULA(LOWER(Validations!$O$2:$O$100)), LOWER(REGEXEXTRACT(J273, ""\d{1,3}[dD]\d{1,3}\s+(\w+)"")))&gt;0, REGEXEXTRACT(J273, ""\d{1,3}[dD]\d{1,3}\s+(\w+)""), """")"),"")</f>
        <v/>
      </c>
      <c r="U273" s="17" t="str">
        <f>IFERROR(__xludf.DUMMYFUNCTION("IF(COUNTIF(ARRAYFORMULA(LOWER(Validations!$P$2:$P$100)), LOWER(REGEXEXTRACT(J273, ""\d{1,3}[dD]\d{1,3}\s+(\w+)"")))&gt;0, REGEXEXTRACT(J273, ""\d{1,3}[dD]\d{1,3}\s+(\w+)""), """")"),"")</f>
        <v/>
      </c>
      <c r="V273" s="12" t="str">
        <f>IFERROR(__xludf.DUMMYFUNCTION("TEXTJOIN("", "", TRUE, FILTER(Validations!$L$2:$L$100, ISNUMBER(SEARCH(Validations!$L$2:$L$100, J273))))"),"")</f>
        <v/>
      </c>
      <c r="W273" s="12" t="str">
        <f>IFERROR(__xludf.DUMMYFUNCTION("IFERROR(TEXTJOIN("", "", TRUE, FILTER(Validations!$M$2:$M$100, ISNUMBER(SEARCH(Validations!$M$2:$M$100 &amp; "" saving throw"", J273)))), """")"),"")</f>
        <v/>
      </c>
      <c r="X273" s="12"/>
      <c r="Y273" s="12"/>
      <c r="Z273" s="12" t="str">
        <f>IFERROR(__xludf.DUMMYFUNCTION("IFERROR(TEXTJOIN("", "", TRUE, FILTER(Validations!$N$2:$N$100, ISNUMBER(SEARCH(Validations!$N$2:$N$100 &amp; "" check"", J273)))), """")"),"")</f>
        <v/>
      </c>
      <c r="AA273" s="12" t="str">
        <f>IFERROR(__xludf.DUMMYFUNCTION("IFERROR(TEXTJOIN("", "", TRUE, FILTER(Validations!$N$2:$N$100, ISNUMBER(SEARCH(Validations!$N$2:$N$100 &amp; "" check"", W273)))), """")"),"")</f>
        <v/>
      </c>
      <c r="AB273" s="23" t="str">
        <f>IFERROR(__xludf.DUMMYFUNCTION("IFERROR(CONCATENATE(IF(ISNUMBER(SEARCH(Validations!$M$2:$M$100 &amp; "" spell save"", J273)),""Spell Save"",""""), REGEXEXTRACT(J273, ""DC (\d+)"")), """")"),"")</f>
        <v/>
      </c>
      <c r="AC273" s="24" t="b">
        <v>1</v>
      </c>
      <c r="AD273" s="24" t="b">
        <v>0</v>
      </c>
      <c r="AE273" s="36" t="s">
        <v>134</v>
      </c>
      <c r="AF273" s="25">
        <f>IFERROR(__xludf.DUMMYFUNCTION("IFERROR(VALUE(REGEXEXTRACT(AE273, ""\d+"")), 1)"),10.0)</f>
        <v>10</v>
      </c>
      <c r="AG273" s="12" t="str">
        <f>IFERROR(__xludf.DUMMYFUNCTION("IF(
  ISNUMBER(SEARCH(""Bonus Action"", AE273)),
  ""Bonus Action"",
  IF(
    ISNUMBER(SEARCH(""Reaction"", AE273)),
    ""Reaction"",
    IF(
      ISNUMBER(SEARCH(""Action"", AE273)),
      ""Action"",
      TEXTJOIN("", "", TRUE, FILTER(Validations!$S"&amp;"$2:$S$100, ISNUMBER(SEARCH(Validations!$S$2:$S$100, AE273))))
    )
  )
)"),"Minutes")</f>
        <v>Minutes</v>
      </c>
      <c r="AH273" s="22"/>
      <c r="AI273" s="20" t="s">
        <v>296</v>
      </c>
      <c r="AJ273" s="26" t="str">
        <f>IFERROR(__xludf.DUMMYFUNCTION("TEXTJOIN("", "", TRUE, FILTER(Validations!$T$2:$T$100, ISNUMBER(SEARCH(Validations!$T$2:$T$100, AI273))))"),"")</f>
        <v/>
      </c>
      <c r="AK273" s="26">
        <f>IFERROR(__xludf.DUMMYFUNCTION("IFERROR(VALUE(REGEXEXTRACT(AI273, ""\d+"")), """")"),1.0)</f>
        <v>1</v>
      </c>
      <c r="AL273" s="26" t="str">
        <f>IFERROR(__xludf.DUMMYFUNCTION("TEXTJOIN("", "", TRUE, FILTER(Validations!$U$2:$U$100, ISNUMBER(SEARCH(Validations!$U$2:$U$100, AI273))))"),"Hours")</f>
        <v>Hours</v>
      </c>
      <c r="AM273" s="24" t="b">
        <f t="shared" si="1"/>
        <v>0</v>
      </c>
      <c r="AN273" s="24" t="b">
        <v>0</v>
      </c>
      <c r="AO273" s="22" t="s">
        <v>1300</v>
      </c>
      <c r="AP273" s="12" t="str">
        <f>IFERROR(__xludf.DUMMYFUNCTION("IF(TEXTJOIN("", "", TRUE, FILTER(Validations!$Q$2:$Q$100, ISNUMBER(SEARCH(Validations!$Q$2:$Q$100, AO273)))) = """", Validations!$Q$2, TEXTJOIN("", "", TRUE, FILTER(Validations!$Q$2:$Q$100, ISNUMBER(SEARCH(Validations!$Q$2:$Q$100, AO273)))))"),"Point")</f>
        <v>Point</v>
      </c>
      <c r="AQ273" s="12">
        <f>IFERROR(__xludf.DUMMYFUNCTION("IFERROR(VALUE(REGEXEXTRACT(AO273, ""\d+"")), """")"),100.0)</f>
        <v>100</v>
      </c>
      <c r="AR273" s="12" t="str">
        <f>IFERROR(__xludf.DUMMYFUNCTION("TEXTJOIN("", "", TRUE, FILTER(Validations!$R$2:$R$100, ISNUMBER(SEARCH(Validations!$R$2:$R$100, AO273))))"),"Feet")</f>
        <v>Feet</v>
      </c>
      <c r="AS273" s="27"/>
      <c r="AT273" s="12" t="str">
        <f>IFERROR(__xludf.DUMMYFUNCTION("IFERROR(TEXTJOIN("", "", TRUE, FILTER(Validations!$I$2:$I$100, ISNUMBER(SEARCH(Validations!$I$2:$I$100, AS273)))), """")"),"")</f>
        <v/>
      </c>
      <c r="AU273" s="16" t="str">
        <f t="array" ref="AU273">IFERROR(INDEX(Validations!$J$2:$J$100, MATCH(TRUE, ISNUMBER(SEARCH(Validations!$I$2:$I$100, AT273)), 0)), "")</f>
        <v/>
      </c>
      <c r="AV273" s="12" t="str">
        <f>IFERROR(__xludf.DUMMYFUNCTION("IFERROR(VALUE(REGEXEXTRACT(AS273, ""\d+"")), """")"),"")</f>
        <v/>
      </c>
      <c r="AW273" s="12" t="str">
        <f>IFERROR(__xludf.DUMMYFUNCTION("IFERROR(TEXTJOIN("", "", TRUE, FILTER(Validations!$Q$2:$Q$100, ISNUMBER(SEARCH(Validations!$Q$2:$Q$100, AS273)))), """")"),"")</f>
        <v/>
      </c>
      <c r="AX273" s="28" t="s">
        <v>152</v>
      </c>
      <c r="AY273" s="28" t="str">
        <f>IFERROR(__xludf.DUMMYFUNCTION("TEXTJOIN("", "", TRUE, FILTER(Validations!$Y$2:$Y$100, ISNUMBER(SEARCH(Validations!$X$2:$X$100, AX273))))"),"V, S, R")</f>
        <v>V, S, R</v>
      </c>
      <c r="AZ273" s="20" t="s">
        <v>1301</v>
      </c>
      <c r="BA273" s="22"/>
      <c r="BB273" s="22"/>
      <c r="BC273" s="22"/>
      <c r="BD273" s="22"/>
      <c r="BE273" s="27"/>
      <c r="BF273" s="22"/>
      <c r="BG273" s="27"/>
      <c r="BH273" s="27"/>
      <c r="BI273" s="12" t="str">
        <f>IFERROR(__xludf.DUMMYFUNCTION("IFERROR(TEXTJOIN("", "", TRUE, FILTER(SRD!$A$2:$A$1000, EXACT(SRD!$A$2:$A$1000, J273))), """")"),"")</f>
        <v/>
      </c>
      <c r="BJ273" s="29"/>
      <c r="BK273" s="29"/>
    </row>
    <row r="274" ht="15.75" customHeight="1">
      <c r="A274" s="38" t="s">
        <v>1302</v>
      </c>
      <c r="B274" s="12"/>
      <c r="C274" s="16"/>
      <c r="D274" s="16" t="s">
        <v>1303</v>
      </c>
      <c r="E274" s="16"/>
      <c r="F274" s="32" t="s">
        <v>1304</v>
      </c>
      <c r="G274" s="50" t="s">
        <v>1223</v>
      </c>
      <c r="H274" s="31" t="s">
        <v>144</v>
      </c>
      <c r="I274" s="16" t="str">
        <f t="array" ref="I274">INDEX(Validations!$C$2:$C$100, MATCH(TRUE, ISNUMBER(SEARCH(Validations!$B$2:$B$100, H274)), 0))</f>
        <v>D</v>
      </c>
      <c r="J274" s="17" t="s">
        <v>1305</v>
      </c>
      <c r="K274" s="18"/>
      <c r="L274" s="52"/>
      <c r="M274" s="17" t="s">
        <v>1306</v>
      </c>
      <c r="N274" s="20" t="s">
        <v>1307</v>
      </c>
      <c r="O274" s="17" t="s">
        <v>1308</v>
      </c>
      <c r="P274" s="21"/>
      <c r="Q274" s="21"/>
      <c r="R274" s="36" t="s">
        <v>1309</v>
      </c>
      <c r="S274" s="17" t="str">
        <f>IFERROR(__xludf.DUMMYFUNCTION("IFERROR(REGEXEXTRACT(J274, ""(\d{1,3}[dD]\d{1,3})""), """")"),"")</f>
        <v/>
      </c>
      <c r="T274" s="17" t="str">
        <f>IFERROR(__xludf.DUMMYFUNCTION("IF(COUNTIF(ARRAYFORMULA(LOWER(Validations!$O$2:$O$100)), LOWER(REGEXEXTRACT(J274, ""\d{1,3}[dD]\d{1,3}\s+(\w+)"")))&gt;0, REGEXEXTRACT(J274, ""\d{1,3}[dD]\d{1,3}\s+(\w+)""), """")"),"")</f>
        <v/>
      </c>
      <c r="U274" s="17" t="str">
        <f>IFERROR(__xludf.DUMMYFUNCTION("IF(COUNTIF(ARRAYFORMULA(LOWER(Validations!$P$2:$P$100)), LOWER(REGEXEXTRACT(J274, ""\d{1,3}[dD]\d{1,3}\s+(\w+)"")))&gt;0, REGEXEXTRACT(J274, ""\d{1,3}[dD]\d{1,3}\s+(\w+)""), """")"),"")</f>
        <v/>
      </c>
      <c r="V274" s="12" t="str">
        <f>IFERROR(__xludf.DUMMYFUNCTION("TEXTJOIN("", "", TRUE, FILTER(Validations!$L$2:$L$100, ISNUMBER(SEARCH(Validations!$L$2:$L$100, J274))))"),"")</f>
        <v/>
      </c>
      <c r="W274" s="12" t="str">
        <f>IFERROR(__xludf.DUMMYFUNCTION("IFERROR(TEXTJOIN("", "", TRUE, FILTER(Validations!$M$2:$M$100, ISNUMBER(SEARCH(Validations!$M$2:$M$100 &amp; "" saving throw"", J274)))), """")"),"Wisdom")</f>
        <v>Wisdom</v>
      </c>
      <c r="X274" s="12"/>
      <c r="Y274" s="12"/>
      <c r="Z274" s="12" t="str">
        <f>IFERROR(__xludf.DUMMYFUNCTION("IFERROR(TEXTJOIN("", "", TRUE, FILTER(Validations!$N$2:$N$100, ISNUMBER(SEARCH(Validations!$N$2:$N$100 &amp; "" check"", J274)))), """")"),"")</f>
        <v/>
      </c>
      <c r="AA274" s="12" t="str">
        <f>IFERROR(__xludf.DUMMYFUNCTION("IFERROR(TEXTJOIN("", "", TRUE, FILTER(Validations!$N$2:$N$100, ISNUMBER(SEARCH(Validations!$N$2:$N$100 &amp; "" check"", W274)))), """")"),"")</f>
        <v/>
      </c>
      <c r="AB274" s="23" t="str">
        <f>IFERROR(__xludf.DUMMYFUNCTION("IFERROR(CONCATENATE(IF(ISNUMBER(SEARCH(Validations!$M$2:$M$100 &amp; "" spell save"", J274)),""Spell Save"",""""), REGEXEXTRACT(J274, ""DC (\d+)"")), """")"),"")</f>
        <v/>
      </c>
      <c r="AC274" s="24" t="b">
        <v>0</v>
      </c>
      <c r="AD274" s="24" t="b">
        <v>0</v>
      </c>
      <c r="AE274" s="12" t="s">
        <v>69</v>
      </c>
      <c r="AF274" s="25">
        <f>IFERROR(__xludf.DUMMYFUNCTION("IFERROR(VALUE(REGEXEXTRACT(AE274, ""\d+"")), 1)"),1.0)</f>
        <v>1</v>
      </c>
      <c r="AG274" s="12" t="str">
        <f>IFERROR(__xludf.DUMMYFUNCTION("IF(
  ISNUMBER(SEARCH(""Bonus Action"", AE274)),
  ""Bonus Action"",
  IF(
    ISNUMBER(SEARCH(""Reaction"", AE274)),
    ""Reaction"",
    IF(
      ISNUMBER(SEARCH(""Action"", AE274)),
      ""Action"",
      TEXTJOIN("", "", TRUE, FILTER(Validations!$S"&amp;"$2:$S$100, ISNUMBER(SEARCH(Validations!$S$2:$S$100, AE274))))
    )
  )
)"),"Action")</f>
        <v>Action</v>
      </c>
      <c r="AH274" s="12"/>
      <c r="AI274" s="20" t="s">
        <v>296</v>
      </c>
      <c r="AJ274" s="26" t="str">
        <f>IFERROR(__xludf.DUMMYFUNCTION("TEXTJOIN("", "", TRUE, FILTER(Validations!$T$2:$T$100, ISNUMBER(SEARCH(Validations!$T$2:$T$100, AI274))))"),"")</f>
        <v/>
      </c>
      <c r="AK274" s="26">
        <f>IFERROR(__xludf.DUMMYFUNCTION("IFERROR(VALUE(REGEXEXTRACT(AI274, ""\d+"")), """")"),1.0)</f>
        <v>1</v>
      </c>
      <c r="AL274" s="26" t="str">
        <f>IFERROR(__xludf.DUMMYFUNCTION("TEXTJOIN("", "", TRUE, FILTER(Validations!$U$2:$U$100, ISNUMBER(SEARCH(Validations!$U$2:$U$100, AI274))))"),"Hours")</f>
        <v>Hours</v>
      </c>
      <c r="AM274" s="24" t="b">
        <f t="shared" si="1"/>
        <v>0</v>
      </c>
      <c r="AN274" s="24" t="b">
        <v>0</v>
      </c>
      <c r="AO274" s="36" t="s">
        <v>105</v>
      </c>
      <c r="AP274" s="12" t="str">
        <f>IFERROR(__xludf.DUMMYFUNCTION("IF(TEXTJOIN("", "", TRUE, FILTER(Validations!$Q$2:$Q$100, ISNUMBER(SEARCH(Validations!$Q$2:$Q$100, AO274)))) = """", Validations!$Q$2, TEXTJOIN("", "", TRUE, FILTER(Validations!$Q$2:$Q$100, ISNUMBER(SEARCH(Validations!$Q$2:$Q$100, AO274)))))"),"Point")</f>
        <v>Point</v>
      </c>
      <c r="AQ274" s="12">
        <f>IFERROR(__xludf.DUMMYFUNCTION("IFERROR(VALUE(REGEXEXTRACT(AO274, ""\d+"")), """")"),10.0)</f>
        <v>10</v>
      </c>
      <c r="AR274" s="12" t="str">
        <f>IFERROR(__xludf.DUMMYFUNCTION("TEXTJOIN("", "", TRUE, FILTER(Validations!$R$2:$R$100, ISNUMBER(SEARCH(Validations!$R$2:$R$100, AO274))))"),"Feet")</f>
        <v>Feet</v>
      </c>
      <c r="AS274" s="26" t="s">
        <v>1310</v>
      </c>
      <c r="AT274" s="12" t="str">
        <f>IFERROR(__xludf.DUMMYFUNCTION("IFERROR(TEXTJOIN("", "", TRUE, FILTER(Validations!$I$2:$I$100, ISNUMBER(SEARCH(Validations!$I$2:$I$100, AS274)))), """")"),"Line")</f>
        <v>Line</v>
      </c>
      <c r="AU274" s="16" t="str">
        <f t="array" ref="AU274">IFERROR(INDEX(Validations!$J$2:$J$100, MATCH(TRUE, ISNUMBER(SEARCH(Validations!$I$2:$I$100, AT274)), 0)), "")</f>
        <v>L</v>
      </c>
      <c r="AV274" s="12">
        <f>IFERROR(__xludf.DUMMYFUNCTION("IFERROR(VALUE(REGEXEXTRACT(AS274, ""\d+"")), """")"),10.0)</f>
        <v>10</v>
      </c>
      <c r="AW274" s="12" t="str">
        <f>IFERROR(__xludf.DUMMYFUNCTION("IFERROR(TEXTJOIN("", "", TRUE, FILTER(Validations!$Q$2:$Q$100, ISNUMBER(SEARCH(Validations!$Q$2:$Q$100, AS274)))), """")"),"Line")</f>
        <v>Line</v>
      </c>
      <c r="AX274" s="36" t="s">
        <v>152</v>
      </c>
      <c r="AY274" s="28" t="str">
        <f>IFERROR(__xludf.DUMMYFUNCTION("TEXTJOIN("", "", TRUE, FILTER(Validations!$Y$2:$Y$100, ISNUMBER(SEARCH(Validations!$X$2:$X$100, AX274))))"),"V, S, R")</f>
        <v>V, S, R</v>
      </c>
      <c r="AZ274" s="26" t="s">
        <v>1311</v>
      </c>
      <c r="BA274" s="12"/>
      <c r="BB274" s="22"/>
      <c r="BC274" s="22"/>
      <c r="BD274" s="22"/>
      <c r="BE274" s="27"/>
      <c r="BF274" s="22"/>
      <c r="BG274" s="27"/>
      <c r="BH274" s="27"/>
      <c r="BI274" s="12" t="str">
        <f>IFERROR(__xludf.DUMMYFUNCTION("IFERROR(TEXTJOIN("", "", TRUE, FILTER(SRD!$A$2:$A$1000, EXACT(SRD!$A$2:$A$1000, J274))), """")"),"")</f>
        <v/>
      </c>
      <c r="BJ274" s="29"/>
      <c r="BK274" s="29"/>
    </row>
    <row r="275" ht="15.75" customHeight="1">
      <c r="A275" s="38" t="s">
        <v>1312</v>
      </c>
      <c r="B275" s="12"/>
      <c r="C275" s="16"/>
      <c r="D275" s="16" t="s">
        <v>302</v>
      </c>
      <c r="E275" s="16"/>
      <c r="F275" s="32" t="s">
        <v>1313</v>
      </c>
      <c r="G275" s="50" t="s">
        <v>1223</v>
      </c>
      <c r="H275" s="31" t="s">
        <v>85</v>
      </c>
      <c r="I275" s="16" t="str">
        <f t="array" ref="I275">INDEX(Validations!$C$2:$C$100, MATCH(TRUE, ISNUMBER(SEARCH(Validations!$B$2:$B$100, H275)), 0))</f>
        <v>T</v>
      </c>
      <c r="J275" s="17" t="s">
        <v>1314</v>
      </c>
      <c r="K275" s="18"/>
      <c r="L275" s="17"/>
      <c r="M275" s="17"/>
      <c r="N275" s="27"/>
      <c r="O275" s="17"/>
      <c r="P275" s="21"/>
      <c r="Q275" s="21"/>
      <c r="R275" s="22"/>
      <c r="S275" s="17" t="str">
        <f>IFERROR(__xludf.DUMMYFUNCTION("IFERROR(REGEXEXTRACT(J275, ""(\d{1,3}[dD]\d{1,3})""), """")"),"")</f>
        <v/>
      </c>
      <c r="T275" s="17" t="str">
        <f>IFERROR(__xludf.DUMMYFUNCTION("IF(COUNTIF(ARRAYFORMULA(LOWER(Validations!$O$2:$O$100)), LOWER(REGEXEXTRACT(J275, ""\d{1,3}[dD]\d{1,3}\s+(\w+)"")))&gt;0, REGEXEXTRACT(J275, ""\d{1,3}[dD]\d{1,3}\s+(\w+)""), """")"),"")</f>
        <v/>
      </c>
      <c r="U275" s="17" t="str">
        <f>IFERROR(__xludf.DUMMYFUNCTION("IF(COUNTIF(ARRAYFORMULA(LOWER(Validations!$P$2:$P$100)), LOWER(REGEXEXTRACT(J275, ""\d{1,3}[dD]\d{1,3}\s+(\w+)"")))&gt;0, REGEXEXTRACT(J275, ""\d{1,3}[dD]\d{1,3}\s+(\w+)""), """")"),"")</f>
        <v/>
      </c>
      <c r="V275" s="12" t="str">
        <f>IFERROR(__xludf.DUMMYFUNCTION("TEXTJOIN("", "", TRUE, FILTER(Validations!$L$2:$L$100, ISNUMBER(SEARCH(Validations!$L$2:$L$100, J275))))"),"")</f>
        <v/>
      </c>
      <c r="W275" s="12" t="str">
        <f>IFERROR(__xludf.DUMMYFUNCTION("IFERROR(TEXTJOIN("", "", TRUE, FILTER(Validations!$M$2:$M$100, ISNUMBER(SEARCH(Validations!$M$2:$M$100 &amp; "" saving throw"", J275)))), """")"),"")</f>
        <v/>
      </c>
      <c r="X275" s="12"/>
      <c r="Y275" s="12"/>
      <c r="Z275" s="12" t="str">
        <f>IFERROR(__xludf.DUMMYFUNCTION("IFERROR(TEXTJOIN("", "", TRUE, FILTER(Validations!$N$2:$N$100, ISNUMBER(SEARCH(Validations!$N$2:$N$100 &amp; "" check"", J275)))), """")"),"")</f>
        <v/>
      </c>
      <c r="AA275" s="12" t="str">
        <f>IFERROR(__xludf.DUMMYFUNCTION("IFERROR(TEXTJOIN("", "", TRUE, FILTER(Validations!$N$2:$N$100, ISNUMBER(SEARCH(Validations!$N$2:$N$100 &amp; "" check"", W275)))), """")"),"")</f>
        <v/>
      </c>
      <c r="AB275" s="23" t="str">
        <f>IFERROR(__xludf.DUMMYFUNCTION("IFERROR(CONCATENATE(IF(ISNUMBER(SEARCH(Validations!$M$2:$M$100 &amp; "" spell save"", J275)),""Spell Save"",""""), REGEXEXTRACT(J275, ""DC (\d+)"")), """")"),"")</f>
        <v/>
      </c>
      <c r="AC275" s="24" t="b">
        <v>1</v>
      </c>
      <c r="AD275" s="24" t="b">
        <v>0</v>
      </c>
      <c r="AE275" s="36" t="s">
        <v>134</v>
      </c>
      <c r="AF275" s="25">
        <f>IFERROR(__xludf.DUMMYFUNCTION("IFERROR(VALUE(REGEXEXTRACT(AE275, ""\d+"")), 1)"),10.0)</f>
        <v>10</v>
      </c>
      <c r="AG275" s="12" t="str">
        <f>IFERROR(__xludf.DUMMYFUNCTION("IF(
  ISNUMBER(SEARCH(""Bonus Action"", AE275)),
  ""Bonus Action"",
  IF(
    ISNUMBER(SEARCH(""Reaction"", AE275)),
    ""Reaction"",
    IF(
      ISNUMBER(SEARCH(""Action"", AE275)),
      ""Action"",
      TEXTJOIN("", "", TRUE, FILTER(Validations!$S"&amp;"$2:$S$100, ISNUMBER(SEARCH(Validations!$S$2:$S$100, AE275))))
    )
  )
)"),"Minutes")</f>
        <v>Minutes</v>
      </c>
      <c r="AH275" s="22"/>
      <c r="AI275" s="27" t="s">
        <v>1315</v>
      </c>
      <c r="AJ275" s="26" t="str">
        <f>IFERROR(__xludf.DUMMYFUNCTION("TEXTJOIN("", "", TRUE, FILTER(Validations!$T$2:$T$100, ISNUMBER(SEARCH(Validations!$T$2:$T$100, AI275))))"),"")</f>
        <v/>
      </c>
      <c r="AK275" s="26" t="str">
        <f>IFERROR(__xludf.DUMMYFUNCTION("IFERROR(VALUE(REGEXEXTRACT(AI275, ""\d+"")), """")"),"")</f>
        <v/>
      </c>
      <c r="AL275" s="26" t="str">
        <f>IFERROR(__xludf.DUMMYFUNCTION("TEXTJOIN("", "", TRUE, FILTER(Validations!$U$2:$U$100, ISNUMBER(SEARCH(Validations!$U$2:$U$100, AI275))))"),"")</f>
        <v/>
      </c>
      <c r="AM275" s="24" t="b">
        <f t="shared" si="1"/>
        <v>0</v>
      </c>
      <c r="AN275" s="24" t="b">
        <v>0</v>
      </c>
      <c r="AO275" s="22" t="s">
        <v>71</v>
      </c>
      <c r="AP275" s="12" t="str">
        <f>IFERROR(__xludf.DUMMYFUNCTION("IF(TEXTJOIN("", "", TRUE, FILTER(Validations!$Q$2:$Q$100, ISNUMBER(SEARCH(Validations!$Q$2:$Q$100, AO275)))) = """", Validations!$Q$2, TEXTJOIN("", "", TRUE, FILTER(Validations!$Q$2:$Q$100, ISNUMBER(SEARCH(Validations!$Q$2:$Q$100, AO275)))))"),"Point")</f>
        <v>Point</v>
      </c>
      <c r="AQ275" s="12" t="str">
        <f>IFERROR(__xludf.DUMMYFUNCTION("IFERROR(VALUE(REGEXEXTRACT(AO275, ""\d+"")), """")"),"")</f>
        <v/>
      </c>
      <c r="AR275" s="12" t="str">
        <f>IFERROR(__xludf.DUMMYFUNCTION("TEXTJOIN("", "", TRUE, FILTER(Validations!$R$2:$R$100, ISNUMBER(SEARCH(Validations!$R$2:$R$100, AO275))))"),"Touch")</f>
        <v>Touch</v>
      </c>
      <c r="AS275" s="27"/>
      <c r="AT275" s="12" t="str">
        <f>IFERROR(__xludf.DUMMYFUNCTION("IFERROR(TEXTJOIN("", "", TRUE, FILTER(Validations!$I$2:$I$100, ISNUMBER(SEARCH(Validations!$I$2:$I$100, AS275)))), """")"),"")</f>
        <v/>
      </c>
      <c r="AU275" s="16" t="str">
        <f t="array" ref="AU275">IFERROR(INDEX(Validations!$J$2:$J$100, MATCH(TRUE, ISNUMBER(SEARCH(Validations!$I$2:$I$100, AT275)), 0)), "")</f>
        <v/>
      </c>
      <c r="AV275" s="12" t="str">
        <f>IFERROR(__xludf.DUMMYFUNCTION("IFERROR(VALUE(REGEXEXTRACT(AS275, ""\d+"")), """")"),"")</f>
        <v/>
      </c>
      <c r="AW275" s="12" t="str">
        <f>IFERROR(__xludf.DUMMYFUNCTION("IFERROR(TEXTJOIN("", "", TRUE, FILTER(Validations!$Q$2:$Q$100, ISNUMBER(SEARCH(Validations!$Q$2:$Q$100, AS275)))), """")"),"")</f>
        <v/>
      </c>
      <c r="AX275" s="28" t="s">
        <v>152</v>
      </c>
      <c r="AY275" s="28" t="str">
        <f>IFERROR(__xludf.DUMMYFUNCTION("TEXTJOIN("", "", TRUE, FILTER(Validations!$Y$2:$Y$100, ISNUMBER(SEARCH(Validations!$X$2:$X$100, AX275))))"),"V, S, R")</f>
        <v>V, S, R</v>
      </c>
      <c r="AZ275" s="20" t="s">
        <v>1316</v>
      </c>
      <c r="BA275" s="22"/>
      <c r="BB275" s="22"/>
      <c r="BC275" s="22"/>
      <c r="BD275" s="22"/>
      <c r="BE275" s="27"/>
      <c r="BF275" s="22"/>
      <c r="BG275" s="27"/>
      <c r="BH275" s="27"/>
      <c r="BI275" s="12" t="str">
        <f>IFERROR(__xludf.DUMMYFUNCTION("IFERROR(TEXTJOIN("", "", TRUE, FILTER(SRD!$A$2:$A$1000, EXACT(SRD!$A$2:$A$1000, J275))), """")"),"")</f>
        <v/>
      </c>
      <c r="BJ275" s="29"/>
      <c r="BK275" s="29"/>
    </row>
    <row r="276" ht="15.75" customHeight="1">
      <c r="A276" s="30" t="s">
        <v>1317</v>
      </c>
      <c r="B276" s="22"/>
      <c r="C276" s="16"/>
      <c r="D276" s="16" t="s">
        <v>302</v>
      </c>
      <c r="E276" s="16"/>
      <c r="F276" s="32" t="s">
        <v>844</v>
      </c>
      <c r="G276" s="50" t="s">
        <v>1223</v>
      </c>
      <c r="H276" s="31" t="s">
        <v>103</v>
      </c>
      <c r="I276" s="16" t="str">
        <f t="array" ref="I276">INDEX(Validations!$C$2:$C$100, MATCH(TRUE, ISNUMBER(SEARCH(Validations!$B$2:$B$100, H276)), 0))</f>
        <v>C</v>
      </c>
      <c r="J276" s="17" t="s">
        <v>1318</v>
      </c>
      <c r="K276" s="18"/>
      <c r="L276" s="17"/>
      <c r="M276" s="17"/>
      <c r="N276" s="27"/>
      <c r="O276" s="17"/>
      <c r="P276" s="21"/>
      <c r="Q276" s="21"/>
      <c r="R276" s="22"/>
      <c r="S276" s="17" t="str">
        <f>IFERROR(__xludf.DUMMYFUNCTION("IFERROR(REGEXEXTRACT(J276, ""(\d{1,3}[dD]\d{1,3})""), """")"),"")</f>
        <v/>
      </c>
      <c r="T276" s="17" t="str">
        <f>IFERROR(__xludf.DUMMYFUNCTION("IF(COUNTIF(ARRAYFORMULA(LOWER(Validations!$O$2:$O$100)), LOWER(REGEXEXTRACT(J276, ""\d{1,3}[dD]\d{1,3}\s+(\w+)"")))&gt;0, REGEXEXTRACT(J276, ""\d{1,3}[dD]\d{1,3}\s+(\w+)""), """")"),"")</f>
        <v/>
      </c>
      <c r="U276" s="17" t="str">
        <f>IFERROR(__xludf.DUMMYFUNCTION("IF(COUNTIF(ARRAYFORMULA(LOWER(Validations!$P$2:$P$100)), LOWER(REGEXEXTRACT(J276, ""\d{1,3}[dD]\d{1,3}\s+(\w+)"")))&gt;0, REGEXEXTRACT(J276, ""\d{1,3}[dD]\d{1,3}\s+(\w+)""), """")"),"")</f>
        <v/>
      </c>
      <c r="V276" s="12" t="str">
        <f>IFERROR(__xludf.DUMMYFUNCTION("TEXTJOIN("", "", TRUE, FILTER(Validations!$L$2:$L$100, ISNUMBER(SEARCH(Validations!$L$2:$L$100, J276))))"),"")</f>
        <v/>
      </c>
      <c r="W276" s="12" t="str">
        <f>IFERROR(__xludf.DUMMYFUNCTION("IFERROR(TEXTJOIN("", "", TRUE, FILTER(Validations!$M$2:$M$100, ISNUMBER(SEARCH(Validations!$M$2:$M$100 &amp; "" saving throw"", J276)))), """")"),"")</f>
        <v/>
      </c>
      <c r="X276" s="12"/>
      <c r="Y276" s="12"/>
      <c r="Z276" s="12" t="str">
        <f>IFERROR(__xludf.DUMMYFUNCTION("IFERROR(TEXTJOIN("", "", TRUE, FILTER(Validations!$N$2:$N$100, ISNUMBER(SEARCH(Validations!$N$2:$N$100 &amp; "" check"", J276)))), """")"),"")</f>
        <v/>
      </c>
      <c r="AA276" s="12" t="str">
        <f>IFERROR(__xludf.DUMMYFUNCTION("IFERROR(TEXTJOIN("", "", TRUE, FILTER(Validations!$N$2:$N$100, ISNUMBER(SEARCH(Validations!$N$2:$N$100 &amp; "" check"", W276)))), """")"),"")</f>
        <v/>
      </c>
      <c r="AB276" s="23" t="str">
        <f>IFERROR(__xludf.DUMMYFUNCTION("IFERROR(CONCATENATE(IF(ISNUMBER(SEARCH(Validations!$M$2:$M$100 &amp; "" spell save"", J276)),""Spell Save"",""""), REGEXEXTRACT(J276, ""DC (\d+)"")), """")"),"")</f>
        <v/>
      </c>
      <c r="AC276" s="24" t="b">
        <v>0</v>
      </c>
      <c r="AD276" s="24" t="b">
        <v>0</v>
      </c>
      <c r="AE276" s="36" t="s">
        <v>69</v>
      </c>
      <c r="AF276" s="25">
        <f>IFERROR(__xludf.DUMMYFUNCTION("IFERROR(VALUE(REGEXEXTRACT(AE276, ""\d+"")), 1)"),1.0)</f>
        <v>1</v>
      </c>
      <c r="AG276" s="12" t="str">
        <f>IFERROR(__xludf.DUMMYFUNCTION("IF(
  ISNUMBER(SEARCH(""Bonus Action"", AE276)),
  ""Bonus Action"",
  IF(
    ISNUMBER(SEARCH(""Reaction"", AE276)),
    ""Reaction"",
    IF(
      ISNUMBER(SEARCH(""Action"", AE276)),
      ""Action"",
      TEXTJOIN("", "", TRUE, FILTER(Validations!$S"&amp;"$2:$S$100, ISNUMBER(SEARCH(Validations!$S$2:$S$100, AE276))))
    )
  )
)"),"Action")</f>
        <v>Action</v>
      </c>
      <c r="AH276" s="36"/>
      <c r="AI276" s="20" t="s">
        <v>296</v>
      </c>
      <c r="AJ276" s="26" t="str">
        <f>IFERROR(__xludf.DUMMYFUNCTION("TEXTJOIN("", "", TRUE, FILTER(Validations!$T$2:$T$100, ISNUMBER(SEARCH(Validations!$T$2:$T$100, AI276))))"),"")</f>
        <v/>
      </c>
      <c r="AK276" s="26">
        <f>IFERROR(__xludf.DUMMYFUNCTION("IFERROR(VALUE(REGEXEXTRACT(AI276, ""\d+"")), """")"),1.0)</f>
        <v>1</v>
      </c>
      <c r="AL276" s="26" t="str">
        <f>IFERROR(__xludf.DUMMYFUNCTION("TEXTJOIN("", "", TRUE, FILTER(Validations!$U$2:$U$100, ISNUMBER(SEARCH(Validations!$U$2:$U$100, AI276))))"),"Hours")</f>
        <v>Hours</v>
      </c>
      <c r="AM276" s="24" t="b">
        <f t="shared" si="1"/>
        <v>0</v>
      </c>
      <c r="AN276" s="24" t="b">
        <v>0</v>
      </c>
      <c r="AO276" s="22" t="s">
        <v>105</v>
      </c>
      <c r="AP276" s="12" t="str">
        <f>IFERROR(__xludf.DUMMYFUNCTION("IF(TEXTJOIN("", "", TRUE, FILTER(Validations!$Q$2:$Q$100, ISNUMBER(SEARCH(Validations!$Q$2:$Q$100, AO276)))) = """", Validations!$Q$2, TEXTJOIN("", "", TRUE, FILTER(Validations!$Q$2:$Q$100, ISNUMBER(SEARCH(Validations!$Q$2:$Q$100, AO276)))))"),"Point")</f>
        <v>Point</v>
      </c>
      <c r="AQ276" s="12">
        <f>IFERROR(__xludf.DUMMYFUNCTION("IFERROR(VALUE(REGEXEXTRACT(AO276, ""\d+"")), """")"),10.0)</f>
        <v>10</v>
      </c>
      <c r="AR276" s="12" t="str">
        <f>IFERROR(__xludf.DUMMYFUNCTION("TEXTJOIN("", "", TRUE, FILTER(Validations!$R$2:$R$100, ISNUMBER(SEARCH(Validations!$R$2:$R$100, AO276))))"),"Feet")</f>
        <v>Feet</v>
      </c>
      <c r="AS276" s="27"/>
      <c r="AT276" s="12" t="str">
        <f>IFERROR(__xludf.DUMMYFUNCTION("IFERROR(TEXTJOIN("", "", TRUE, FILTER(Validations!$I$2:$I$100, ISNUMBER(SEARCH(Validations!$I$2:$I$100, AS276)))), """")"),"")</f>
        <v/>
      </c>
      <c r="AU276" s="16" t="str">
        <f t="array" ref="AU276">IFERROR(INDEX(Validations!$J$2:$J$100, MATCH(TRUE, ISNUMBER(SEARCH(Validations!$I$2:$I$100, AT276)), 0)), "")</f>
        <v/>
      </c>
      <c r="AV276" s="12" t="str">
        <f>IFERROR(__xludf.DUMMYFUNCTION("IFERROR(VALUE(REGEXEXTRACT(AS276, ""\d+"")), """")"),"")</f>
        <v/>
      </c>
      <c r="AW276" s="12" t="str">
        <f>IFERROR(__xludf.DUMMYFUNCTION("IFERROR(TEXTJOIN("", "", TRUE, FILTER(Validations!$Q$2:$Q$100, ISNUMBER(SEARCH(Validations!$Q$2:$Q$100, AS276)))), """")"),"")</f>
        <v/>
      </c>
      <c r="AX276" s="28" t="s">
        <v>152</v>
      </c>
      <c r="AY276" s="28" t="str">
        <f>IFERROR(__xludf.DUMMYFUNCTION("TEXTJOIN("", "", TRUE, FILTER(Validations!$Y$2:$Y$100, ISNUMBER(SEARCH(Validations!$X$2:$X$100, AX276))))"),"V, S, R")</f>
        <v>V, S, R</v>
      </c>
      <c r="AZ276" s="20" t="s">
        <v>1319</v>
      </c>
      <c r="BA276" s="22"/>
      <c r="BB276" s="22"/>
      <c r="BC276" s="22"/>
      <c r="BD276" s="22"/>
      <c r="BE276" s="27"/>
      <c r="BF276" s="22"/>
      <c r="BG276" s="27"/>
      <c r="BH276" s="27"/>
      <c r="BI276" s="12" t="str">
        <f>IFERROR(__xludf.DUMMYFUNCTION("IFERROR(TEXTJOIN("", "", TRUE, FILTER(SRD!$A$2:$A$1000, EXACT(SRD!$A$2:$A$1000, J276))), """")"),"")</f>
        <v/>
      </c>
      <c r="BJ276" s="29"/>
      <c r="BK276" s="29"/>
    </row>
    <row r="277" ht="15.75" customHeight="1">
      <c r="A277" s="30" t="s">
        <v>1320</v>
      </c>
      <c r="B277" s="22"/>
      <c r="C277" s="16"/>
      <c r="D277" s="16" t="s">
        <v>302</v>
      </c>
      <c r="E277" s="16"/>
      <c r="F277" s="32" t="s">
        <v>130</v>
      </c>
      <c r="G277" s="50" t="s">
        <v>1223</v>
      </c>
      <c r="H277" s="31" t="s">
        <v>103</v>
      </c>
      <c r="I277" s="16" t="str">
        <f t="array" ref="I277">INDEX(Validations!$C$2:$C$100, MATCH(TRUE, ISNUMBER(SEARCH(Validations!$B$2:$B$100, H277)), 0))</f>
        <v>C</v>
      </c>
      <c r="J277" s="17" t="s">
        <v>1321</v>
      </c>
      <c r="K277" s="18"/>
      <c r="L277" s="17"/>
      <c r="M277" s="17"/>
      <c r="N277" s="27"/>
      <c r="O277" s="17"/>
      <c r="P277" s="21"/>
      <c r="Q277" s="21"/>
      <c r="R277" s="22"/>
      <c r="S277" s="17" t="str">
        <f>IFERROR(__xludf.DUMMYFUNCTION("IFERROR(REGEXEXTRACT(J277, ""(\d{1,3}[dD]\d{1,3})""), """")"),"")</f>
        <v/>
      </c>
      <c r="T277" s="17" t="str">
        <f>IFERROR(__xludf.DUMMYFUNCTION("IF(COUNTIF(ARRAYFORMULA(LOWER(Validations!$O$2:$O$100)), LOWER(REGEXEXTRACT(J277, ""\d{1,3}[dD]\d{1,3}\s+(\w+)"")))&gt;0, REGEXEXTRACT(J277, ""\d{1,3}[dD]\d{1,3}\s+(\w+)""), """")"),"")</f>
        <v/>
      </c>
      <c r="U277" s="17" t="str">
        <f>IFERROR(__xludf.DUMMYFUNCTION("IF(COUNTIF(ARRAYFORMULA(LOWER(Validations!$P$2:$P$100)), LOWER(REGEXEXTRACT(J277, ""\d{1,3}[dD]\d{1,3}\s+(\w+)"")))&gt;0, REGEXEXTRACT(J277, ""\d{1,3}[dD]\d{1,3}\s+(\w+)""), """")"),"")</f>
        <v/>
      </c>
      <c r="V277" s="12" t="str">
        <f>IFERROR(__xludf.DUMMYFUNCTION("TEXTJOIN("", "", TRUE, FILTER(Validations!$L$2:$L$100, ISNUMBER(SEARCH(Validations!$L$2:$L$100, J277))))"),"")</f>
        <v/>
      </c>
      <c r="W277" s="12" t="str">
        <f>IFERROR(__xludf.DUMMYFUNCTION("IFERROR(TEXTJOIN("", "", TRUE, FILTER(Validations!$M$2:$M$100, ISNUMBER(SEARCH(Validations!$M$2:$M$100 &amp; "" saving throw"", J277)))), """")"),"")</f>
        <v/>
      </c>
      <c r="X277" s="12"/>
      <c r="Y277" s="12"/>
      <c r="Z277" s="12" t="str">
        <f>IFERROR(__xludf.DUMMYFUNCTION("IFERROR(TEXTJOIN("", "", TRUE, FILTER(Validations!$N$2:$N$100, ISNUMBER(SEARCH(Validations!$N$2:$N$100 &amp; "" check"", J277)))), """")"),"")</f>
        <v/>
      </c>
      <c r="AA277" s="12" t="str">
        <f>IFERROR(__xludf.DUMMYFUNCTION("IFERROR(TEXTJOIN("", "", TRUE, FILTER(Validations!$N$2:$N$100, ISNUMBER(SEARCH(Validations!$N$2:$N$100 &amp; "" check"", W277)))), """")"),"")</f>
        <v/>
      </c>
      <c r="AB277" s="23" t="str">
        <f>IFERROR(__xludf.DUMMYFUNCTION("IFERROR(CONCATENATE(IF(ISNUMBER(SEARCH(Validations!$M$2:$M$100 &amp; "" spell save"", J277)),""Spell Save"",""""), REGEXEXTRACT(J277, ""DC (\d+)"")), """")"),"")</f>
        <v/>
      </c>
      <c r="AC277" s="24" t="b">
        <v>0</v>
      </c>
      <c r="AD277" s="24" t="b">
        <v>0</v>
      </c>
      <c r="AE277" s="36" t="s">
        <v>69</v>
      </c>
      <c r="AF277" s="25">
        <f>IFERROR(__xludf.DUMMYFUNCTION("IFERROR(VALUE(REGEXEXTRACT(AE277, ""\d+"")), 1)"),1.0)</f>
        <v>1</v>
      </c>
      <c r="AG277" s="12" t="str">
        <f>IFERROR(__xludf.DUMMYFUNCTION("IF(
  ISNUMBER(SEARCH(""Bonus Action"", AE277)),
  ""Bonus Action"",
  IF(
    ISNUMBER(SEARCH(""Reaction"", AE277)),
    ""Reaction"",
    IF(
      ISNUMBER(SEARCH(""Action"", AE277)),
      ""Action"",
      TEXTJOIN("", "", TRUE, FILTER(Validations!$S"&amp;"$2:$S$100, ISNUMBER(SEARCH(Validations!$S$2:$S$100, AE277))))
    )
  )
)"),"Action")</f>
        <v>Action</v>
      </c>
      <c r="AH277" s="36"/>
      <c r="AI277" s="20" t="s">
        <v>296</v>
      </c>
      <c r="AJ277" s="26" t="str">
        <f>IFERROR(__xludf.DUMMYFUNCTION("TEXTJOIN("", "", TRUE, FILTER(Validations!$T$2:$T$100, ISNUMBER(SEARCH(Validations!$T$2:$T$100, AI277))))"),"")</f>
        <v/>
      </c>
      <c r="AK277" s="26">
        <f>IFERROR(__xludf.DUMMYFUNCTION("IFERROR(VALUE(REGEXEXTRACT(AI277, ""\d+"")), """")"),1.0)</f>
        <v>1</v>
      </c>
      <c r="AL277" s="26" t="str">
        <f>IFERROR(__xludf.DUMMYFUNCTION("TEXTJOIN("", "", TRUE, FILTER(Validations!$U$2:$U$100, ISNUMBER(SEARCH(Validations!$U$2:$U$100, AI277))))"),"Hours")</f>
        <v>Hours</v>
      </c>
      <c r="AM277" s="24" t="b">
        <f t="shared" si="1"/>
        <v>0</v>
      </c>
      <c r="AN277" s="24" t="b">
        <v>1</v>
      </c>
      <c r="AO277" s="22" t="s">
        <v>78</v>
      </c>
      <c r="AP277" s="12" t="str">
        <f>IFERROR(__xludf.DUMMYFUNCTION("IF(TEXTJOIN("", "", TRUE, FILTER(Validations!$Q$2:$Q$100, ISNUMBER(SEARCH(Validations!$Q$2:$Q$100, AO277)))) = """", Validations!$Q$2, TEXTJOIN("", "", TRUE, FILTER(Validations!$Q$2:$Q$100, ISNUMBER(SEARCH(Validations!$Q$2:$Q$100, AO277)))))"),"Point")</f>
        <v>Point</v>
      </c>
      <c r="AQ277" s="12" t="str">
        <f>IFERROR(__xludf.DUMMYFUNCTION("IFERROR(VALUE(REGEXEXTRACT(AO277, ""\d+"")), """")"),"")</f>
        <v/>
      </c>
      <c r="AR277" s="12" t="str">
        <f>IFERROR(__xludf.DUMMYFUNCTION("TEXTJOIN("", "", TRUE, FILTER(Validations!$R$2:$R$100, ISNUMBER(SEARCH(Validations!$R$2:$R$100, AO277))))"),"Self")</f>
        <v>Self</v>
      </c>
      <c r="AS277" s="27"/>
      <c r="AT277" s="12" t="str">
        <f>IFERROR(__xludf.DUMMYFUNCTION("IFERROR(TEXTJOIN("", "", TRUE, FILTER(Validations!$I$2:$I$100, ISNUMBER(SEARCH(Validations!$I$2:$I$100, AS277)))), """")"),"")</f>
        <v/>
      </c>
      <c r="AU277" s="16" t="str">
        <f t="array" ref="AU277">IFERROR(INDEX(Validations!$J$2:$J$100, MATCH(TRUE, ISNUMBER(SEARCH(Validations!$I$2:$I$100, AT277)), 0)), "")</f>
        <v/>
      </c>
      <c r="AV277" s="12" t="str">
        <f>IFERROR(__xludf.DUMMYFUNCTION("IFERROR(VALUE(REGEXEXTRACT(AS277, ""\d+"")), """")"),"")</f>
        <v/>
      </c>
      <c r="AW277" s="12" t="str">
        <f>IFERROR(__xludf.DUMMYFUNCTION("IFERROR(TEXTJOIN("", "", TRUE, FILTER(Validations!$Q$2:$Q$100, ISNUMBER(SEARCH(Validations!$Q$2:$Q$100, AS277)))), """")"),"")</f>
        <v/>
      </c>
      <c r="AX277" s="28" t="s">
        <v>152</v>
      </c>
      <c r="AY277" s="28" t="str">
        <f>IFERROR(__xludf.DUMMYFUNCTION("TEXTJOIN("", "", TRUE, FILTER(Validations!$Y$2:$Y$100, ISNUMBER(SEARCH(Validations!$X$2:$X$100, AX277))))"),"V, S, R")</f>
        <v>V, S, R</v>
      </c>
      <c r="AZ277" s="20" t="s">
        <v>1322</v>
      </c>
      <c r="BA277" s="22"/>
      <c r="BB277" s="22"/>
      <c r="BC277" s="22"/>
      <c r="BD277" s="22"/>
      <c r="BE277" s="27"/>
      <c r="BF277" s="22"/>
      <c r="BG277" s="27"/>
      <c r="BH277" s="27"/>
      <c r="BI277" s="12" t="str">
        <f>IFERROR(__xludf.DUMMYFUNCTION("IFERROR(TEXTJOIN("", "", TRUE, FILTER(SRD!$A$2:$A$1000, EXACT(SRD!$A$2:$A$1000, J277))), """")"),"")</f>
        <v/>
      </c>
      <c r="BJ277" s="29"/>
      <c r="BK277" s="29"/>
    </row>
    <row r="278" ht="15.75" customHeight="1">
      <c r="A278" s="30" t="s">
        <v>1323</v>
      </c>
      <c r="B278" s="22"/>
      <c r="C278" s="31"/>
      <c r="D278" s="31" t="s">
        <v>74</v>
      </c>
      <c r="E278" s="31"/>
      <c r="F278" s="40" t="s">
        <v>139</v>
      </c>
      <c r="G278" s="50" t="s">
        <v>1223</v>
      </c>
      <c r="H278" s="31" t="s">
        <v>178</v>
      </c>
      <c r="I278" s="16" t="str">
        <f t="array" ref="I278">INDEX(Validations!$C$2:$C$100, MATCH(TRUE, ISNUMBER(SEARCH(Validations!$B$2:$B$100, H278)), 0))</f>
        <v>A</v>
      </c>
      <c r="J278" s="17" t="s">
        <v>1324</v>
      </c>
      <c r="K278" s="18"/>
      <c r="L278" s="17"/>
      <c r="M278" s="17"/>
      <c r="N278" s="27"/>
      <c r="O278" s="17"/>
      <c r="P278" s="21"/>
      <c r="Q278" s="21"/>
      <c r="R278" s="22"/>
      <c r="S278" s="17" t="str">
        <f>IFERROR(__xludf.DUMMYFUNCTION("IFERROR(REGEXEXTRACT(J278, ""(\d{1,3}[dD]\d{1,3})""), """")"),"")</f>
        <v/>
      </c>
      <c r="T278" s="17" t="str">
        <f>IFERROR(__xludf.DUMMYFUNCTION("IF(COUNTIF(ARRAYFORMULA(LOWER(Validations!$O$2:$O$100)), LOWER(REGEXEXTRACT(J278, ""\d{1,3}[dD]\d{1,3}\s+(\w+)"")))&gt;0, REGEXEXTRACT(J278, ""\d{1,3}[dD]\d{1,3}\s+(\w+)""), """")"),"")</f>
        <v/>
      </c>
      <c r="U278" s="17" t="str">
        <f>IFERROR(__xludf.DUMMYFUNCTION("IF(COUNTIF(ARRAYFORMULA(LOWER(Validations!$P$2:$P$100)), LOWER(REGEXEXTRACT(J278, ""\d{1,3}[dD]\d{1,3}\s+(\w+)"")))&gt;0, REGEXEXTRACT(J278, ""\d{1,3}[dD]\d{1,3}\s+(\w+)""), """")"),"")</f>
        <v/>
      </c>
      <c r="V278" s="12" t="str">
        <f>IFERROR(__xludf.DUMMYFUNCTION("TEXTJOIN("", "", TRUE, FILTER(Validations!$L$2:$L$100, ISNUMBER(SEARCH(Validations!$L$2:$L$100, J278))))"),"")</f>
        <v/>
      </c>
      <c r="W278" s="12" t="str">
        <f>IFERROR(__xludf.DUMMYFUNCTION("IFERROR(TEXTJOIN("", "", TRUE, FILTER(Validations!$M$2:$M$100, ISNUMBER(SEARCH(Validations!$M$2:$M$100 &amp; "" saving throw"", J278)))), """")"),"")</f>
        <v/>
      </c>
      <c r="X278" s="12"/>
      <c r="Y278" s="12"/>
      <c r="Z278" s="12" t="str">
        <f>IFERROR(__xludf.DUMMYFUNCTION("IFERROR(TEXTJOIN("", "", TRUE, FILTER(Validations!$N$2:$N$100, ISNUMBER(SEARCH(Validations!$N$2:$N$100 &amp; "" check"", J278)))), """")"),"")</f>
        <v/>
      </c>
      <c r="AA278" s="12" t="str">
        <f>IFERROR(__xludf.DUMMYFUNCTION("IFERROR(TEXTJOIN("", "", TRUE, FILTER(Validations!$N$2:$N$100, ISNUMBER(SEARCH(Validations!$N$2:$N$100 &amp; "" check"", W278)))), """")"),"")</f>
        <v/>
      </c>
      <c r="AB278" s="23" t="str">
        <f>IFERROR(__xludf.DUMMYFUNCTION("IFERROR(CONCATENATE(IF(ISNUMBER(SEARCH(Validations!$M$2:$M$100 &amp; "" spell save"", J278)),""Spell Save"",""""), REGEXEXTRACT(J278, ""DC (\d+)"")), """")"),"")</f>
        <v/>
      </c>
      <c r="AC278" s="24" t="b">
        <v>0</v>
      </c>
      <c r="AD278" s="24" t="b">
        <v>0</v>
      </c>
      <c r="AE278" s="36" t="s">
        <v>208</v>
      </c>
      <c r="AF278" s="25">
        <f>IFERROR(__xludf.DUMMYFUNCTION("IFERROR(VALUE(REGEXEXTRACT(AE278, ""\d+"")), 1)"),1.0)</f>
        <v>1</v>
      </c>
      <c r="AG278" s="12" t="str">
        <f>IFERROR(__xludf.DUMMYFUNCTION("IF(
  ISNUMBER(SEARCH(""Bonus Action"", AE278)),
  ""Bonus Action"",
  IF(
    ISNUMBER(SEARCH(""Reaction"", AE278)),
    ""Reaction"",
    IF(
      ISNUMBER(SEARCH(""Action"", AE278)),
      ""Action"",
      TEXTJOIN("", "", TRUE, FILTER(Validations!$S"&amp;"$2:$S$100, ISNUMBER(SEARCH(Validations!$S$2:$S$100, AE278))))
    )
  )
)"),"Reaction")</f>
        <v>Reaction</v>
      </c>
      <c r="AH278" s="36" t="s">
        <v>1325</v>
      </c>
      <c r="AI278" s="27" t="s">
        <v>70</v>
      </c>
      <c r="AJ278" s="26" t="str">
        <f>IFERROR(__xludf.DUMMYFUNCTION("TEXTJOIN("", "", TRUE, FILTER(Validations!$T$2:$T$100, ISNUMBER(SEARCH(Validations!$T$2:$T$100, AI278))))"),"Instantaneous")</f>
        <v>Instantaneous</v>
      </c>
      <c r="AK278" s="26" t="str">
        <f>IFERROR(__xludf.DUMMYFUNCTION("IFERROR(VALUE(REGEXEXTRACT(AI278, ""\d+"")), """")"),"")</f>
        <v/>
      </c>
      <c r="AL278" s="26" t="str">
        <f>IFERROR(__xludf.DUMMYFUNCTION("TEXTJOIN("", "", TRUE, FILTER(Validations!$U$2:$U$100, ISNUMBER(SEARCH(Validations!$U$2:$U$100, AI278))))"),"")</f>
        <v/>
      </c>
      <c r="AM278" s="24" t="b">
        <f t="shared" si="1"/>
        <v>0</v>
      </c>
      <c r="AN278" s="24" t="b">
        <v>0</v>
      </c>
      <c r="AO278" s="22" t="s">
        <v>78</v>
      </c>
      <c r="AP278" s="12" t="str">
        <f>IFERROR(__xludf.DUMMYFUNCTION("IF(TEXTJOIN("", "", TRUE, FILTER(Validations!$Q$2:$Q$100, ISNUMBER(SEARCH(Validations!$Q$2:$Q$100, AO278)))) = """", Validations!$Q$2, TEXTJOIN("", "", TRUE, FILTER(Validations!$Q$2:$Q$100, ISNUMBER(SEARCH(Validations!$Q$2:$Q$100, AO278)))))"),"Point")</f>
        <v>Point</v>
      </c>
      <c r="AQ278" s="12" t="str">
        <f>IFERROR(__xludf.DUMMYFUNCTION("IFERROR(VALUE(REGEXEXTRACT(AO278, ""\d+"")), """")"),"")</f>
        <v/>
      </c>
      <c r="AR278" s="12" t="str">
        <f>IFERROR(__xludf.DUMMYFUNCTION("TEXTJOIN("", "", TRUE, FILTER(Validations!$R$2:$R$100, ISNUMBER(SEARCH(Validations!$R$2:$R$100, AO278))))"),"Self")</f>
        <v>Self</v>
      </c>
      <c r="AS278" s="27"/>
      <c r="AT278" s="12" t="str">
        <f>IFERROR(__xludf.DUMMYFUNCTION("IFERROR(TEXTJOIN("", "", TRUE, FILTER(Validations!$I$2:$I$100, ISNUMBER(SEARCH(Validations!$I$2:$I$100, AS278)))), """")"),"")</f>
        <v/>
      </c>
      <c r="AU278" s="16" t="str">
        <f t="array" ref="AU278">IFERROR(INDEX(Validations!$J$2:$J$100, MATCH(TRUE, ISNUMBER(SEARCH(Validations!$I$2:$I$100, AT278)), 0)), "")</f>
        <v/>
      </c>
      <c r="AV278" s="12" t="str">
        <f>IFERROR(__xludf.DUMMYFUNCTION("IFERROR(VALUE(REGEXEXTRACT(AS278, ""\d+"")), """")"),"")</f>
        <v/>
      </c>
      <c r="AW278" s="12" t="str">
        <f>IFERROR(__xludf.DUMMYFUNCTION("IFERROR(TEXTJOIN("", "", TRUE, FILTER(Validations!$Q$2:$Q$100, ISNUMBER(SEARCH(Validations!$Q$2:$Q$100, AS278)))), """")"),"")</f>
        <v/>
      </c>
      <c r="AX278" s="28" t="s">
        <v>142</v>
      </c>
      <c r="AY278" s="28" t="str">
        <f>IFERROR(__xludf.DUMMYFUNCTION("TEXTJOIN("", "", TRUE, FILTER(Validations!$Y$2:$Y$100, ISNUMBER(SEARCH(Validations!$X$2:$X$100, AX278))))"),"V, S")</f>
        <v>V, S</v>
      </c>
      <c r="AZ278" s="27"/>
      <c r="BA278" s="22"/>
      <c r="BB278" s="22"/>
      <c r="BC278" s="22"/>
      <c r="BD278" s="22"/>
      <c r="BE278" s="27"/>
      <c r="BF278" s="22"/>
      <c r="BG278" s="27"/>
      <c r="BH278" s="27"/>
      <c r="BI278" s="12" t="str">
        <f>IFERROR(__xludf.DUMMYFUNCTION("IFERROR(TEXTJOIN("", "", TRUE, FILTER(SRD!$A$2:$A$1000, EXACT(SRD!$A$2:$A$1000, J278))), """")"),"")</f>
        <v/>
      </c>
      <c r="BJ278" s="29"/>
      <c r="BK278" s="29"/>
    </row>
    <row r="279" ht="15.75" customHeight="1">
      <c r="A279" s="30" t="s">
        <v>1326</v>
      </c>
      <c r="B279" s="22"/>
      <c r="C279" s="31"/>
      <c r="D279" s="31" t="s">
        <v>191</v>
      </c>
      <c r="E279" s="31"/>
      <c r="F279" s="32" t="s">
        <v>1327</v>
      </c>
      <c r="G279" s="50" t="s">
        <v>1223</v>
      </c>
      <c r="H279" s="31" t="s">
        <v>183</v>
      </c>
      <c r="I279" s="16" t="str">
        <f t="array" ref="I279">INDEX(Validations!$C$2:$C$100, MATCH(TRUE, ISNUMBER(SEARCH(Validations!$B$2:$B$100, H279)), 0))</f>
        <v>E</v>
      </c>
      <c r="J279" s="17" t="s">
        <v>1328</v>
      </c>
      <c r="K279" s="18"/>
      <c r="L279" s="17"/>
      <c r="M279" s="17"/>
      <c r="N279" s="27"/>
      <c r="O279" s="17" t="s">
        <v>1329</v>
      </c>
      <c r="P279" s="21"/>
      <c r="Q279" s="21"/>
      <c r="R279" s="22"/>
      <c r="S279" s="17" t="str">
        <f>IFERROR(__xludf.DUMMYFUNCTION("IFERROR(REGEXEXTRACT(J279, ""(\d{1,3}[dD]\d{1,3})""), """")"),"1d3")</f>
        <v>1d3</v>
      </c>
      <c r="T279" s="17" t="str">
        <f>IFERROR(__xludf.DUMMYFUNCTION("IF(COUNTIF(ARRAYFORMULA(LOWER(Validations!$O$2:$O$100)), LOWER(REGEXEXTRACT(J279, ""\d{1,3}[dD]\d{1,3}\s+(\w+)"")))&gt;0, REGEXEXTRACT(J279, ""\d{1,3}[dD]\d{1,3}\s+(\w+)""), """")"),"")</f>
        <v/>
      </c>
      <c r="U279" s="17" t="str">
        <f>IFERROR(__xludf.DUMMYFUNCTION("IF(COUNTIF(ARRAYFORMULA(LOWER(Validations!$P$2:$P$100)), LOWER(REGEXEXTRACT(J279, ""\d{1,3}[dD]\d{1,3}\s+(\w+)"")))&gt;0, REGEXEXTRACT(J279, ""\d{1,3}[dD]\d{1,3}\s+(\w+)""), """")"),"")</f>
        <v/>
      </c>
      <c r="V279" s="12" t="str">
        <f>IFERROR(__xludf.DUMMYFUNCTION("TEXTJOIN("", "", TRUE, FILTER(Validations!$L$2:$L$100, ISNUMBER(SEARCH(Validations!$L$2:$L$100, J279))))"),"Charmed")</f>
        <v>Charmed</v>
      </c>
      <c r="W279" s="12" t="str">
        <f>IFERROR(__xludf.DUMMYFUNCTION("IFERROR(TEXTJOIN("", "", TRUE, FILTER(Validations!$M$2:$M$100, ISNUMBER(SEARCH(Validations!$M$2:$M$100 &amp; "" saving throw"", J279)))), """")"),"Wisdom")</f>
        <v>Wisdom</v>
      </c>
      <c r="X279" s="12"/>
      <c r="Y279" s="12"/>
      <c r="Z279" s="12" t="str">
        <f>IFERROR(__xludf.DUMMYFUNCTION("IFERROR(TEXTJOIN("", "", TRUE, FILTER(Validations!$N$2:$N$100, ISNUMBER(SEARCH(Validations!$N$2:$N$100 &amp; "" check"", J279)))), """")"),"")</f>
        <v/>
      </c>
      <c r="AA279" s="12" t="str">
        <f>IFERROR(__xludf.DUMMYFUNCTION("IFERROR(TEXTJOIN("", "", TRUE, FILTER(Validations!$N$2:$N$100, ISNUMBER(SEARCH(Validations!$N$2:$N$100 &amp; "" check"", W279)))), """")"),"")</f>
        <v/>
      </c>
      <c r="AB279" s="23" t="str">
        <f>IFERROR(__xludf.DUMMYFUNCTION("IFERROR(CONCATENATE(IF(ISNUMBER(SEARCH(Validations!$M$2:$M$100 &amp; "" spell save"", J279)),""Spell Save"",""""), REGEXEXTRACT(J279, ""DC (\d+)"")), """")"),"")</f>
        <v/>
      </c>
      <c r="AC279" s="24" t="b">
        <v>0</v>
      </c>
      <c r="AD279" s="24" t="b">
        <v>0</v>
      </c>
      <c r="AE279" s="36" t="s">
        <v>69</v>
      </c>
      <c r="AF279" s="25">
        <f>IFERROR(__xludf.DUMMYFUNCTION("IFERROR(VALUE(REGEXEXTRACT(AE279, ""\d+"")), 1)"),1.0)</f>
        <v>1</v>
      </c>
      <c r="AG279" s="12" t="str">
        <f>IFERROR(__xludf.DUMMYFUNCTION("IF(
  ISNUMBER(SEARCH(""Bonus Action"", AE279)),
  ""Bonus Action"",
  IF(
    ISNUMBER(SEARCH(""Reaction"", AE279)),
    ""Reaction"",
    IF(
      ISNUMBER(SEARCH(""Action"", AE279)),
      ""Action"",
      TEXTJOIN("", "", TRUE, FILTER(Validations!$S"&amp;"$2:$S$100, ISNUMBER(SEARCH(Validations!$S$2:$S$100, AE279))))
    )
  )
)"),"Action")</f>
        <v>Action</v>
      </c>
      <c r="AH279" s="36"/>
      <c r="AI279" s="20" t="s">
        <v>1330</v>
      </c>
      <c r="AJ279" s="26" t="str">
        <f>IFERROR(__xludf.DUMMYFUNCTION("TEXTJOIN("", "", TRUE, FILTER(Validations!$T$2:$T$100, ISNUMBER(SEARCH(Validations!$T$2:$T$100, AI279))))"),"")</f>
        <v/>
      </c>
      <c r="AK279" s="26">
        <f>IFERROR(__xludf.DUMMYFUNCTION("IFERROR(VALUE(REGEXEXTRACT(AI279, ""\d+"")), """")"),10.0)</f>
        <v>10</v>
      </c>
      <c r="AL279" s="26" t="str">
        <f>IFERROR(__xludf.DUMMYFUNCTION("TEXTJOIN("", "", TRUE, FILTER(Validations!$U$2:$U$100, ISNUMBER(SEARCH(Validations!$U$2:$U$100, AI279))))"),"Rounds")</f>
        <v>Rounds</v>
      </c>
      <c r="AM279" s="24" t="b">
        <f t="shared" si="1"/>
        <v>0</v>
      </c>
      <c r="AN279" s="24" t="b">
        <v>0</v>
      </c>
      <c r="AO279" s="22" t="s">
        <v>1331</v>
      </c>
      <c r="AP279" s="12" t="str">
        <f>IFERROR(__xludf.DUMMYFUNCTION("IF(TEXTJOIN("", "", TRUE, FILTER(Validations!$Q$2:$Q$100, ISNUMBER(SEARCH(Validations!$Q$2:$Q$100, AO279)))) = """", Validations!$Q$2, TEXTJOIN("", "", TRUE, FILTER(Validations!$Q$2:$Q$100, ISNUMBER(SEARCH(Validations!$Q$2:$Q$100, AO279)))))"),"Point")</f>
        <v>Point</v>
      </c>
      <c r="AQ279" s="12">
        <f>IFERROR(__xludf.DUMMYFUNCTION("IFERROR(VALUE(REGEXEXTRACT(AO279, ""\d+"")), """")"),5.0)</f>
        <v>5</v>
      </c>
      <c r="AR279" s="12" t="str">
        <f>IFERROR(__xludf.DUMMYFUNCTION("TEXTJOIN("", "", TRUE, FILTER(Validations!$R$2:$R$100, ISNUMBER(SEARCH(Validations!$R$2:$R$100, AO279))))"),"Yards")</f>
        <v>Yards</v>
      </c>
      <c r="AS279" s="27"/>
      <c r="AT279" s="12" t="str">
        <f>IFERROR(__xludf.DUMMYFUNCTION("IFERROR(TEXTJOIN("", "", TRUE, FILTER(Validations!$I$2:$I$100, ISNUMBER(SEARCH(Validations!$I$2:$I$100, AS279)))), """")"),"")</f>
        <v/>
      </c>
      <c r="AU279" s="16" t="str">
        <f t="array" ref="AU279">IFERROR(INDEX(Validations!$J$2:$J$100, MATCH(TRUE, ISNUMBER(SEARCH(Validations!$I$2:$I$100, AT279)), 0)), "")</f>
        <v/>
      </c>
      <c r="AV279" s="12" t="str">
        <f>IFERROR(__xludf.DUMMYFUNCTION("IFERROR(VALUE(REGEXEXTRACT(AS279, ""\d+"")), """")"),"")</f>
        <v/>
      </c>
      <c r="AW279" s="12" t="str">
        <f>IFERROR(__xludf.DUMMYFUNCTION("IFERROR(TEXTJOIN("", "", TRUE, FILTER(Validations!$Q$2:$Q$100, ISNUMBER(SEARCH(Validations!$Q$2:$Q$100, AS279)))), """")"),"")</f>
        <v/>
      </c>
      <c r="AX279" s="28" t="s">
        <v>152</v>
      </c>
      <c r="AY279" s="28" t="str">
        <f>IFERROR(__xludf.DUMMYFUNCTION("TEXTJOIN("", "", TRUE, FILTER(Validations!$Y$2:$Y$100, ISNUMBER(SEARCH(Validations!$X$2:$X$100, AX279))))"),"V, S, R")</f>
        <v>V, S, R</v>
      </c>
      <c r="AZ279" s="20" t="s">
        <v>1332</v>
      </c>
      <c r="BA279" s="22"/>
      <c r="BB279" s="22"/>
      <c r="BC279" s="22"/>
      <c r="BD279" s="22"/>
      <c r="BE279" s="27"/>
      <c r="BF279" s="22"/>
      <c r="BG279" s="27"/>
      <c r="BH279" s="27"/>
      <c r="BI279" s="12" t="str">
        <f>IFERROR(__xludf.DUMMYFUNCTION("IFERROR(TEXTJOIN("", "", TRUE, FILTER(SRD!$A$2:$A$1000, EXACT(SRD!$A$2:$A$1000, J279))), """")"),"")</f>
        <v/>
      </c>
      <c r="BJ279" s="29"/>
      <c r="BK279" s="29"/>
    </row>
    <row r="280" ht="15.75" customHeight="1">
      <c r="A280" s="30" t="s">
        <v>1333</v>
      </c>
      <c r="B280" s="22"/>
      <c r="C280" s="16"/>
      <c r="D280" s="16" t="s">
        <v>713</v>
      </c>
      <c r="E280" s="16"/>
      <c r="F280" s="32" t="s">
        <v>515</v>
      </c>
      <c r="G280" s="50" t="s">
        <v>1223</v>
      </c>
      <c r="H280" s="16" t="s">
        <v>85</v>
      </c>
      <c r="I280" s="16" t="str">
        <f t="array" ref="I280">INDEX(Validations!$C$2:$C$100, MATCH(TRUE, ISNUMBER(SEARCH(Validations!$B$2:$B$100, H280)), 0))</f>
        <v>T</v>
      </c>
      <c r="J280" s="17" t="s">
        <v>1334</v>
      </c>
      <c r="K280" s="18"/>
      <c r="L280" s="17"/>
      <c r="M280" s="17"/>
      <c r="N280" s="27"/>
      <c r="O280" s="17" t="s">
        <v>1335</v>
      </c>
      <c r="P280" s="21"/>
      <c r="Q280" s="21"/>
      <c r="R280" s="22"/>
      <c r="S280" s="17" t="str">
        <f>IFERROR(__xludf.DUMMYFUNCTION("IFERROR(REGEXEXTRACT(J280, ""(\d{1,3}[dD]\d{1,3})""), """")"),"")</f>
        <v/>
      </c>
      <c r="T280" s="17" t="str">
        <f>IFERROR(__xludf.DUMMYFUNCTION("IF(COUNTIF(ARRAYFORMULA(LOWER(Validations!$O$2:$O$100)), LOWER(REGEXEXTRACT(J280, ""\d{1,3}[dD]\d{1,3}\s+(\w+)"")))&gt;0, REGEXEXTRACT(J280, ""\d{1,3}[dD]\d{1,3}\s+(\w+)""), """")"),"")</f>
        <v/>
      </c>
      <c r="U280" s="17" t="str">
        <f>IFERROR(__xludf.DUMMYFUNCTION("IF(COUNTIF(ARRAYFORMULA(LOWER(Validations!$P$2:$P$100)), LOWER(REGEXEXTRACT(J280, ""\d{1,3}[dD]\d{1,3}\s+(\w+)"")))&gt;0, REGEXEXTRACT(J280, ""\d{1,3}[dD]\d{1,3}\s+(\w+)""), """")"),"")</f>
        <v/>
      </c>
      <c r="V280" s="12" t="str">
        <f>IFERROR(__xludf.DUMMYFUNCTION("TEXTJOIN("", "", TRUE, FILTER(Validations!$L$2:$L$100, ISNUMBER(SEARCH(Validations!$L$2:$L$100, J280))))"),"")</f>
        <v/>
      </c>
      <c r="W280" s="12" t="str">
        <f>IFERROR(__xludf.DUMMYFUNCTION("IFERROR(TEXTJOIN("", "", TRUE, FILTER(Validations!$M$2:$M$100, ISNUMBER(SEARCH(Validations!$M$2:$M$100 &amp; "" saving throw"", J280)))), """")"),"")</f>
        <v/>
      </c>
      <c r="X280" s="12"/>
      <c r="Y280" s="12"/>
      <c r="Z280" s="12" t="str">
        <f>IFERROR(__xludf.DUMMYFUNCTION("IFERROR(TEXTJOIN("", "", TRUE, FILTER(Validations!$N$2:$N$100, ISNUMBER(SEARCH(Validations!$N$2:$N$100 &amp; "" check"", J280)))), """")"),"")</f>
        <v/>
      </c>
      <c r="AA280" s="12" t="str">
        <f>IFERROR(__xludf.DUMMYFUNCTION("IFERROR(TEXTJOIN("", "", TRUE, FILTER(Validations!$N$2:$N$100, ISNUMBER(SEARCH(Validations!$N$2:$N$100 &amp; "" check"", W280)))), """")"),"")</f>
        <v/>
      </c>
      <c r="AB280" s="23" t="str">
        <f>IFERROR(__xludf.DUMMYFUNCTION("IFERROR(CONCATENATE(IF(ISNUMBER(SEARCH(Validations!$M$2:$M$100 &amp; "" spell save"", J280)),""Spell Save"",""""), REGEXEXTRACT(J280, ""DC (\d+)"")), """")"),"")</f>
        <v/>
      </c>
      <c r="AC280" s="24" t="b">
        <v>0</v>
      </c>
      <c r="AD280" s="24" t="b">
        <v>0</v>
      </c>
      <c r="AE280" s="36" t="s">
        <v>69</v>
      </c>
      <c r="AF280" s="25">
        <f>IFERROR(__xludf.DUMMYFUNCTION("IFERROR(VALUE(REGEXEXTRACT(AE280, ""\d+"")), 1)"),1.0)</f>
        <v>1</v>
      </c>
      <c r="AG280" s="12" t="str">
        <f>IFERROR(__xludf.DUMMYFUNCTION("IF(
  ISNUMBER(SEARCH(""Bonus Action"", AE280)),
  ""Bonus Action"",
  IF(
    ISNUMBER(SEARCH(""Reaction"", AE280)),
    ""Reaction"",
    IF(
      ISNUMBER(SEARCH(""Action"", AE280)),
      ""Action"",
      TEXTJOIN("", "", TRUE, FILTER(Validations!$S"&amp;"$2:$S$100, ISNUMBER(SEARCH(Validations!$S$2:$S$100, AE280))))
    )
  )
)"),"Action")</f>
        <v>Action</v>
      </c>
      <c r="AH280" s="36"/>
      <c r="AI280" s="20" t="s">
        <v>1008</v>
      </c>
      <c r="AJ280" s="26" t="str">
        <f>IFERROR(__xludf.DUMMYFUNCTION("TEXTJOIN("", "", TRUE, FILTER(Validations!$T$2:$T$100, ISNUMBER(SEARCH(Validations!$T$2:$T$100, AI280))))"),"")</f>
        <v/>
      </c>
      <c r="AK280" s="26">
        <f>IFERROR(__xludf.DUMMYFUNCTION("IFERROR(VALUE(REGEXEXTRACT(AI280, ""\d+"")), """")"),8.0)</f>
        <v>8</v>
      </c>
      <c r="AL280" s="26" t="str">
        <f>IFERROR(__xludf.DUMMYFUNCTION("TEXTJOIN("", "", TRUE, FILTER(Validations!$U$2:$U$100, ISNUMBER(SEARCH(Validations!$U$2:$U$100, AI280))))"),"Hours")</f>
        <v>Hours</v>
      </c>
      <c r="AM280" s="24" t="b">
        <f t="shared" si="1"/>
        <v>0</v>
      </c>
      <c r="AN280" s="24" t="b">
        <v>0</v>
      </c>
      <c r="AO280" s="22" t="s">
        <v>71</v>
      </c>
      <c r="AP280" s="12" t="str">
        <f>IFERROR(__xludf.DUMMYFUNCTION("IF(TEXTJOIN("", "", TRUE, FILTER(Validations!$Q$2:$Q$100, ISNUMBER(SEARCH(Validations!$Q$2:$Q$100, AO280)))) = """", Validations!$Q$2, TEXTJOIN("", "", TRUE, FILTER(Validations!$Q$2:$Q$100, ISNUMBER(SEARCH(Validations!$Q$2:$Q$100, AO280)))))"),"Point")</f>
        <v>Point</v>
      </c>
      <c r="AQ280" s="12" t="str">
        <f>IFERROR(__xludf.DUMMYFUNCTION("IFERROR(VALUE(REGEXEXTRACT(AO280, ""\d+"")), """")"),"")</f>
        <v/>
      </c>
      <c r="AR280" s="12" t="str">
        <f>IFERROR(__xludf.DUMMYFUNCTION("TEXTJOIN("", "", TRUE, FILTER(Validations!$R$2:$R$100, ISNUMBER(SEARCH(Validations!$R$2:$R$100, AO280))))"),"Touch")</f>
        <v>Touch</v>
      </c>
      <c r="AS280" s="27"/>
      <c r="AT280" s="12" t="str">
        <f>IFERROR(__xludf.DUMMYFUNCTION("IFERROR(TEXTJOIN("", "", TRUE, FILTER(Validations!$I$2:$I$100, ISNUMBER(SEARCH(Validations!$I$2:$I$100, AS280)))), """")"),"")</f>
        <v/>
      </c>
      <c r="AU280" s="16" t="str">
        <f t="array" ref="AU280">IFERROR(INDEX(Validations!$J$2:$J$100, MATCH(TRUE, ISNUMBER(SEARCH(Validations!$I$2:$I$100, AT280)), 0)), "")</f>
        <v/>
      </c>
      <c r="AV280" s="12" t="str">
        <f>IFERROR(__xludf.DUMMYFUNCTION("IFERROR(VALUE(REGEXEXTRACT(AS280, ""\d+"")), """")"),"")</f>
        <v/>
      </c>
      <c r="AW280" s="12" t="str">
        <f>IFERROR(__xludf.DUMMYFUNCTION("IFERROR(TEXTJOIN("", "", TRUE, FILTER(Validations!$Q$2:$Q$100, ISNUMBER(SEARCH(Validations!$Q$2:$Q$100, AS280)))), """")"),"")</f>
        <v/>
      </c>
      <c r="AX280" s="28" t="s">
        <v>152</v>
      </c>
      <c r="AY280" s="28" t="str">
        <f>IFERROR(__xludf.DUMMYFUNCTION("TEXTJOIN("", "", TRUE, FILTER(Validations!$Y$2:$Y$100, ISNUMBER(SEARCH(Validations!$X$2:$X$100, AX280))))"),"V, S, R")</f>
        <v>V, S, R</v>
      </c>
      <c r="AZ280" s="20" t="s">
        <v>1336</v>
      </c>
      <c r="BA280" s="22"/>
      <c r="BB280" s="22"/>
      <c r="BC280" s="22"/>
      <c r="BD280" s="22" t="s">
        <v>1337</v>
      </c>
      <c r="BE280" s="27"/>
      <c r="BF280" s="28" t="s">
        <v>352</v>
      </c>
      <c r="BG280" s="27"/>
      <c r="BH280" s="20" t="s">
        <v>1338</v>
      </c>
      <c r="BI280" s="12" t="str">
        <f>IFERROR(__xludf.DUMMYFUNCTION("IFERROR(TEXTJOIN("", "", TRUE, FILTER(SRD!$A$2:$A$1000, EXACT(SRD!$A$2:$A$1000, J280))), """")"),"")</f>
        <v/>
      </c>
      <c r="BJ280" s="29"/>
      <c r="BK280" s="29"/>
    </row>
    <row r="281" ht="15.75" customHeight="1">
      <c r="A281" s="30" t="s">
        <v>1339</v>
      </c>
      <c r="B281" s="22"/>
      <c r="C281" s="16"/>
      <c r="D281" s="16" t="s">
        <v>1340</v>
      </c>
      <c r="E281" s="16"/>
      <c r="F281" s="40" t="s">
        <v>102</v>
      </c>
      <c r="G281" s="50" t="s">
        <v>1223</v>
      </c>
      <c r="H281" s="16" t="s">
        <v>103</v>
      </c>
      <c r="I281" s="16" t="str">
        <f t="array" ref="I281">INDEX(Validations!$C$2:$C$100, MATCH(TRUE, ISNUMBER(SEARCH(Validations!$B$2:$B$100, H281)), 0))</f>
        <v>C</v>
      </c>
      <c r="J281" s="17" t="s">
        <v>1341</v>
      </c>
      <c r="K281" s="18"/>
      <c r="L281" s="17"/>
      <c r="M281" s="17"/>
      <c r="N281" s="27"/>
      <c r="O281" s="17"/>
      <c r="P281" s="21"/>
      <c r="Q281" s="21"/>
      <c r="R281" s="22"/>
      <c r="S281" s="17" t="str">
        <f>IFERROR(__xludf.DUMMYFUNCTION("IFERROR(REGEXEXTRACT(J281, ""(\d{1,3}[dD]\d{1,3})""), """")"),"")</f>
        <v/>
      </c>
      <c r="T281" s="17" t="str">
        <f>IFERROR(__xludf.DUMMYFUNCTION("IF(COUNTIF(ARRAYFORMULA(LOWER(Validations!$O$2:$O$100)), LOWER(REGEXEXTRACT(J281, ""\d{1,3}[dD]\d{1,3}\s+(\w+)"")))&gt;0, REGEXEXTRACT(J281, ""\d{1,3}[dD]\d{1,3}\s+(\w+)""), """")"),"")</f>
        <v/>
      </c>
      <c r="U281" s="17" t="str">
        <f>IFERROR(__xludf.DUMMYFUNCTION("IF(COUNTIF(ARRAYFORMULA(LOWER(Validations!$P$2:$P$100)), LOWER(REGEXEXTRACT(J281, ""\d{1,3}[dD]\d{1,3}\s+(\w+)"")))&gt;0, REGEXEXTRACT(J281, ""\d{1,3}[dD]\d{1,3}\s+(\w+)""), """")"),"")</f>
        <v/>
      </c>
      <c r="V281" s="12" t="str">
        <f>IFERROR(__xludf.DUMMYFUNCTION("TEXTJOIN("", "", TRUE, FILTER(Validations!$L$2:$L$100, ISNUMBER(SEARCH(Validations!$L$2:$L$100, J281))))"),"")</f>
        <v/>
      </c>
      <c r="W281" s="12" t="str">
        <f>IFERROR(__xludf.DUMMYFUNCTION("IFERROR(TEXTJOIN("", "", TRUE, FILTER(Validations!$M$2:$M$100, ISNUMBER(SEARCH(Validations!$M$2:$M$100 &amp; "" saving throw"", J281)))), """")"),"")</f>
        <v/>
      </c>
      <c r="X281" s="12"/>
      <c r="Y281" s="12"/>
      <c r="Z281" s="12" t="str">
        <f>IFERROR(__xludf.DUMMYFUNCTION("IFERROR(TEXTJOIN("", "", TRUE, FILTER(Validations!$N$2:$N$100, ISNUMBER(SEARCH(Validations!$N$2:$N$100 &amp; "" check"", J281)))), """")"),"")</f>
        <v/>
      </c>
      <c r="AA281" s="12" t="str">
        <f>IFERROR(__xludf.DUMMYFUNCTION("IFERROR(TEXTJOIN("", "", TRUE, FILTER(Validations!$N$2:$N$100, ISNUMBER(SEARCH(Validations!$N$2:$N$100 &amp; "" check"", W281)))), """")"),"")</f>
        <v/>
      </c>
      <c r="AB281" s="23" t="str">
        <f>IFERROR(__xludf.DUMMYFUNCTION("IFERROR(CONCATENATE(IF(ISNUMBER(SEARCH(Validations!$M$2:$M$100 &amp; "" spell save"", J281)),""Spell Save"",""""), REGEXEXTRACT(J281, ""DC (\d+)"")), """")"),"")</f>
        <v/>
      </c>
      <c r="AC281" s="24" t="b">
        <v>0</v>
      </c>
      <c r="AD281" s="24" t="b">
        <v>0</v>
      </c>
      <c r="AE281" s="36" t="s">
        <v>69</v>
      </c>
      <c r="AF281" s="25">
        <f>IFERROR(__xludf.DUMMYFUNCTION("IFERROR(VALUE(REGEXEXTRACT(AE281, ""\d+"")), 1)"),1.0)</f>
        <v>1</v>
      </c>
      <c r="AG281" s="12" t="str">
        <f>IFERROR(__xludf.DUMMYFUNCTION("IF(
  ISNUMBER(SEARCH(""Bonus Action"", AE281)),
  ""Bonus Action"",
  IF(
    ISNUMBER(SEARCH(""Reaction"", AE281)),
    ""Reaction"",
    IF(
      ISNUMBER(SEARCH(""Action"", AE281)),
      ""Action"",
      TEXTJOIN("", "", TRUE, FILTER(Validations!$S"&amp;"$2:$S$100, ISNUMBER(SEARCH(Validations!$S$2:$S$100, AE281))))
    )
  )
)"),"Action")</f>
        <v>Action</v>
      </c>
      <c r="AH281" s="22"/>
      <c r="AI281" s="20" t="s">
        <v>1342</v>
      </c>
      <c r="AJ281" s="26" t="str">
        <f>IFERROR(__xludf.DUMMYFUNCTION("TEXTJOIN("", "", TRUE, FILTER(Validations!$T$2:$T$100, ISNUMBER(SEARCH(Validations!$T$2:$T$100, AI281))))"),"")</f>
        <v/>
      </c>
      <c r="AK281" s="26">
        <f>IFERROR(__xludf.DUMMYFUNCTION("IFERROR(VALUE(REGEXEXTRACT(AI281, ""\d+"")), """")"),5.0)</f>
        <v>5</v>
      </c>
      <c r="AL281" s="26" t="str">
        <f>IFERROR(__xludf.DUMMYFUNCTION("TEXTJOIN("", "", TRUE, FILTER(Validations!$U$2:$U$100, ISNUMBER(SEARCH(Validations!$U$2:$U$100, AI281))))"),"Hours")</f>
        <v>Hours</v>
      </c>
      <c r="AM281" s="24" t="b">
        <f t="shared" si="1"/>
        <v>0</v>
      </c>
      <c r="AN281" s="24" t="b">
        <v>0</v>
      </c>
      <c r="AO281" s="36" t="s">
        <v>440</v>
      </c>
      <c r="AP281" s="12" t="str">
        <f>IFERROR(__xludf.DUMMYFUNCTION("IF(TEXTJOIN("", "", TRUE, FILTER(Validations!$Q$2:$Q$100, ISNUMBER(SEARCH(Validations!$Q$2:$Q$100, AO281)))) = """", Validations!$Q$2, TEXTJOIN("", "", TRUE, FILTER(Validations!$Q$2:$Q$100, ISNUMBER(SEARCH(Validations!$Q$2:$Q$100, AO281)))))"),"Point")</f>
        <v>Point</v>
      </c>
      <c r="AQ281" s="12">
        <f>IFERROR(__xludf.DUMMYFUNCTION("IFERROR(VALUE(REGEXEXTRACT(AO281, ""\d+"")), """")"),60.0)</f>
        <v>60</v>
      </c>
      <c r="AR281" s="12" t="str">
        <f>IFERROR(__xludf.DUMMYFUNCTION("TEXTJOIN("", "", TRUE, FILTER(Validations!$R$2:$R$100, ISNUMBER(SEARCH(Validations!$R$2:$R$100, AO281))))"),"Feet")</f>
        <v>Feet</v>
      </c>
      <c r="AS281" s="27"/>
      <c r="AT281" s="12" t="str">
        <f>IFERROR(__xludf.DUMMYFUNCTION("IFERROR(TEXTJOIN("", "", TRUE, FILTER(Validations!$I$2:$I$100, ISNUMBER(SEARCH(Validations!$I$2:$I$100, AS281)))), """")"),"")</f>
        <v/>
      </c>
      <c r="AU281" s="16" t="str">
        <f t="array" ref="AU281">IFERROR(INDEX(Validations!$J$2:$J$100, MATCH(TRUE, ISNUMBER(SEARCH(Validations!$I$2:$I$100, AT281)), 0)), "")</f>
        <v/>
      </c>
      <c r="AV281" s="12" t="str">
        <f>IFERROR(__xludf.DUMMYFUNCTION("IFERROR(VALUE(REGEXEXTRACT(AS281, ""\d+"")), """")"),"")</f>
        <v/>
      </c>
      <c r="AW281" s="12" t="str">
        <f>IFERROR(__xludf.DUMMYFUNCTION("IFERROR(TEXTJOIN("", "", TRUE, FILTER(Validations!$Q$2:$Q$100, ISNUMBER(SEARCH(Validations!$Q$2:$Q$100, AS281)))), """")"),"")</f>
        <v/>
      </c>
      <c r="AX281" s="28" t="s">
        <v>152</v>
      </c>
      <c r="AY281" s="28" t="str">
        <f>IFERROR(__xludf.DUMMYFUNCTION("TEXTJOIN("", "", TRUE, FILTER(Validations!$Y$2:$Y$100, ISNUMBER(SEARCH(Validations!$X$2:$X$100, AX281))))"),"V, S, R")</f>
        <v>V, S, R</v>
      </c>
      <c r="AZ281" s="20" t="s">
        <v>1343</v>
      </c>
      <c r="BA281" s="22"/>
      <c r="BB281" s="22"/>
      <c r="BC281" s="22"/>
      <c r="BD281" s="22"/>
      <c r="BE281" s="27"/>
      <c r="BF281" s="22"/>
      <c r="BG281" s="27"/>
      <c r="BH281" s="27"/>
      <c r="BI281" s="12" t="str">
        <f>IFERROR(__xludf.DUMMYFUNCTION("IFERROR(TEXTJOIN("", "", TRUE, FILTER(SRD!$A$2:$A$1000, EXACT(SRD!$A$2:$A$1000, J281))), """")"),"")</f>
        <v/>
      </c>
      <c r="BJ281" s="29"/>
      <c r="BK281" s="29"/>
    </row>
    <row r="282" ht="15.75" customHeight="1">
      <c r="A282" s="30" t="s">
        <v>1344</v>
      </c>
      <c r="B282" s="22"/>
      <c r="C282" s="31"/>
      <c r="D282" s="31" t="s">
        <v>74</v>
      </c>
      <c r="E282" s="31"/>
      <c r="F282" s="40" t="s">
        <v>139</v>
      </c>
      <c r="G282" s="50" t="s">
        <v>1223</v>
      </c>
      <c r="H282" s="16" t="s">
        <v>144</v>
      </c>
      <c r="I282" s="16" t="str">
        <f t="array" ref="I282">INDEX(Validations!$C$2:$C$100, MATCH(TRUE, ISNUMBER(SEARCH(Validations!$B$2:$B$100, H282)), 0))</f>
        <v>D</v>
      </c>
      <c r="J282" s="17" t="s">
        <v>1345</v>
      </c>
      <c r="K282" s="18"/>
      <c r="L282" s="17"/>
      <c r="M282" s="17"/>
      <c r="N282" s="27"/>
      <c r="O282" s="17"/>
      <c r="P282" s="21"/>
      <c r="Q282" s="21"/>
      <c r="R282" s="22"/>
      <c r="S282" s="17" t="str">
        <f>IFERROR(__xludf.DUMMYFUNCTION("IFERROR(REGEXEXTRACT(J282, ""(\d{1,3}[dD]\d{1,3})""), """")"),"")</f>
        <v/>
      </c>
      <c r="T282" s="17" t="str">
        <f>IFERROR(__xludf.DUMMYFUNCTION("IF(COUNTIF(ARRAYFORMULA(LOWER(Validations!$O$2:$O$100)), LOWER(REGEXEXTRACT(J282, ""\d{1,3}[dD]\d{1,3}\s+(\w+)"")))&gt;0, REGEXEXTRACT(J282, ""\d{1,3}[dD]\d{1,3}\s+(\w+)""), """")"),"")</f>
        <v/>
      </c>
      <c r="U282" s="17" t="str">
        <f>IFERROR(__xludf.DUMMYFUNCTION("IF(COUNTIF(ARRAYFORMULA(LOWER(Validations!$P$2:$P$100)), LOWER(REGEXEXTRACT(J282, ""\d{1,3}[dD]\d{1,3}\s+(\w+)"")))&gt;0, REGEXEXTRACT(J282, ""\d{1,3}[dD]\d{1,3}\s+(\w+)""), """")"),"")</f>
        <v/>
      </c>
      <c r="V282" s="12" t="str">
        <f>IFERROR(__xludf.DUMMYFUNCTION("TEXTJOIN("", "", TRUE, FILTER(Validations!$L$2:$L$100, ISNUMBER(SEARCH(Validations!$L$2:$L$100, J282))))"),"")</f>
        <v/>
      </c>
      <c r="W282" s="12" t="str">
        <f>IFERROR(__xludf.DUMMYFUNCTION("IFERROR(TEXTJOIN("", "", TRUE, FILTER(Validations!$M$2:$M$100, ISNUMBER(SEARCH(Validations!$M$2:$M$100 &amp; "" saving throw"", J282)))), """")"),"Charisma")</f>
        <v>Charisma</v>
      </c>
      <c r="X282" s="12"/>
      <c r="Y282" s="12"/>
      <c r="Z282" s="12" t="str">
        <f>IFERROR(__xludf.DUMMYFUNCTION("IFERROR(TEXTJOIN("", "", TRUE, FILTER(Validations!$N$2:$N$100, ISNUMBER(SEARCH(Validations!$N$2:$N$100 &amp; "" check"", J282)))), """")"),"Intimidation")</f>
        <v>Intimidation</v>
      </c>
      <c r="AA282" s="12" t="str">
        <f>IFERROR(__xludf.DUMMYFUNCTION("IFERROR(TEXTJOIN("", "", TRUE, FILTER(Validations!$N$2:$N$100, ISNUMBER(SEARCH(Validations!$N$2:$N$100 &amp; "" check"", W282)))), """")"),"")</f>
        <v/>
      </c>
      <c r="AB282" s="23" t="str">
        <f>IFERROR(__xludf.DUMMYFUNCTION("IFERROR(CONCATENATE(IF(ISNUMBER(SEARCH(Validations!$M$2:$M$100 &amp; "" spell save"", J282)),""Spell Save"",""""), REGEXEXTRACT(J282, ""DC (\d+)"")), """")"),"13")</f>
        <v>13</v>
      </c>
      <c r="AC282" s="24" t="b">
        <v>0</v>
      </c>
      <c r="AD282" s="24" t="b">
        <v>0</v>
      </c>
      <c r="AE282" s="36" t="s">
        <v>69</v>
      </c>
      <c r="AF282" s="25">
        <f>IFERROR(__xludf.DUMMYFUNCTION("IFERROR(VALUE(REGEXEXTRACT(AE282, ""\d+"")), 1)"),1.0)</f>
        <v>1</v>
      </c>
      <c r="AG282" s="12" t="str">
        <f>IFERROR(__xludf.DUMMYFUNCTION("IF(
  ISNUMBER(SEARCH(""Bonus Action"", AE282)),
  ""Bonus Action"",
  IF(
    ISNUMBER(SEARCH(""Reaction"", AE282)),
    ""Reaction"",
    IF(
      ISNUMBER(SEARCH(""Action"", AE282)),
      ""Action"",
      TEXTJOIN("", "", TRUE, FILTER(Validations!$S"&amp;"$2:$S$100, ISNUMBER(SEARCH(Validations!$S$2:$S$100, AE282))))
    )
  )
)"),"Action")</f>
        <v>Action</v>
      </c>
      <c r="AH282" s="36"/>
      <c r="AI282" s="20" t="s">
        <v>296</v>
      </c>
      <c r="AJ282" s="26" t="str">
        <f>IFERROR(__xludf.DUMMYFUNCTION("TEXTJOIN("", "", TRUE, FILTER(Validations!$T$2:$T$100, ISNUMBER(SEARCH(Validations!$T$2:$T$100, AI282))))"),"")</f>
        <v/>
      </c>
      <c r="AK282" s="26">
        <f>IFERROR(__xludf.DUMMYFUNCTION("IFERROR(VALUE(REGEXEXTRACT(AI282, ""\d+"")), """")"),1.0)</f>
        <v>1</v>
      </c>
      <c r="AL282" s="26" t="str">
        <f>IFERROR(__xludf.DUMMYFUNCTION("TEXTJOIN("", "", TRUE, FILTER(Validations!$U$2:$U$100, ISNUMBER(SEARCH(Validations!$U$2:$U$100, AI282))))"),"Hours")</f>
        <v>Hours</v>
      </c>
      <c r="AM282" s="24" t="b">
        <f t="shared" si="1"/>
        <v>0</v>
      </c>
      <c r="AN282" s="24" t="b">
        <v>0</v>
      </c>
      <c r="AO282" s="22" t="s">
        <v>112</v>
      </c>
      <c r="AP282" s="12" t="str">
        <f>IFERROR(__xludf.DUMMYFUNCTION("IF(TEXTJOIN("", "", TRUE, FILTER(Validations!$Q$2:$Q$100, ISNUMBER(SEARCH(Validations!$Q$2:$Q$100, AO282)))) = """", Validations!$Q$2, TEXTJOIN("", "", TRUE, FILTER(Validations!$Q$2:$Q$100, ISNUMBER(SEARCH(Validations!$Q$2:$Q$100, AO282)))))"),"Point")</f>
        <v>Point</v>
      </c>
      <c r="AQ282" s="12">
        <f>IFERROR(__xludf.DUMMYFUNCTION("IFERROR(VALUE(REGEXEXTRACT(AO282, ""\d+"")), """")"),30.0)</f>
        <v>30</v>
      </c>
      <c r="AR282" s="12" t="str">
        <f>IFERROR(__xludf.DUMMYFUNCTION("TEXTJOIN("", "", TRUE, FILTER(Validations!$R$2:$R$100, ISNUMBER(SEARCH(Validations!$R$2:$R$100, AO282))))"),"Feet")</f>
        <v>Feet</v>
      </c>
      <c r="AS282" s="27"/>
      <c r="AT282" s="12" t="str">
        <f>IFERROR(__xludf.DUMMYFUNCTION("IFERROR(TEXTJOIN("", "", TRUE, FILTER(Validations!$I$2:$I$100, ISNUMBER(SEARCH(Validations!$I$2:$I$100, AS282)))), """")"),"")</f>
        <v/>
      </c>
      <c r="AU282" s="16" t="str">
        <f t="array" ref="AU282">IFERROR(INDEX(Validations!$J$2:$J$100, MATCH(TRUE, ISNUMBER(SEARCH(Validations!$I$2:$I$100, AT282)), 0)), "")</f>
        <v/>
      </c>
      <c r="AV282" s="12" t="str">
        <f>IFERROR(__xludf.DUMMYFUNCTION("IFERROR(VALUE(REGEXEXTRACT(AS282, ""\d+"")), """")"),"")</f>
        <v/>
      </c>
      <c r="AW282" s="12" t="str">
        <f>IFERROR(__xludf.DUMMYFUNCTION("IFERROR(TEXTJOIN("", "", TRUE, FILTER(Validations!$Q$2:$Q$100, ISNUMBER(SEARCH(Validations!$Q$2:$Q$100, AS282)))), """")"),"")</f>
        <v/>
      </c>
      <c r="AX282" s="28" t="s">
        <v>152</v>
      </c>
      <c r="AY282" s="28" t="str">
        <f>IFERROR(__xludf.DUMMYFUNCTION("TEXTJOIN("", "", TRUE, FILTER(Validations!$Y$2:$Y$100, ISNUMBER(SEARCH(Validations!$X$2:$X$100, AX282))))"),"V, S, R")</f>
        <v>V, S, R</v>
      </c>
      <c r="AZ282" s="20" t="s">
        <v>1346</v>
      </c>
      <c r="BA282" s="22"/>
      <c r="BB282" s="22"/>
      <c r="BC282" s="22"/>
      <c r="BD282" s="22"/>
      <c r="BE282" s="27"/>
      <c r="BF282" s="22"/>
      <c r="BG282" s="27"/>
      <c r="BH282" s="27"/>
      <c r="BI282" s="12" t="str">
        <f>IFERROR(__xludf.DUMMYFUNCTION("IFERROR(TEXTJOIN("", "", TRUE, FILTER(SRD!$A$2:$A$1000, EXACT(SRD!$A$2:$A$1000, J282))), """")"),"")</f>
        <v/>
      </c>
      <c r="BJ282" s="29"/>
      <c r="BK282" s="29"/>
    </row>
    <row r="283" ht="15.75" customHeight="1">
      <c r="A283" s="38" t="s">
        <v>1347</v>
      </c>
      <c r="B283" s="12"/>
      <c r="C283" s="16"/>
      <c r="D283" s="16" t="s">
        <v>727</v>
      </c>
      <c r="E283" s="16"/>
      <c r="F283" s="14" t="s">
        <v>1348</v>
      </c>
      <c r="G283" s="50" t="s">
        <v>1223</v>
      </c>
      <c r="H283" s="16" t="s">
        <v>76</v>
      </c>
      <c r="I283" s="16" t="str">
        <f t="array" ref="I283">INDEX(Validations!$C$2:$C$100, MATCH(TRUE, ISNUMBER(SEARCH(Validations!$B$2:$B$100, H283)), 0))</f>
        <v>V</v>
      </c>
      <c r="J283" s="17" t="s">
        <v>1349</v>
      </c>
      <c r="K283" s="51"/>
      <c r="L283" s="17"/>
      <c r="M283" s="52"/>
      <c r="N283" s="20" t="s">
        <v>1350</v>
      </c>
      <c r="O283" s="17" t="s">
        <v>1351</v>
      </c>
      <c r="P283" s="21"/>
      <c r="Q283" s="21"/>
      <c r="R283" s="36" t="s">
        <v>1352</v>
      </c>
      <c r="S283" s="17" t="str">
        <f>IFERROR(__xludf.DUMMYFUNCTION("IFERROR(REGEXEXTRACT(J283, ""(\d{1,3}[dD]\d{1,3})""), """")"),"4d8")</f>
        <v>4d8</v>
      </c>
      <c r="T283" s="17" t="str">
        <f>IFERROR(__xludf.DUMMYFUNCTION("IF(COUNTIF(ARRAYFORMULA(LOWER(Validations!$O$2:$O$100)), LOWER(REGEXEXTRACT(J283, ""\d{1,3}[dD]\d{1,3}\s+(\w+)"")))&gt;0, REGEXEXTRACT(J283, ""\d{1,3}[dD]\d{1,3}\s+(\w+)""), """")"),"chiaric")</f>
        <v>chiaric</v>
      </c>
      <c r="U283" s="17" t="str">
        <f>IFERROR(__xludf.DUMMYFUNCTION("IF(COUNTIF(ARRAYFORMULA(LOWER(Validations!$P$2:$P$100)), LOWER(REGEXEXTRACT(J283, ""\d{1,3}[dD]\d{1,3}\s+(\w+)"")))&gt;0, REGEXEXTRACT(J283, ""\d{1,3}[dD]\d{1,3}\s+(\w+)""), """")"),"")</f>
        <v/>
      </c>
      <c r="V283" s="12" t="str">
        <f>IFERROR(__xludf.DUMMYFUNCTION("TEXTJOIN("", "", TRUE, FILTER(Validations!$L$2:$L$100, ISNUMBER(SEARCH(Validations!$L$2:$L$100, J283))))"),"")</f>
        <v/>
      </c>
      <c r="W283" s="12" t="str">
        <f>IFERROR(__xludf.DUMMYFUNCTION("IFERROR(TEXTJOIN("", "", TRUE, FILTER(Validations!$M$2:$M$100, ISNUMBER(SEARCH(Validations!$M$2:$M$100 &amp; "" saving throw"", J283)))), """")"),"Charisma")</f>
        <v>Charisma</v>
      </c>
      <c r="X283" s="12"/>
      <c r="Y283" s="12"/>
      <c r="Z283" s="12" t="str">
        <f>IFERROR(__xludf.DUMMYFUNCTION("IFERROR(TEXTJOIN("", "", TRUE, FILTER(Validations!$N$2:$N$100, ISNUMBER(SEARCH(Validations!$N$2:$N$100 &amp; "" check"", J283)))), """")"),"")</f>
        <v/>
      </c>
      <c r="AA283" s="12" t="str">
        <f>IFERROR(__xludf.DUMMYFUNCTION("IFERROR(TEXTJOIN("", "", TRUE, FILTER(Validations!$N$2:$N$100, ISNUMBER(SEARCH(Validations!$N$2:$N$100 &amp; "" check"", W283)))), """")"),"")</f>
        <v/>
      </c>
      <c r="AB283" s="23" t="str">
        <f>IFERROR(__xludf.DUMMYFUNCTION("IFERROR(CONCATENATE(IF(ISNUMBER(SEARCH(Validations!$M$2:$M$100 &amp; "" spell save"", J283)),""Spell Save"",""""), REGEXEXTRACT(J283, ""DC (\d+)"")), """")"),"")</f>
        <v/>
      </c>
      <c r="AC283" s="24" t="b">
        <v>0</v>
      </c>
      <c r="AD283" s="24" t="b">
        <v>0</v>
      </c>
      <c r="AE283" s="36" t="s">
        <v>208</v>
      </c>
      <c r="AF283" s="25">
        <f>IFERROR(__xludf.DUMMYFUNCTION("IFERROR(VALUE(REGEXEXTRACT(AE283, ""\d+"")), 1)"),1.0)</f>
        <v>1</v>
      </c>
      <c r="AG283" s="12" t="str">
        <f>IFERROR(__xludf.DUMMYFUNCTION("IF(
  ISNUMBER(SEARCH(""Bonus Action"", AE283)),
  ""Bonus Action"",
  IF(
    ISNUMBER(SEARCH(""Reaction"", AE283)),
    ""Reaction"",
    IF(
      ISNUMBER(SEARCH(""Action"", AE283)),
      ""Action"",
      TEXTJOIN("", "", TRUE, FILTER(Validations!$S"&amp;"$2:$S$100, ISNUMBER(SEARCH(Validations!$S$2:$S$100, AE283))))
    )
  )
)"),"Reaction")</f>
        <v>Reaction</v>
      </c>
      <c r="AH283" s="36" t="s">
        <v>1353</v>
      </c>
      <c r="AI283" s="20" t="s">
        <v>87</v>
      </c>
      <c r="AJ283" s="26" t="str">
        <f>IFERROR(__xludf.DUMMYFUNCTION("TEXTJOIN("", "", TRUE, FILTER(Validations!$T$2:$T$100, ISNUMBER(SEARCH(Validations!$T$2:$T$100, AI283))))"),"")</f>
        <v/>
      </c>
      <c r="AK283" s="26">
        <f>IFERROR(__xludf.DUMMYFUNCTION("IFERROR(VALUE(REGEXEXTRACT(AI283, ""\d+"")), """")"),1.0)</f>
        <v>1</v>
      </c>
      <c r="AL283" s="26" t="str">
        <f>IFERROR(__xludf.DUMMYFUNCTION("TEXTJOIN("", "", TRUE, FILTER(Validations!$U$2:$U$100, ISNUMBER(SEARCH(Validations!$U$2:$U$100, AI283))))"),"Rounds")</f>
        <v>Rounds</v>
      </c>
      <c r="AM283" s="24" t="b">
        <f t="shared" si="1"/>
        <v>0</v>
      </c>
      <c r="AN283" s="24" t="b">
        <v>0</v>
      </c>
      <c r="AO283" s="36" t="s">
        <v>112</v>
      </c>
      <c r="AP283" s="12" t="str">
        <f>IFERROR(__xludf.DUMMYFUNCTION("IF(TEXTJOIN("", "", TRUE, FILTER(Validations!$Q$2:$Q$100, ISNUMBER(SEARCH(Validations!$Q$2:$Q$100, AO283)))) = """", Validations!$Q$2, TEXTJOIN("", "", TRUE, FILTER(Validations!$Q$2:$Q$100, ISNUMBER(SEARCH(Validations!$Q$2:$Q$100, AO283)))))"),"Point")</f>
        <v>Point</v>
      </c>
      <c r="AQ283" s="12">
        <f>IFERROR(__xludf.DUMMYFUNCTION("IFERROR(VALUE(REGEXEXTRACT(AO283, ""\d+"")), """")"),30.0)</f>
        <v>30</v>
      </c>
      <c r="AR283" s="12" t="str">
        <f>IFERROR(__xludf.DUMMYFUNCTION("TEXTJOIN("", "", TRUE, FILTER(Validations!$R$2:$R$100, ISNUMBER(SEARCH(Validations!$R$2:$R$100, AO283))))"),"Feet")</f>
        <v>Feet</v>
      </c>
      <c r="AS283" s="26" t="s">
        <v>1354</v>
      </c>
      <c r="AT283" s="12" t="str">
        <f>IFERROR(__xludf.DUMMYFUNCTION("IFERROR(TEXTJOIN("", "", TRUE, FILTER(Validations!$I$2:$I$100, ISNUMBER(SEARCH(Validations!$I$2:$I$100, AS283)))), """")"),"Sphere")</f>
        <v>Sphere</v>
      </c>
      <c r="AU283" s="16" t="str">
        <f t="array" ref="AU283">IFERROR(INDEX(Validations!$J$2:$J$100, MATCH(TRUE, ISNUMBER(SEARCH(Validations!$I$2:$I$100, AT283)), 0)), "")</f>
        <v>S</v>
      </c>
      <c r="AV283" s="12">
        <f>IFERROR(__xludf.DUMMYFUNCTION("IFERROR(VALUE(REGEXEXTRACT(AS283, ""\d+"")), """")"),20.0)</f>
        <v>20</v>
      </c>
      <c r="AW283" s="12" t="str">
        <f>IFERROR(__xludf.DUMMYFUNCTION("IFERROR(TEXTJOIN("", "", TRUE, FILTER(Validations!$Q$2:$Q$100, ISNUMBER(SEARCH(Validations!$Q$2:$Q$100, AS283)))), """")"),"Sphere")</f>
        <v>Sphere</v>
      </c>
      <c r="AX283" s="36" t="s">
        <v>106</v>
      </c>
      <c r="AY283" s="28" t="str">
        <f>IFERROR(__xludf.DUMMYFUNCTION("TEXTJOIN("", "", TRUE, FILTER(Validations!$Y$2:$Y$100, ISNUMBER(SEARCH(Validations!$X$2:$X$100, AX283))))"),"S")</f>
        <v>S</v>
      </c>
      <c r="AZ283" s="27"/>
      <c r="BA283" s="22"/>
      <c r="BB283" s="22"/>
      <c r="BC283" s="22"/>
      <c r="BD283" s="22"/>
      <c r="BE283" s="27"/>
      <c r="BF283" s="22"/>
      <c r="BG283" s="27"/>
      <c r="BH283" s="27"/>
      <c r="BI283" s="12" t="str">
        <f>IFERROR(__xludf.DUMMYFUNCTION("IFERROR(TEXTJOIN("", "", TRUE, FILTER(SRD!$A$2:$A$1000, EXACT(SRD!$A$2:$A$1000, J283))), """")"),"")</f>
        <v/>
      </c>
      <c r="BJ283" s="29"/>
      <c r="BK283" s="29"/>
    </row>
    <row r="284" ht="15.75" customHeight="1">
      <c r="A284" s="30" t="s">
        <v>1355</v>
      </c>
      <c r="B284" s="22"/>
      <c r="C284" s="31"/>
      <c r="D284" s="31" t="s">
        <v>74</v>
      </c>
      <c r="E284" s="31"/>
      <c r="F284" s="40" t="s">
        <v>139</v>
      </c>
      <c r="G284" s="50" t="s">
        <v>1223</v>
      </c>
      <c r="H284" s="16" t="s">
        <v>103</v>
      </c>
      <c r="I284" s="16" t="str">
        <f t="array" ref="I284">INDEX(Validations!$C$2:$C$100, MATCH(TRUE, ISNUMBER(SEARCH(Validations!$B$2:$B$100, H284)), 0))</f>
        <v>C</v>
      </c>
      <c r="J284" s="17" t="s">
        <v>1356</v>
      </c>
      <c r="K284" s="18"/>
      <c r="L284" s="17"/>
      <c r="M284" s="17"/>
      <c r="N284" s="27"/>
      <c r="O284" s="17"/>
      <c r="P284" s="21"/>
      <c r="Q284" s="21"/>
      <c r="R284" s="22"/>
      <c r="S284" s="17" t="str">
        <f>IFERROR(__xludf.DUMMYFUNCTION("IFERROR(REGEXEXTRACT(J284, ""(\d{1,3}[dD]\d{1,3})""), """")"),"")</f>
        <v/>
      </c>
      <c r="T284" s="17" t="str">
        <f>IFERROR(__xludf.DUMMYFUNCTION("IF(COUNTIF(ARRAYFORMULA(LOWER(Validations!$O$2:$O$100)), LOWER(REGEXEXTRACT(J284, ""\d{1,3}[dD]\d{1,3}\s+(\w+)"")))&gt;0, REGEXEXTRACT(J284, ""\d{1,3}[dD]\d{1,3}\s+(\w+)""), """")"),"")</f>
        <v/>
      </c>
      <c r="U284" s="17" t="str">
        <f>IFERROR(__xludf.DUMMYFUNCTION("IF(COUNTIF(ARRAYFORMULA(LOWER(Validations!$P$2:$P$100)), LOWER(REGEXEXTRACT(J284, ""\d{1,3}[dD]\d{1,3}\s+(\w+)"")))&gt;0, REGEXEXTRACT(J284, ""\d{1,3}[dD]\d{1,3}\s+(\w+)""), """")"),"")</f>
        <v/>
      </c>
      <c r="V284" s="12" t="str">
        <f>IFERROR(__xludf.DUMMYFUNCTION("TEXTJOIN("", "", TRUE, FILTER(Validations!$L$2:$L$100, ISNUMBER(SEARCH(Validations!$L$2:$L$100, J284))))"),"Invisible")</f>
        <v>Invisible</v>
      </c>
      <c r="W284" s="12" t="str">
        <f>IFERROR(__xludf.DUMMYFUNCTION("IFERROR(TEXTJOIN("", "", TRUE, FILTER(Validations!$M$2:$M$100, ISNUMBER(SEARCH(Validations!$M$2:$M$100 &amp; "" saving throw"", J284)))), """")"),"Charisma")</f>
        <v>Charisma</v>
      </c>
      <c r="X284" s="12"/>
      <c r="Y284" s="12"/>
      <c r="Z284" s="12" t="str">
        <f>IFERROR(__xludf.DUMMYFUNCTION("IFERROR(TEXTJOIN("", "", TRUE, FILTER(Validations!$N$2:$N$100, ISNUMBER(SEARCH(Validations!$N$2:$N$100 &amp; "" check"", J284)))), """")"),"")</f>
        <v/>
      </c>
      <c r="AA284" s="12" t="str">
        <f>IFERROR(__xludf.DUMMYFUNCTION("IFERROR(TEXTJOIN("", "", TRUE, FILTER(Validations!$N$2:$N$100, ISNUMBER(SEARCH(Validations!$N$2:$N$100 &amp; "" check"", W284)))), """")"),"")</f>
        <v/>
      </c>
      <c r="AB284" s="23" t="str">
        <f>IFERROR(__xludf.DUMMYFUNCTION("IFERROR(CONCATENATE(IF(ISNUMBER(SEARCH(Validations!$M$2:$M$100 &amp; "" spell save"", J284)),""Spell Save"",""""), REGEXEXTRACT(J284, ""DC (\d+)"")), """")"),"")</f>
        <v/>
      </c>
      <c r="AC284" s="24" t="b">
        <v>0</v>
      </c>
      <c r="AD284" s="24" t="b">
        <v>0</v>
      </c>
      <c r="AE284" s="36" t="s">
        <v>69</v>
      </c>
      <c r="AF284" s="25">
        <f>IFERROR(__xludf.DUMMYFUNCTION("IFERROR(VALUE(REGEXEXTRACT(AE284, ""\d+"")), 1)"),1.0)</f>
        <v>1</v>
      </c>
      <c r="AG284" s="12" t="str">
        <f>IFERROR(__xludf.DUMMYFUNCTION("IF(
  ISNUMBER(SEARCH(""Bonus Action"", AE284)),
  ""Bonus Action"",
  IF(
    ISNUMBER(SEARCH(""Reaction"", AE284)),
    ""Reaction"",
    IF(
      ISNUMBER(SEARCH(""Action"", AE284)),
      ""Action"",
      TEXTJOIN("", "", TRUE, FILTER(Validations!$S"&amp;"$2:$S$100, ISNUMBER(SEARCH(Validations!$S$2:$S$100, AE284))))
    )
  )
)"),"Action")</f>
        <v>Action</v>
      </c>
      <c r="AH284" s="36"/>
      <c r="AI284" s="20" t="s">
        <v>92</v>
      </c>
      <c r="AJ284" s="26" t="str">
        <f>IFERROR(__xludf.DUMMYFUNCTION("TEXTJOIN("", "", TRUE, FILTER(Validations!$T$2:$T$100, ISNUMBER(SEARCH(Validations!$T$2:$T$100, AI284))))"),"")</f>
        <v/>
      </c>
      <c r="AK284" s="26">
        <f>IFERROR(__xludf.DUMMYFUNCTION("IFERROR(VALUE(REGEXEXTRACT(AI284, ""\d+"")), """")"),1.0)</f>
        <v>1</v>
      </c>
      <c r="AL284" s="26" t="str">
        <f>IFERROR(__xludf.DUMMYFUNCTION("TEXTJOIN("", "", TRUE, FILTER(Validations!$U$2:$U$100, ISNUMBER(SEARCH(Validations!$U$2:$U$100, AI284))))"),"Minutes")</f>
        <v>Minutes</v>
      </c>
      <c r="AM284" s="24" t="b">
        <f t="shared" si="1"/>
        <v>0</v>
      </c>
      <c r="AN284" s="24" t="b">
        <v>1</v>
      </c>
      <c r="AO284" s="22" t="s">
        <v>112</v>
      </c>
      <c r="AP284" s="12" t="str">
        <f>IFERROR(__xludf.DUMMYFUNCTION("IF(TEXTJOIN("", "", TRUE, FILTER(Validations!$Q$2:$Q$100, ISNUMBER(SEARCH(Validations!$Q$2:$Q$100, AO284)))) = """", Validations!$Q$2, TEXTJOIN("", "", TRUE, FILTER(Validations!$Q$2:$Q$100, ISNUMBER(SEARCH(Validations!$Q$2:$Q$100, AO284)))))"),"Point")</f>
        <v>Point</v>
      </c>
      <c r="AQ284" s="12">
        <f>IFERROR(__xludf.DUMMYFUNCTION("IFERROR(VALUE(REGEXEXTRACT(AO284, ""\d+"")), """")"),30.0)</f>
        <v>30</v>
      </c>
      <c r="AR284" s="12" t="str">
        <f>IFERROR(__xludf.DUMMYFUNCTION("TEXTJOIN("", "", TRUE, FILTER(Validations!$R$2:$R$100, ISNUMBER(SEARCH(Validations!$R$2:$R$100, AO284))))"),"Feet")</f>
        <v>Feet</v>
      </c>
      <c r="AS284" s="27"/>
      <c r="AT284" s="12" t="str">
        <f>IFERROR(__xludf.DUMMYFUNCTION("IFERROR(TEXTJOIN("", "", TRUE, FILTER(Validations!$I$2:$I$100, ISNUMBER(SEARCH(Validations!$I$2:$I$100, AS284)))), """")"),"")</f>
        <v/>
      </c>
      <c r="AU284" s="16" t="str">
        <f t="array" ref="AU284">IFERROR(INDEX(Validations!$J$2:$J$100, MATCH(TRUE, ISNUMBER(SEARCH(Validations!$I$2:$I$100, AT284)), 0)), "")</f>
        <v/>
      </c>
      <c r="AV284" s="12" t="str">
        <f>IFERROR(__xludf.DUMMYFUNCTION("IFERROR(VALUE(REGEXEXTRACT(AS284, ""\d+"")), """")"),"")</f>
        <v/>
      </c>
      <c r="AW284" s="12" t="str">
        <f>IFERROR(__xludf.DUMMYFUNCTION("IFERROR(TEXTJOIN("", "", TRUE, FILTER(Validations!$Q$2:$Q$100, ISNUMBER(SEARCH(Validations!$Q$2:$Q$100, AS284)))), """")"),"")</f>
        <v/>
      </c>
      <c r="AX284" s="28" t="s">
        <v>152</v>
      </c>
      <c r="AY284" s="28" t="str">
        <f>IFERROR(__xludf.DUMMYFUNCTION("TEXTJOIN("", "", TRUE, FILTER(Validations!$Y$2:$Y$100, ISNUMBER(SEARCH(Validations!$X$2:$X$100, AX284))))"),"V, S, R")</f>
        <v>V, S, R</v>
      </c>
      <c r="AZ284" s="20" t="s">
        <v>1357</v>
      </c>
      <c r="BA284" s="22"/>
      <c r="BB284" s="22"/>
      <c r="BC284" s="22"/>
      <c r="BD284" s="22"/>
      <c r="BE284" s="27"/>
      <c r="BF284" s="22"/>
      <c r="BG284" s="27"/>
      <c r="BH284" s="27"/>
      <c r="BI284" s="12" t="str">
        <f>IFERROR(__xludf.DUMMYFUNCTION("IFERROR(TEXTJOIN("", "", TRUE, FILTER(SRD!$A$2:$A$1000, EXACT(SRD!$A$2:$A$1000, J284))), """")"),"")</f>
        <v/>
      </c>
      <c r="BJ284" s="29"/>
      <c r="BK284" s="29"/>
    </row>
    <row r="285" ht="15.75" customHeight="1">
      <c r="A285" s="30" t="s">
        <v>1358</v>
      </c>
      <c r="B285" s="22"/>
      <c r="C285" s="31"/>
      <c r="D285" s="31" t="s">
        <v>74</v>
      </c>
      <c r="E285" s="31"/>
      <c r="F285" s="40" t="s">
        <v>139</v>
      </c>
      <c r="G285" s="50" t="s">
        <v>1223</v>
      </c>
      <c r="H285" s="16" t="s">
        <v>144</v>
      </c>
      <c r="I285" s="16" t="str">
        <f t="array" ref="I285">INDEX(Validations!$C$2:$C$100, MATCH(TRUE, ISNUMBER(SEARCH(Validations!$B$2:$B$100, H285)), 0))</f>
        <v>D</v>
      </c>
      <c r="J285" s="17" t="s">
        <v>1359</v>
      </c>
      <c r="K285" s="18"/>
      <c r="L285" s="17"/>
      <c r="M285" s="17"/>
      <c r="N285" s="27"/>
      <c r="O285" s="17"/>
      <c r="P285" s="21"/>
      <c r="Q285" s="21"/>
      <c r="R285" s="22"/>
      <c r="S285" s="17" t="str">
        <f>IFERROR(__xludf.DUMMYFUNCTION("IFERROR(REGEXEXTRACT(J285, ""(\d{1,3}[dD]\d{1,3})""), """")"),"")</f>
        <v/>
      </c>
      <c r="T285" s="17" t="str">
        <f>IFERROR(__xludf.DUMMYFUNCTION("IF(COUNTIF(ARRAYFORMULA(LOWER(Validations!$O$2:$O$100)), LOWER(REGEXEXTRACT(J285, ""\d{1,3}[dD]\d{1,3}\s+(\w+)"")))&gt;0, REGEXEXTRACT(J285, ""\d{1,3}[dD]\d{1,3}\s+(\w+)""), """")"),"")</f>
        <v/>
      </c>
      <c r="U285" s="17" t="str">
        <f>IFERROR(__xludf.DUMMYFUNCTION("IF(COUNTIF(ARRAYFORMULA(LOWER(Validations!$P$2:$P$100)), LOWER(REGEXEXTRACT(J285, ""\d{1,3}[dD]\d{1,3}\s+(\w+)"")))&gt;0, REGEXEXTRACT(J285, ""\d{1,3}[dD]\d{1,3}\s+(\w+)""), """")"),"")</f>
        <v/>
      </c>
      <c r="V285" s="12" t="str">
        <f>IFERROR(__xludf.DUMMYFUNCTION("TEXTJOIN("", "", TRUE, FILTER(Validations!$L$2:$L$100, ISNUMBER(SEARCH(Validations!$L$2:$L$100, J285))))"),"")</f>
        <v/>
      </c>
      <c r="W285" s="12" t="str">
        <f>IFERROR(__xludf.DUMMYFUNCTION("IFERROR(TEXTJOIN("", "", TRUE, FILTER(Validations!$M$2:$M$100, ISNUMBER(SEARCH(Validations!$M$2:$M$100 &amp; "" saving throw"", J285)))), """")"),"Wisdom")</f>
        <v>Wisdom</v>
      </c>
      <c r="X285" s="12"/>
      <c r="Y285" s="12"/>
      <c r="Z285" s="12" t="str">
        <f>IFERROR(__xludf.DUMMYFUNCTION("IFERROR(TEXTJOIN("", "", TRUE, FILTER(Validations!$N$2:$N$100, ISNUMBER(SEARCH(Validations!$N$2:$N$100 &amp; "" check"", J285)))), """")"),"")</f>
        <v/>
      </c>
      <c r="AA285" s="12" t="str">
        <f>IFERROR(__xludf.DUMMYFUNCTION("IFERROR(TEXTJOIN("", "", TRUE, FILTER(Validations!$N$2:$N$100, ISNUMBER(SEARCH(Validations!$N$2:$N$100 &amp; "" check"", W285)))), """")"),"")</f>
        <v/>
      </c>
      <c r="AB285" s="23" t="str">
        <f>IFERROR(__xludf.DUMMYFUNCTION("IFERROR(CONCATENATE(IF(ISNUMBER(SEARCH(Validations!$M$2:$M$100 &amp; "" spell save"", J285)),""Spell Save"",""""), REGEXEXTRACT(J285, ""DC (\d+)"")), """")"),"")</f>
        <v/>
      </c>
      <c r="AC285" s="24" t="b">
        <v>0</v>
      </c>
      <c r="AD285" s="24" t="b">
        <v>0</v>
      </c>
      <c r="AE285" s="36" t="s">
        <v>69</v>
      </c>
      <c r="AF285" s="25">
        <f>IFERROR(__xludf.DUMMYFUNCTION("IFERROR(VALUE(REGEXEXTRACT(AE285, ""\d+"")), 1)"),1.0)</f>
        <v>1</v>
      </c>
      <c r="AG285" s="12" t="str">
        <f>IFERROR(__xludf.DUMMYFUNCTION("IF(
  ISNUMBER(SEARCH(""Bonus Action"", AE285)),
  ""Bonus Action"",
  IF(
    ISNUMBER(SEARCH(""Reaction"", AE285)),
    ""Reaction"",
    IF(
      ISNUMBER(SEARCH(""Action"", AE285)),
      ""Action"",
      TEXTJOIN("", "", TRUE, FILTER(Validations!$S"&amp;"$2:$S$100, ISNUMBER(SEARCH(Validations!$S$2:$S$100, AE285))))
    )
  )
)"),"Action")</f>
        <v>Action</v>
      </c>
      <c r="AH285" s="36"/>
      <c r="AI285" s="20" t="s">
        <v>92</v>
      </c>
      <c r="AJ285" s="26" t="str">
        <f>IFERROR(__xludf.DUMMYFUNCTION("TEXTJOIN("", "", TRUE, FILTER(Validations!$T$2:$T$100, ISNUMBER(SEARCH(Validations!$T$2:$T$100, AI285))))"),"")</f>
        <v/>
      </c>
      <c r="AK285" s="26">
        <f>IFERROR(__xludf.DUMMYFUNCTION("IFERROR(VALUE(REGEXEXTRACT(AI285, ""\d+"")), """")"),1.0)</f>
        <v>1</v>
      </c>
      <c r="AL285" s="26" t="str">
        <f>IFERROR(__xludf.DUMMYFUNCTION("TEXTJOIN("", "", TRUE, FILTER(Validations!$U$2:$U$100, ISNUMBER(SEARCH(Validations!$U$2:$U$100, AI285))))"),"Minutes")</f>
        <v>Minutes</v>
      </c>
      <c r="AM285" s="24" t="b">
        <f t="shared" si="1"/>
        <v>0</v>
      </c>
      <c r="AN285" s="24" t="b">
        <v>1</v>
      </c>
      <c r="AO285" s="22" t="s">
        <v>440</v>
      </c>
      <c r="AP285" s="12" t="str">
        <f>IFERROR(__xludf.DUMMYFUNCTION("IF(TEXTJOIN("", "", TRUE, FILTER(Validations!$Q$2:$Q$100, ISNUMBER(SEARCH(Validations!$Q$2:$Q$100, AO285)))) = """", Validations!$Q$2, TEXTJOIN("", "", TRUE, FILTER(Validations!$Q$2:$Q$100, ISNUMBER(SEARCH(Validations!$Q$2:$Q$100, AO285)))))"),"Point")</f>
        <v>Point</v>
      </c>
      <c r="AQ285" s="12">
        <f>IFERROR(__xludf.DUMMYFUNCTION("IFERROR(VALUE(REGEXEXTRACT(AO285, ""\d+"")), """")"),60.0)</f>
        <v>60</v>
      </c>
      <c r="AR285" s="12" t="str">
        <f>IFERROR(__xludf.DUMMYFUNCTION("TEXTJOIN("", "", TRUE, FILTER(Validations!$R$2:$R$100, ISNUMBER(SEARCH(Validations!$R$2:$R$100, AO285))))"),"Feet")</f>
        <v>Feet</v>
      </c>
      <c r="AS285" s="27"/>
      <c r="AT285" s="12" t="str">
        <f>IFERROR(__xludf.DUMMYFUNCTION("IFERROR(TEXTJOIN("", "", TRUE, FILTER(Validations!$I$2:$I$100, ISNUMBER(SEARCH(Validations!$I$2:$I$100, AS285)))), """")"),"")</f>
        <v/>
      </c>
      <c r="AU285" s="16" t="str">
        <f t="array" ref="AU285">IFERROR(INDEX(Validations!$J$2:$J$100, MATCH(TRUE, ISNUMBER(SEARCH(Validations!$I$2:$I$100, AT285)), 0)), "")</f>
        <v/>
      </c>
      <c r="AV285" s="12" t="str">
        <f>IFERROR(__xludf.DUMMYFUNCTION("IFERROR(VALUE(REGEXEXTRACT(AS285, ""\d+"")), """")"),"")</f>
        <v/>
      </c>
      <c r="AW285" s="12" t="str">
        <f>IFERROR(__xludf.DUMMYFUNCTION("IFERROR(TEXTJOIN("", "", TRUE, FILTER(Validations!$Q$2:$Q$100, ISNUMBER(SEARCH(Validations!$Q$2:$Q$100, AS285)))), """")"),"")</f>
        <v/>
      </c>
      <c r="AX285" s="28" t="s">
        <v>152</v>
      </c>
      <c r="AY285" s="28" t="str">
        <f>IFERROR(__xludf.DUMMYFUNCTION("TEXTJOIN("", "", TRUE, FILTER(Validations!$Y$2:$Y$100, ISNUMBER(SEARCH(Validations!$X$2:$X$100, AX285))))"),"V, S, R")</f>
        <v>V, S, R</v>
      </c>
      <c r="AZ285" s="20" t="s">
        <v>1360</v>
      </c>
      <c r="BA285" s="22"/>
      <c r="BB285" s="22"/>
      <c r="BC285" s="22"/>
      <c r="BD285" s="22"/>
      <c r="BE285" s="27"/>
      <c r="BF285" s="22"/>
      <c r="BG285" s="27"/>
      <c r="BH285" s="27"/>
      <c r="BI285" s="12" t="str">
        <f>IFERROR(__xludf.DUMMYFUNCTION("IFERROR(TEXTJOIN("", "", TRUE, FILTER(SRD!$A$2:$A$1000, EXACT(SRD!$A$2:$A$1000, J285))), """")"),"")</f>
        <v/>
      </c>
      <c r="BJ285" s="29"/>
      <c r="BK285" s="29"/>
    </row>
    <row r="286" ht="15.75" customHeight="1">
      <c r="A286" s="11" t="s">
        <v>1361</v>
      </c>
      <c r="B286" s="12"/>
      <c r="C286" s="13"/>
      <c r="D286" s="13" t="s">
        <v>1196</v>
      </c>
      <c r="E286" s="13"/>
      <c r="F286" s="14" t="s">
        <v>1180</v>
      </c>
      <c r="G286" s="50" t="s">
        <v>1223</v>
      </c>
      <c r="H286" s="31" t="s">
        <v>65</v>
      </c>
      <c r="I286" s="16" t="str">
        <f t="array" ref="I286">INDEX(Validations!$C$2:$C$100, MATCH(TRUE, ISNUMBER(SEARCH(Validations!$B$2:$B$100, H286)), 0))</f>
        <v>I</v>
      </c>
      <c r="J286" s="17" t="s">
        <v>1362</v>
      </c>
      <c r="K286" s="51"/>
      <c r="L286" s="17"/>
      <c r="M286" s="52"/>
      <c r="N286" s="20" t="s">
        <v>1363</v>
      </c>
      <c r="O286" s="17" t="s">
        <v>1364</v>
      </c>
      <c r="P286" s="21"/>
      <c r="Q286" s="21"/>
      <c r="R286" s="36" t="s">
        <v>840</v>
      </c>
      <c r="S286" s="17" t="str">
        <f>IFERROR(__xludf.DUMMYFUNCTION("IFERROR(REGEXEXTRACT(J286, ""(\d{1,3}[dD]\d{1,3})""), """")"),"1d10")</f>
        <v>1d10</v>
      </c>
      <c r="T286" s="17" t="str">
        <f>IFERROR(__xludf.DUMMYFUNCTION("IF(COUNTIF(ARRAYFORMULA(LOWER(Validations!$O$2:$O$100)), LOWER(REGEXEXTRACT(J286, ""\d{1,3}[dD]\d{1,3}\s+(\w+)"")))&gt;0, REGEXEXTRACT(J286, ""\d{1,3}[dD]\d{1,3}\s+(\w+)""), """")"),"void")</f>
        <v>void</v>
      </c>
      <c r="U286" s="17" t="str">
        <f>IFERROR(__xludf.DUMMYFUNCTION("IF(COUNTIF(ARRAYFORMULA(LOWER(Validations!$P$2:$P$100)), LOWER(REGEXEXTRACT(J286, ""\d{1,3}[dD]\d{1,3}\s+(\w+)"")))&gt;0, REGEXEXTRACT(J286, ""\d{1,3}[dD]\d{1,3}\s+(\w+)""), """")"),"")</f>
        <v/>
      </c>
      <c r="V286" s="12" t="str">
        <f>IFERROR(__xludf.DUMMYFUNCTION("TEXTJOIN("", "", TRUE, FILTER(Validations!$L$2:$L$100, ISNUMBER(SEARCH(Validations!$L$2:$L$100, J286))))"),"Invisible")</f>
        <v>Invisible</v>
      </c>
      <c r="W286" s="12" t="str">
        <f>IFERROR(__xludf.DUMMYFUNCTION("IFERROR(TEXTJOIN("", "", TRUE, FILTER(Validations!$M$2:$M$100, ISNUMBER(SEARCH(Validations!$M$2:$M$100 &amp; "" saving throw"", J286)))), """")"),"")</f>
        <v/>
      </c>
      <c r="X286" s="12"/>
      <c r="Y286" s="12"/>
      <c r="Z286" s="12" t="str">
        <f>IFERROR(__xludf.DUMMYFUNCTION("IFERROR(TEXTJOIN("", "", TRUE, FILTER(Validations!$N$2:$N$100, ISNUMBER(SEARCH(Validations!$N$2:$N$100 &amp; "" check"", J286)))), """")"),"")</f>
        <v/>
      </c>
      <c r="AA286" s="12" t="str">
        <f>IFERROR(__xludf.DUMMYFUNCTION("IFERROR(TEXTJOIN("", "", TRUE, FILTER(Validations!$N$2:$N$100, ISNUMBER(SEARCH(Validations!$N$2:$N$100 &amp; "" check"", W286)))), """")"),"")</f>
        <v/>
      </c>
      <c r="AB286" s="23" t="str">
        <f>IFERROR(__xludf.DUMMYFUNCTION("IFERROR(CONCATENATE(IF(ISNUMBER(SEARCH(Validations!$M$2:$M$100 &amp; "" spell save"", J286)),""Spell Save"",""""), REGEXEXTRACT(J286, ""DC (\d+)"")), """")"),"")</f>
        <v/>
      </c>
      <c r="AC286" s="24" t="b">
        <v>0</v>
      </c>
      <c r="AD286" s="24" t="b">
        <v>0</v>
      </c>
      <c r="AE286" s="12" t="s">
        <v>69</v>
      </c>
      <c r="AF286" s="25">
        <f>IFERROR(__xludf.DUMMYFUNCTION("IFERROR(VALUE(REGEXEXTRACT(AE286, ""\d+"")), 1)"),1.0)</f>
        <v>1</v>
      </c>
      <c r="AG286" s="12" t="str">
        <f>IFERROR(__xludf.DUMMYFUNCTION("IF(
  ISNUMBER(SEARCH(""Bonus Action"", AE286)),
  ""Bonus Action"",
  IF(
    ISNUMBER(SEARCH(""Reaction"", AE286)),
    ""Reaction"",
    IF(
      ISNUMBER(SEARCH(""Action"", AE286)),
      ""Action"",
      TEXTJOIN("", "", TRUE, FILTER(Validations!$S"&amp;"$2:$S$100, ISNUMBER(SEARCH(Validations!$S$2:$S$100, AE286))))
    )
  )
)"),"Action")</f>
        <v>Action</v>
      </c>
      <c r="AH286" s="12"/>
      <c r="AI286" s="20" t="s">
        <v>92</v>
      </c>
      <c r="AJ286" s="26" t="str">
        <f>IFERROR(__xludf.DUMMYFUNCTION("TEXTJOIN("", "", TRUE, FILTER(Validations!$T$2:$T$100, ISNUMBER(SEARCH(Validations!$T$2:$T$100, AI286))))"),"")</f>
        <v/>
      </c>
      <c r="AK286" s="26">
        <f>IFERROR(__xludf.DUMMYFUNCTION("IFERROR(VALUE(REGEXEXTRACT(AI286, ""\d+"")), """")"),1.0)</f>
        <v>1</v>
      </c>
      <c r="AL286" s="26" t="str">
        <f>IFERROR(__xludf.DUMMYFUNCTION("TEXTJOIN("", "", TRUE, FILTER(Validations!$U$2:$U$100, ISNUMBER(SEARCH(Validations!$U$2:$U$100, AI286))))"),"Minutes")</f>
        <v>Minutes</v>
      </c>
      <c r="AM286" s="24" t="b">
        <f t="shared" si="1"/>
        <v>0</v>
      </c>
      <c r="AN286" s="24" t="b">
        <v>0</v>
      </c>
      <c r="AO286" s="12" t="s">
        <v>78</v>
      </c>
      <c r="AP286" s="12" t="str">
        <f>IFERROR(__xludf.DUMMYFUNCTION("IF(TEXTJOIN("", "", TRUE, FILTER(Validations!$Q$2:$Q$100, ISNUMBER(SEARCH(Validations!$Q$2:$Q$100, AO286)))) = """", Validations!$Q$2, TEXTJOIN("", "", TRUE, FILTER(Validations!$Q$2:$Q$100, ISNUMBER(SEARCH(Validations!$Q$2:$Q$100, AO286)))))"),"Point")</f>
        <v>Point</v>
      </c>
      <c r="AQ286" s="12" t="str">
        <f>IFERROR(__xludf.DUMMYFUNCTION("IFERROR(VALUE(REGEXEXTRACT(AO286, ""\d+"")), """")"),"")</f>
        <v/>
      </c>
      <c r="AR286" s="12" t="str">
        <f>IFERROR(__xludf.DUMMYFUNCTION("TEXTJOIN("", "", TRUE, FILTER(Validations!$R$2:$R$100, ISNUMBER(SEARCH(Validations!$R$2:$R$100, AO286))))"),"Self")</f>
        <v>Self</v>
      </c>
      <c r="AS286" s="27"/>
      <c r="AT286" s="12" t="str">
        <f>IFERROR(__xludf.DUMMYFUNCTION("IFERROR(TEXTJOIN("", "", TRUE, FILTER(Validations!$I$2:$I$100, ISNUMBER(SEARCH(Validations!$I$2:$I$100, AS286)))), """")"),"")</f>
        <v/>
      </c>
      <c r="AU286" s="16" t="str">
        <f t="array" ref="AU286">IFERROR(INDEX(Validations!$J$2:$J$100, MATCH(TRUE, ISNUMBER(SEARCH(Validations!$I$2:$I$100, AT286)), 0)), "")</f>
        <v/>
      </c>
      <c r="AV286" s="12" t="str">
        <f>IFERROR(__xludf.DUMMYFUNCTION("IFERROR(VALUE(REGEXEXTRACT(AS286, ""\d+"")), """")"),"")</f>
        <v/>
      </c>
      <c r="AW286" s="12" t="str">
        <f>IFERROR(__xludf.DUMMYFUNCTION("IFERROR(TEXTJOIN("", "", TRUE, FILTER(Validations!$Q$2:$Q$100, ISNUMBER(SEARCH(Validations!$Q$2:$Q$100, AS286)))), """")"),"")</f>
        <v/>
      </c>
      <c r="AX286" s="28" t="s">
        <v>142</v>
      </c>
      <c r="AY286" s="28" t="str">
        <f>IFERROR(__xludf.DUMMYFUNCTION("TEXTJOIN("", "", TRUE, FILTER(Validations!$Y$2:$Y$100, ISNUMBER(SEARCH(Validations!$X$2:$X$100, AX286))))"),"V, S")</f>
        <v>V, S</v>
      </c>
      <c r="AZ286" s="26" t="s">
        <v>1365</v>
      </c>
      <c r="BA286" s="12"/>
      <c r="BB286" s="22"/>
      <c r="BC286" s="22"/>
      <c r="BD286" s="22"/>
      <c r="BE286" s="27"/>
      <c r="BF286" s="22"/>
      <c r="BG286" s="27"/>
      <c r="BH286" s="27"/>
      <c r="BI286" s="12" t="str">
        <f>IFERROR(__xludf.DUMMYFUNCTION("IFERROR(TEXTJOIN("", "", TRUE, FILTER(SRD!$A$2:$A$1000, EXACT(SRD!$A$2:$A$1000, J286))), """")"),"")</f>
        <v/>
      </c>
      <c r="BJ286" s="29"/>
      <c r="BK286" s="29"/>
    </row>
    <row r="287" ht="15.75" customHeight="1">
      <c r="A287" s="30" t="s">
        <v>1366</v>
      </c>
      <c r="B287" s="22"/>
      <c r="C287" s="16"/>
      <c r="D287" s="16" t="s">
        <v>1367</v>
      </c>
      <c r="E287" s="16"/>
      <c r="F287" s="32" t="s">
        <v>499</v>
      </c>
      <c r="G287" s="50" t="s">
        <v>1223</v>
      </c>
      <c r="H287" s="16" t="s">
        <v>140</v>
      </c>
      <c r="I287" s="16" t="str">
        <f t="array" ref="I287">INDEX(Validations!$C$2:$C$100, MATCH(TRUE, ISNUMBER(SEARCH(Validations!$B$2:$B$100, H287)), 0))</f>
        <v>N</v>
      </c>
      <c r="J287" s="17" t="s">
        <v>1368</v>
      </c>
      <c r="K287" s="18"/>
      <c r="L287" s="17"/>
      <c r="M287" s="17"/>
      <c r="N287" s="27"/>
      <c r="O287" s="17"/>
      <c r="P287" s="21"/>
      <c r="Q287" s="21"/>
      <c r="R287" s="22"/>
      <c r="S287" s="17" t="str">
        <f>IFERROR(__xludf.DUMMYFUNCTION("IFERROR(REGEXEXTRACT(J287, ""(\d{1,3}[dD]\d{1,3})""), """")"),"")</f>
        <v/>
      </c>
      <c r="T287" s="17" t="str">
        <f>IFERROR(__xludf.DUMMYFUNCTION("IF(COUNTIF(ARRAYFORMULA(LOWER(Validations!$O$2:$O$100)), LOWER(REGEXEXTRACT(J287, ""\d{1,3}[dD]\d{1,3}\s+(\w+)"")))&gt;0, REGEXEXTRACT(J287, ""\d{1,3}[dD]\d{1,3}\s+(\w+)""), """")"),"")</f>
        <v/>
      </c>
      <c r="U287" s="17" t="str">
        <f>IFERROR(__xludf.DUMMYFUNCTION("IF(COUNTIF(ARRAYFORMULA(LOWER(Validations!$P$2:$P$100)), LOWER(REGEXEXTRACT(J287, ""\d{1,3}[dD]\d{1,3}\s+(\w+)"")))&gt;0, REGEXEXTRACT(J287, ""\d{1,3}[dD]\d{1,3}\s+(\w+)""), """")"),"")</f>
        <v/>
      </c>
      <c r="V287" s="12" t="str">
        <f>IFERROR(__xludf.DUMMYFUNCTION("TEXTJOIN("", "", TRUE, FILTER(Validations!$L$2:$L$100, ISNUMBER(SEARCH(Validations!$L$2:$L$100, J287))))"),"Unconscious")</f>
        <v>Unconscious</v>
      </c>
      <c r="W287" s="12" t="str">
        <f>IFERROR(__xludf.DUMMYFUNCTION("IFERROR(TEXTJOIN("", "", TRUE, FILTER(Validations!$M$2:$M$100, ISNUMBER(SEARCH(Validations!$M$2:$M$100 &amp; "" saving throw"", J287)))), """")"),"")</f>
        <v/>
      </c>
      <c r="X287" s="12"/>
      <c r="Y287" s="12"/>
      <c r="Z287" s="12" t="str">
        <f>IFERROR(__xludf.DUMMYFUNCTION("IFERROR(TEXTJOIN("", "", TRUE, FILTER(Validations!$N$2:$N$100, ISNUMBER(SEARCH(Validations!$N$2:$N$100 &amp; "" check"", J287)))), """")"),"")</f>
        <v/>
      </c>
      <c r="AA287" s="12" t="str">
        <f>IFERROR(__xludf.DUMMYFUNCTION("IFERROR(TEXTJOIN("", "", TRUE, FILTER(Validations!$N$2:$N$100, ISNUMBER(SEARCH(Validations!$N$2:$N$100 &amp; "" check"", W287)))), """")"),"")</f>
        <v/>
      </c>
      <c r="AB287" s="23" t="str">
        <f>IFERROR(__xludf.DUMMYFUNCTION("IFERROR(CONCATENATE(IF(ISNUMBER(SEARCH(Validations!$M$2:$M$100 &amp; "" spell save"", J287)),""Spell Save"",""""), REGEXEXTRACT(J287, ""DC (\d+)"")), """")"),"")</f>
        <v/>
      </c>
      <c r="AC287" s="24" t="b">
        <v>0</v>
      </c>
      <c r="AD287" s="24" t="b">
        <v>0</v>
      </c>
      <c r="AE287" s="22" t="s">
        <v>789</v>
      </c>
      <c r="AF287" s="25">
        <f>IFERROR(__xludf.DUMMYFUNCTION("IFERROR(VALUE(REGEXEXTRACT(AE287, ""\d+"")), 1)"),1.0)</f>
        <v>1</v>
      </c>
      <c r="AG287" s="12" t="str">
        <f>IFERROR(__xludf.DUMMYFUNCTION("IF(
  ISNUMBER(SEARCH(""Bonus Action"", AE287)),
  ""Bonus Action"",
  IF(
    ISNUMBER(SEARCH(""Reaction"", AE287)),
    ""Reaction"",
    IF(
      ISNUMBER(SEARCH(""Action"", AE287)),
      ""Action"",
      TEXTJOIN("", "", TRUE, FILTER(Validations!$S"&amp;"$2:$S$100, ISNUMBER(SEARCH(Validations!$S$2:$S$100, AE287))))
    )
  )
)"),"Special")</f>
        <v>Special</v>
      </c>
      <c r="AH287" s="22"/>
      <c r="AI287" s="27" t="s">
        <v>789</v>
      </c>
      <c r="AJ287" s="26" t="str">
        <f>IFERROR(__xludf.DUMMYFUNCTION("TEXTJOIN("", "", TRUE, FILTER(Validations!$T$2:$T$100, ISNUMBER(SEARCH(Validations!$T$2:$T$100, AI287))))"),"Special")</f>
        <v>Special</v>
      </c>
      <c r="AK287" s="26" t="str">
        <f>IFERROR(__xludf.DUMMYFUNCTION("IFERROR(VALUE(REGEXEXTRACT(AI287, ""\d+"")), """")"),"")</f>
        <v/>
      </c>
      <c r="AL287" s="26" t="str">
        <f>IFERROR(__xludf.DUMMYFUNCTION("TEXTJOIN("", "", TRUE, FILTER(Validations!$U$2:$U$100, ISNUMBER(SEARCH(Validations!$U$2:$U$100, AI287))))"),"")</f>
        <v/>
      </c>
      <c r="AM287" s="24" t="b">
        <f t="shared" si="1"/>
        <v>0</v>
      </c>
      <c r="AN287" s="24" t="b">
        <v>0</v>
      </c>
      <c r="AO287" s="22" t="s">
        <v>71</v>
      </c>
      <c r="AP287" s="12" t="str">
        <f>IFERROR(__xludf.DUMMYFUNCTION("IF(TEXTJOIN("", "", TRUE, FILTER(Validations!$Q$2:$Q$100, ISNUMBER(SEARCH(Validations!$Q$2:$Q$100, AO287)))) = """", Validations!$Q$2, TEXTJOIN("", "", TRUE, FILTER(Validations!$Q$2:$Q$100, ISNUMBER(SEARCH(Validations!$Q$2:$Q$100, AO287)))))"),"Point")</f>
        <v>Point</v>
      </c>
      <c r="AQ287" s="12" t="str">
        <f>IFERROR(__xludf.DUMMYFUNCTION("IFERROR(VALUE(REGEXEXTRACT(AO287, ""\d+"")), """")"),"")</f>
        <v/>
      </c>
      <c r="AR287" s="12" t="str">
        <f>IFERROR(__xludf.DUMMYFUNCTION("TEXTJOIN("", "", TRUE, FILTER(Validations!$R$2:$R$100, ISNUMBER(SEARCH(Validations!$R$2:$R$100, AO287))))"),"Touch")</f>
        <v>Touch</v>
      </c>
      <c r="AS287" s="27"/>
      <c r="AT287" s="12" t="str">
        <f>IFERROR(__xludf.DUMMYFUNCTION("IFERROR(TEXTJOIN("", "", TRUE, FILTER(Validations!$I$2:$I$100, ISNUMBER(SEARCH(Validations!$I$2:$I$100, AS287)))), """")"),"")</f>
        <v/>
      </c>
      <c r="AU287" s="16" t="str">
        <f t="array" ref="AU287">IFERROR(INDEX(Validations!$J$2:$J$100, MATCH(TRUE, ISNUMBER(SEARCH(Validations!$I$2:$I$100, AT287)), 0)), "")</f>
        <v/>
      </c>
      <c r="AV287" s="12" t="str">
        <f>IFERROR(__xludf.DUMMYFUNCTION("IFERROR(VALUE(REGEXEXTRACT(AS287, ""\d+"")), """")"),"")</f>
        <v/>
      </c>
      <c r="AW287" s="12" t="str">
        <f>IFERROR(__xludf.DUMMYFUNCTION("IFERROR(TEXTJOIN("", "", TRUE, FILTER(Validations!$Q$2:$Q$100, ISNUMBER(SEARCH(Validations!$Q$2:$Q$100, AS287)))), """")"),"")</f>
        <v/>
      </c>
      <c r="AX287" s="28" t="s">
        <v>106</v>
      </c>
      <c r="AY287" s="28" t="str">
        <f>IFERROR(__xludf.DUMMYFUNCTION("TEXTJOIN("", "", TRUE, FILTER(Validations!$Y$2:$Y$100, ISNUMBER(SEARCH(Validations!$X$2:$X$100, AX287))))"),"S")</f>
        <v>S</v>
      </c>
      <c r="AZ287" s="27"/>
      <c r="BA287" s="22"/>
      <c r="BB287" s="22"/>
      <c r="BC287" s="22"/>
      <c r="BD287" s="22"/>
      <c r="BE287" s="27"/>
      <c r="BF287" s="22"/>
      <c r="BG287" s="27"/>
      <c r="BH287" s="27"/>
      <c r="BI287" s="12" t="str">
        <f>IFERROR(__xludf.DUMMYFUNCTION("IFERROR(TEXTJOIN("", "", TRUE, FILTER(SRD!$A$2:$A$1000, EXACT(SRD!$A$2:$A$1000, J287))), """")"),"")</f>
        <v/>
      </c>
      <c r="BJ287" s="29"/>
      <c r="BK287" s="29"/>
    </row>
    <row r="288" ht="15.75" customHeight="1">
      <c r="A288" s="30" t="s">
        <v>1369</v>
      </c>
      <c r="B288" s="22"/>
      <c r="C288" s="16"/>
      <c r="D288" s="16" t="s">
        <v>1370</v>
      </c>
      <c r="E288" s="16"/>
      <c r="F288" s="32" t="s">
        <v>1371</v>
      </c>
      <c r="G288" s="50" t="s">
        <v>1223</v>
      </c>
      <c r="H288" s="31" t="s">
        <v>144</v>
      </c>
      <c r="I288" s="16" t="str">
        <f t="array" ref="I288">INDEX(Validations!$C$2:$C$100, MATCH(TRUE, ISNUMBER(SEARCH(Validations!$B$2:$B$100, H288)), 0))</f>
        <v>D</v>
      </c>
      <c r="J288" s="17" t="s">
        <v>1372</v>
      </c>
      <c r="K288" s="18"/>
      <c r="L288" s="17"/>
      <c r="M288" s="17"/>
      <c r="N288" s="27"/>
      <c r="O288" s="17"/>
      <c r="P288" s="21"/>
      <c r="Q288" s="21"/>
      <c r="R288" s="22"/>
      <c r="S288" s="17" t="str">
        <f>IFERROR(__xludf.DUMMYFUNCTION("IFERROR(REGEXEXTRACT(J288, ""(\d{1,3}[dD]\d{1,3})""), """")"),"")</f>
        <v/>
      </c>
      <c r="T288" s="17" t="str">
        <f>IFERROR(__xludf.DUMMYFUNCTION("IF(COUNTIF(ARRAYFORMULA(LOWER(Validations!$O$2:$O$100)), LOWER(REGEXEXTRACT(J288, ""\d{1,3}[dD]\d{1,3}\s+(\w+)"")))&gt;0, REGEXEXTRACT(J288, ""\d{1,3}[dD]\d{1,3}\s+(\w+)""), """")"),"")</f>
        <v/>
      </c>
      <c r="U288" s="17" t="str">
        <f>IFERROR(__xludf.DUMMYFUNCTION("IF(COUNTIF(ARRAYFORMULA(LOWER(Validations!$P$2:$P$100)), LOWER(REGEXEXTRACT(J288, ""\d{1,3}[dD]\d{1,3}\s+(\w+)"")))&gt;0, REGEXEXTRACT(J288, ""\d{1,3}[dD]\d{1,3}\s+(\w+)""), """")"),"")</f>
        <v/>
      </c>
      <c r="V288" s="12" t="str">
        <f>IFERROR(__xludf.DUMMYFUNCTION("TEXTJOIN("", "", TRUE, FILTER(Validations!$L$2:$L$100, ISNUMBER(SEARCH(Validations!$L$2:$L$100, J288))))"),"")</f>
        <v/>
      </c>
      <c r="W288" s="12" t="str">
        <f>IFERROR(__xludf.DUMMYFUNCTION("IFERROR(TEXTJOIN("", "", TRUE, FILTER(Validations!$M$2:$M$100, ISNUMBER(SEARCH(Validations!$M$2:$M$100 &amp; "" saving throw"", J288)))), """")"),"Wisdom")</f>
        <v>Wisdom</v>
      </c>
      <c r="X288" s="12"/>
      <c r="Y288" s="12"/>
      <c r="Z288" s="12" t="str">
        <f>IFERROR(__xludf.DUMMYFUNCTION("IFERROR(TEXTJOIN("", "", TRUE, FILTER(Validations!$N$2:$N$100, ISNUMBER(SEARCH(Validations!$N$2:$N$100 &amp; "" check"", J288)))), """")"),"")</f>
        <v/>
      </c>
      <c r="AA288" s="12" t="str">
        <f>IFERROR(__xludf.DUMMYFUNCTION("IFERROR(TEXTJOIN("", "", TRUE, FILTER(Validations!$N$2:$N$100, ISNUMBER(SEARCH(Validations!$N$2:$N$100 &amp; "" check"", W288)))), """")"),"")</f>
        <v/>
      </c>
      <c r="AB288" s="23" t="str">
        <f>IFERROR(__xludf.DUMMYFUNCTION("IFERROR(CONCATENATE(IF(ISNUMBER(SEARCH(Validations!$M$2:$M$100 &amp; "" spell save"", J288)),""Spell Save"",""""), REGEXEXTRACT(J288, ""DC (\d+)"")), """")"),"")</f>
        <v/>
      </c>
      <c r="AC288" s="24" t="b">
        <v>0</v>
      </c>
      <c r="AD288" s="24" t="b">
        <v>0</v>
      </c>
      <c r="AE288" s="36" t="s">
        <v>69</v>
      </c>
      <c r="AF288" s="25">
        <f>IFERROR(__xludf.DUMMYFUNCTION("IFERROR(VALUE(REGEXEXTRACT(AE288, ""\d+"")), 1)"),1.0)</f>
        <v>1</v>
      </c>
      <c r="AG288" s="12" t="str">
        <f>IFERROR(__xludf.DUMMYFUNCTION("IF(
  ISNUMBER(SEARCH(""Bonus Action"", AE288)),
  ""Bonus Action"",
  IF(
    ISNUMBER(SEARCH(""Reaction"", AE288)),
    ""Reaction"",
    IF(
      ISNUMBER(SEARCH(""Action"", AE288)),
      ""Action"",
      TEXTJOIN("", "", TRUE, FILTER(Validations!$S"&amp;"$2:$S$100, ISNUMBER(SEARCH(Validations!$S$2:$S$100, AE288))))
    )
  )
)"),"Action")</f>
        <v>Action</v>
      </c>
      <c r="AH288" s="36"/>
      <c r="AI288" s="20" t="s">
        <v>134</v>
      </c>
      <c r="AJ288" s="26" t="str">
        <f>IFERROR(__xludf.DUMMYFUNCTION("TEXTJOIN("", "", TRUE, FILTER(Validations!$T$2:$T$100, ISNUMBER(SEARCH(Validations!$T$2:$T$100, AI288))))"),"")</f>
        <v/>
      </c>
      <c r="AK288" s="26">
        <f>IFERROR(__xludf.DUMMYFUNCTION("IFERROR(VALUE(REGEXEXTRACT(AI288, ""\d+"")), """")"),10.0)</f>
        <v>10</v>
      </c>
      <c r="AL288" s="26" t="str">
        <f>IFERROR(__xludf.DUMMYFUNCTION("TEXTJOIN("", "", TRUE, FILTER(Validations!$U$2:$U$100, ISNUMBER(SEARCH(Validations!$U$2:$U$100, AI288))))"),"Minutes")</f>
        <v>Minutes</v>
      </c>
      <c r="AM288" s="24" t="b">
        <f t="shared" si="1"/>
        <v>0</v>
      </c>
      <c r="AN288" s="24" t="b">
        <v>0</v>
      </c>
      <c r="AO288" s="22" t="s">
        <v>112</v>
      </c>
      <c r="AP288" s="12" t="str">
        <f>IFERROR(__xludf.DUMMYFUNCTION("IF(TEXTJOIN("", "", TRUE, FILTER(Validations!$Q$2:$Q$100, ISNUMBER(SEARCH(Validations!$Q$2:$Q$100, AO288)))) = """", Validations!$Q$2, TEXTJOIN("", "", TRUE, FILTER(Validations!$Q$2:$Q$100, ISNUMBER(SEARCH(Validations!$Q$2:$Q$100, AO288)))))"),"Point")</f>
        <v>Point</v>
      </c>
      <c r="AQ288" s="12">
        <f>IFERROR(__xludf.DUMMYFUNCTION("IFERROR(VALUE(REGEXEXTRACT(AO288, ""\d+"")), """")"),30.0)</f>
        <v>30</v>
      </c>
      <c r="AR288" s="12" t="str">
        <f>IFERROR(__xludf.DUMMYFUNCTION("TEXTJOIN("", "", TRUE, FILTER(Validations!$R$2:$R$100, ISNUMBER(SEARCH(Validations!$R$2:$R$100, AO288))))"),"Feet")</f>
        <v>Feet</v>
      </c>
      <c r="AS288" s="27"/>
      <c r="AT288" s="12" t="str">
        <f>IFERROR(__xludf.DUMMYFUNCTION("IFERROR(TEXTJOIN("", "", TRUE, FILTER(Validations!$I$2:$I$100, ISNUMBER(SEARCH(Validations!$I$2:$I$100, AS288)))), """")"),"")</f>
        <v/>
      </c>
      <c r="AU288" s="16" t="str">
        <f t="array" ref="AU288">IFERROR(INDEX(Validations!$J$2:$J$100, MATCH(TRUE, ISNUMBER(SEARCH(Validations!$I$2:$I$100, AT288)), 0)), "")</f>
        <v/>
      </c>
      <c r="AV288" s="12" t="str">
        <f>IFERROR(__xludf.DUMMYFUNCTION("IFERROR(VALUE(REGEXEXTRACT(AS288, ""\d+"")), """")"),"")</f>
        <v/>
      </c>
      <c r="AW288" s="12" t="str">
        <f>IFERROR(__xludf.DUMMYFUNCTION("IFERROR(TEXTJOIN("", "", TRUE, FILTER(Validations!$Q$2:$Q$100, ISNUMBER(SEARCH(Validations!$Q$2:$Q$100, AS288)))), """")"),"")</f>
        <v/>
      </c>
      <c r="AX288" s="28" t="s">
        <v>152</v>
      </c>
      <c r="AY288" s="28" t="str">
        <f>IFERROR(__xludf.DUMMYFUNCTION("TEXTJOIN("", "", TRUE, FILTER(Validations!$Y$2:$Y$100, ISNUMBER(SEARCH(Validations!$X$2:$X$100, AX288))))"),"V, S, R")</f>
        <v>V, S, R</v>
      </c>
      <c r="AZ288" s="20" t="s">
        <v>1373</v>
      </c>
      <c r="BA288" s="22"/>
      <c r="BB288" s="22"/>
      <c r="BC288" s="22"/>
      <c r="BD288" s="22"/>
      <c r="BE288" s="27"/>
      <c r="BF288" s="22"/>
      <c r="BG288" s="27"/>
      <c r="BH288" s="27"/>
      <c r="BI288" s="12" t="str">
        <f>IFERROR(__xludf.DUMMYFUNCTION("IFERROR(TEXTJOIN("", "", TRUE, FILTER(SRD!$A$2:$A$1000, EXACT(SRD!$A$2:$A$1000, J288))), """")"),"")</f>
        <v/>
      </c>
      <c r="BJ288" s="29"/>
      <c r="BK288" s="29"/>
    </row>
    <row r="289" ht="15.75" customHeight="1">
      <c r="A289" s="11" t="s">
        <v>1374</v>
      </c>
      <c r="B289" s="12"/>
      <c r="C289" s="16"/>
      <c r="D289" s="16" t="s">
        <v>302</v>
      </c>
      <c r="E289" s="16"/>
      <c r="F289" s="32" t="s">
        <v>1256</v>
      </c>
      <c r="G289" s="50" t="s">
        <v>1223</v>
      </c>
      <c r="H289" s="16" t="s">
        <v>76</v>
      </c>
      <c r="I289" s="16" t="str">
        <f t="array" ref="I289">INDEX(Validations!$C$2:$C$100, MATCH(TRUE, ISNUMBER(SEARCH(Validations!$B$2:$B$100, H289)), 0))</f>
        <v>V</v>
      </c>
      <c r="J289" s="17" t="s">
        <v>1375</v>
      </c>
      <c r="K289" s="18"/>
      <c r="L289" s="17"/>
      <c r="M289" s="17"/>
      <c r="N289" s="27"/>
      <c r="O289" s="17" t="s">
        <v>1376</v>
      </c>
      <c r="P289" s="21"/>
      <c r="Q289" s="21"/>
      <c r="R289" s="22"/>
      <c r="S289" s="17" t="str">
        <f>IFERROR(__xludf.DUMMYFUNCTION("IFERROR(REGEXEXTRACT(J289, ""(\d{1,3}[dD]\d{1,3})""), """")"),"6d8")</f>
        <v>6d8</v>
      </c>
      <c r="T289" s="17" t="str">
        <f>IFERROR(__xludf.DUMMYFUNCTION("IF(COUNTIF(ARRAYFORMULA(LOWER(Validations!$O$2:$O$100)), LOWER(REGEXEXTRACT(J289, ""\d{1,3}[dD]\d{1,3}\s+(\w+)"")))&gt;0, REGEXEXTRACT(J289, ""\d{1,3}[dD]\d{1,3}\s+(\w+)""), """")"),"")</f>
        <v/>
      </c>
      <c r="U289" s="17" t="str">
        <f>IFERROR(__xludf.DUMMYFUNCTION("IF(COUNTIF(ARRAYFORMULA(LOWER(Validations!$P$2:$P$100)), LOWER(REGEXEXTRACT(J289, ""\d{1,3}[dD]\d{1,3}\s+(\w+)"")))&gt;0, REGEXEXTRACT(J289, ""\d{1,3}[dD]\d{1,3}\s+(\w+)""), """")"),"")</f>
        <v/>
      </c>
      <c r="V289" s="12" t="str">
        <f>IFERROR(__xludf.DUMMYFUNCTION("TEXTJOIN("", "", TRUE, FILTER(Validations!$L$2:$L$100, ISNUMBER(SEARCH(Validations!$L$2:$L$100, J289))))"),"")</f>
        <v/>
      </c>
      <c r="W289" s="12" t="str">
        <f>IFERROR(__xludf.DUMMYFUNCTION("IFERROR(TEXTJOIN("", "", TRUE, FILTER(Validations!$M$2:$M$100, ISNUMBER(SEARCH(Validations!$M$2:$M$100 &amp; "" saving throw"", J289)))), """")"),"Constitution")</f>
        <v>Constitution</v>
      </c>
      <c r="X289" s="12"/>
      <c r="Y289" s="12"/>
      <c r="Z289" s="12" t="str">
        <f>IFERROR(__xludf.DUMMYFUNCTION("IFERROR(TEXTJOIN("", "", TRUE, FILTER(Validations!$N$2:$N$100, ISNUMBER(SEARCH(Validations!$N$2:$N$100 &amp; "" check"", J289)))), """")"),"")</f>
        <v/>
      </c>
      <c r="AA289" s="12" t="str">
        <f>IFERROR(__xludf.DUMMYFUNCTION("IFERROR(TEXTJOIN("", "", TRUE, FILTER(Validations!$N$2:$N$100, ISNUMBER(SEARCH(Validations!$N$2:$N$100 &amp; "" check"", W289)))), """")"),"")</f>
        <v/>
      </c>
      <c r="AB289" s="23" t="str">
        <f>IFERROR(__xludf.DUMMYFUNCTION("IFERROR(CONCATENATE(IF(ISNUMBER(SEARCH(Validations!$M$2:$M$100 &amp; "" spell save"", J289)),""Spell Save"",""""), REGEXEXTRACT(J289, ""DC (\d+)"")), """")"),"")</f>
        <v/>
      </c>
      <c r="AC289" s="24" t="b">
        <v>0</v>
      </c>
      <c r="AD289" s="24" t="b">
        <v>0</v>
      </c>
      <c r="AE289" s="36" t="s">
        <v>69</v>
      </c>
      <c r="AF289" s="25">
        <f>IFERROR(__xludf.DUMMYFUNCTION("IFERROR(VALUE(REGEXEXTRACT(AE289, ""\d+"")), 1)"),1.0)</f>
        <v>1</v>
      </c>
      <c r="AG289" s="12" t="str">
        <f>IFERROR(__xludf.DUMMYFUNCTION("IF(
  ISNUMBER(SEARCH(""Bonus Action"", AE289)),
  ""Bonus Action"",
  IF(
    ISNUMBER(SEARCH(""Reaction"", AE289)),
    ""Reaction"",
    IF(
      ISNUMBER(SEARCH(""Action"", AE289)),
      ""Action"",
      TEXTJOIN("", "", TRUE, FILTER(Validations!$S"&amp;"$2:$S$100, ISNUMBER(SEARCH(Validations!$S$2:$S$100, AE289))))
    )
  )
)"),"Action")</f>
        <v>Action</v>
      </c>
      <c r="AH289" s="36"/>
      <c r="AI289" s="27" t="s">
        <v>70</v>
      </c>
      <c r="AJ289" s="26" t="str">
        <f>IFERROR(__xludf.DUMMYFUNCTION("TEXTJOIN("", "", TRUE, FILTER(Validations!$T$2:$T$100, ISNUMBER(SEARCH(Validations!$T$2:$T$100, AI289))))"),"Instantaneous")</f>
        <v>Instantaneous</v>
      </c>
      <c r="AK289" s="26" t="str">
        <f>IFERROR(__xludf.DUMMYFUNCTION("IFERROR(VALUE(REGEXEXTRACT(AI289, ""\d+"")), """")"),"")</f>
        <v/>
      </c>
      <c r="AL289" s="26" t="str">
        <f>IFERROR(__xludf.DUMMYFUNCTION("TEXTJOIN("", "", TRUE, FILTER(Validations!$U$2:$U$100, ISNUMBER(SEARCH(Validations!$U$2:$U$100, AI289))))"),"")</f>
        <v/>
      </c>
      <c r="AM289" s="24" t="b">
        <f t="shared" si="1"/>
        <v>0</v>
      </c>
      <c r="AN289" s="24" t="b">
        <v>0</v>
      </c>
      <c r="AO289" s="22" t="s">
        <v>71</v>
      </c>
      <c r="AP289" s="12" t="str">
        <f>IFERROR(__xludf.DUMMYFUNCTION("IF(TEXTJOIN("", "", TRUE, FILTER(Validations!$Q$2:$Q$100, ISNUMBER(SEARCH(Validations!$Q$2:$Q$100, AO289)))) = """", Validations!$Q$2, TEXTJOIN("", "", TRUE, FILTER(Validations!$Q$2:$Q$100, ISNUMBER(SEARCH(Validations!$Q$2:$Q$100, AO289)))))"),"Point")</f>
        <v>Point</v>
      </c>
      <c r="AQ289" s="12" t="str">
        <f>IFERROR(__xludf.DUMMYFUNCTION("IFERROR(VALUE(REGEXEXTRACT(AO289, ""\d+"")), """")"),"")</f>
        <v/>
      </c>
      <c r="AR289" s="12" t="str">
        <f>IFERROR(__xludf.DUMMYFUNCTION("TEXTJOIN("", "", TRUE, FILTER(Validations!$R$2:$R$100, ISNUMBER(SEARCH(Validations!$R$2:$R$100, AO289))))"),"Touch")</f>
        <v>Touch</v>
      </c>
      <c r="AS289" s="27"/>
      <c r="AT289" s="12" t="str">
        <f>IFERROR(__xludf.DUMMYFUNCTION("IFERROR(TEXTJOIN("", "", TRUE, FILTER(Validations!$I$2:$I$100, ISNUMBER(SEARCH(Validations!$I$2:$I$100, AS289)))), """")"),"")</f>
        <v/>
      </c>
      <c r="AU289" s="16" t="str">
        <f t="array" ref="AU289">IFERROR(INDEX(Validations!$J$2:$J$100, MATCH(TRUE, ISNUMBER(SEARCH(Validations!$I$2:$I$100, AT289)), 0)), "")</f>
        <v/>
      </c>
      <c r="AV289" s="12" t="str">
        <f>IFERROR(__xludf.DUMMYFUNCTION("IFERROR(VALUE(REGEXEXTRACT(AS289, ""\d+"")), """")"),"")</f>
        <v/>
      </c>
      <c r="AW289" s="12" t="str">
        <f>IFERROR(__xludf.DUMMYFUNCTION("IFERROR(TEXTJOIN("", "", TRUE, FILTER(Validations!$Q$2:$Q$100, ISNUMBER(SEARCH(Validations!$Q$2:$Q$100, AS289)))), """")"),"")</f>
        <v/>
      </c>
      <c r="AX289" s="28" t="s">
        <v>152</v>
      </c>
      <c r="AY289" s="28" t="str">
        <f>IFERROR(__xludf.DUMMYFUNCTION("TEXTJOIN("", "", TRUE, FILTER(Validations!$Y$2:$Y$100, ISNUMBER(SEARCH(Validations!$X$2:$X$100, AX289))))"),"V, S, R")</f>
        <v>V, S, R</v>
      </c>
      <c r="AZ289" s="20" t="s">
        <v>1377</v>
      </c>
      <c r="BA289" s="22"/>
      <c r="BB289" s="22"/>
      <c r="BC289" s="22"/>
      <c r="BD289" s="22"/>
      <c r="BE289" s="27"/>
      <c r="BF289" s="22"/>
      <c r="BG289" s="27"/>
      <c r="BH289" s="27"/>
      <c r="BI289" s="12" t="str">
        <f>IFERROR(__xludf.DUMMYFUNCTION("IFERROR(TEXTJOIN("", "", TRUE, FILTER(SRD!$A$2:$A$1000, EXACT(SRD!$A$2:$A$1000, J289))), """")"),"")</f>
        <v/>
      </c>
      <c r="BJ289" s="29"/>
      <c r="BK289" s="29"/>
    </row>
    <row r="290" ht="15.75" customHeight="1">
      <c r="A290" s="38" t="s">
        <v>1378</v>
      </c>
      <c r="B290" s="12"/>
      <c r="C290" s="16"/>
      <c r="D290" s="16" t="s">
        <v>727</v>
      </c>
      <c r="E290" s="16"/>
      <c r="F290" s="39" t="s">
        <v>241</v>
      </c>
      <c r="G290" s="50" t="s">
        <v>1223</v>
      </c>
      <c r="H290" s="31" t="s">
        <v>103</v>
      </c>
      <c r="I290" s="16" t="str">
        <f t="array" ref="I290">INDEX(Validations!$C$2:$C$100, MATCH(TRUE, ISNUMBER(SEARCH(Validations!$B$2:$B$100, H290)), 0))</f>
        <v>C</v>
      </c>
      <c r="J290" s="17" t="s">
        <v>1379</v>
      </c>
      <c r="K290" s="51"/>
      <c r="L290" s="52"/>
      <c r="M290" s="52"/>
      <c r="N290" s="27"/>
      <c r="O290" s="52"/>
      <c r="P290" s="53"/>
      <c r="Q290" s="53"/>
      <c r="R290" s="36" t="s">
        <v>1380</v>
      </c>
      <c r="S290" s="17" t="str">
        <f>IFERROR(__xludf.DUMMYFUNCTION("IFERROR(REGEXEXTRACT(J290, ""(\d{1,3}[dD]\d{1,3})""), """")"),"11d4")</f>
        <v>11d4</v>
      </c>
      <c r="T290" s="17" t="str">
        <f>IFERROR(__xludf.DUMMYFUNCTION("IF(COUNTIF(ARRAYFORMULA(LOWER(Validations!$O$2:$O$100)), LOWER(REGEXEXTRACT(J290, ""\d{1,3}[dD]\d{1,3}\s+(\w+)"")))&gt;0, REGEXEXTRACT(J290, ""\d{1,3}[dD]\d{1,3}\s+(\w+)""), """")"),"biologic")</f>
        <v>biologic</v>
      </c>
      <c r="U290" s="17" t="str">
        <f>IFERROR(__xludf.DUMMYFUNCTION("IF(COUNTIF(ARRAYFORMULA(LOWER(Validations!$P$2:$P$100)), LOWER(REGEXEXTRACT(J290, ""\d{1,3}[dD]\d{1,3}\s+(\w+)"")))&gt;0, REGEXEXTRACT(J290, ""\d{1,3}[dD]\d{1,3}\s+(\w+)""), """")"),"")</f>
        <v/>
      </c>
      <c r="V290" s="12" t="str">
        <f>IFERROR(__xludf.DUMMYFUNCTION("TEXTJOIN("", "", TRUE, FILTER(Validations!$L$2:$L$100, ISNUMBER(SEARCH(Validations!$L$2:$L$100, J290))))"),"")</f>
        <v/>
      </c>
      <c r="W290" s="12" t="str">
        <f>IFERROR(__xludf.DUMMYFUNCTION("IFERROR(TEXTJOIN("", "", TRUE, FILTER(Validations!$M$2:$M$100, ISNUMBER(SEARCH(Validations!$M$2:$M$100 &amp; "" saving throw"", J290)))), """")"),"Constitution")</f>
        <v>Constitution</v>
      </c>
      <c r="X290" s="12"/>
      <c r="Y290" s="12"/>
      <c r="Z290" s="12" t="str">
        <f>IFERROR(__xludf.DUMMYFUNCTION("IFERROR(TEXTJOIN("", "", TRUE, FILTER(Validations!$N$2:$N$100, ISNUMBER(SEARCH(Validations!$N$2:$N$100 &amp; "" check"", J290)))), """")"),"")</f>
        <v/>
      </c>
      <c r="AA290" s="12" t="str">
        <f>IFERROR(__xludf.DUMMYFUNCTION("IFERROR(TEXTJOIN("", "", TRUE, FILTER(Validations!$N$2:$N$100, ISNUMBER(SEARCH(Validations!$N$2:$N$100 &amp; "" check"", W290)))), """")"),"")</f>
        <v/>
      </c>
      <c r="AB290" s="23" t="str">
        <f>IFERROR(__xludf.DUMMYFUNCTION("IFERROR(CONCATENATE(IF(ISNUMBER(SEARCH(Validations!$M$2:$M$100 &amp; "" spell save"", J290)),""Spell Save"",""""), REGEXEXTRACT(J290, ""DC (\d+)"")), """")"),"")</f>
        <v/>
      </c>
      <c r="AC290" s="24" t="b">
        <v>0</v>
      </c>
      <c r="AD290" s="24" t="b">
        <v>0</v>
      </c>
      <c r="AE290" s="12" t="s">
        <v>69</v>
      </c>
      <c r="AF290" s="25">
        <f>IFERROR(__xludf.DUMMYFUNCTION("IFERROR(VALUE(REGEXEXTRACT(AE290, ""\d+"")), 1)"),1.0)</f>
        <v>1</v>
      </c>
      <c r="AG290" s="12" t="str">
        <f>IFERROR(__xludf.DUMMYFUNCTION("IF(
  ISNUMBER(SEARCH(""Bonus Action"", AE290)),
  ""Bonus Action"",
  IF(
    ISNUMBER(SEARCH(""Reaction"", AE290)),
    ""Reaction"",
    IF(
      ISNUMBER(SEARCH(""Action"", AE290)),
      ""Action"",
      TEXTJOIN("", "", TRUE, FILTER(Validations!$S"&amp;"$2:$S$100, ISNUMBER(SEARCH(Validations!$S$2:$S$100, AE290))))
    )
  )
)"),"Action")</f>
        <v>Action</v>
      </c>
      <c r="AH290" s="12"/>
      <c r="AI290" s="20" t="s">
        <v>92</v>
      </c>
      <c r="AJ290" s="26" t="str">
        <f>IFERROR(__xludf.DUMMYFUNCTION("TEXTJOIN("", "", TRUE, FILTER(Validations!$T$2:$T$100, ISNUMBER(SEARCH(Validations!$T$2:$T$100, AI290))))"),"")</f>
        <v/>
      </c>
      <c r="AK290" s="26">
        <f>IFERROR(__xludf.DUMMYFUNCTION("IFERROR(VALUE(REGEXEXTRACT(AI290, ""\d+"")), """")"),1.0)</f>
        <v>1</v>
      </c>
      <c r="AL290" s="26" t="str">
        <f>IFERROR(__xludf.DUMMYFUNCTION("TEXTJOIN("", "", TRUE, FILTER(Validations!$U$2:$U$100, ISNUMBER(SEARCH(Validations!$U$2:$U$100, AI290))))"),"Minutes")</f>
        <v>Minutes</v>
      </c>
      <c r="AM290" s="24" t="b">
        <f t="shared" si="1"/>
        <v>0</v>
      </c>
      <c r="AN290" s="24" t="b">
        <v>0</v>
      </c>
      <c r="AO290" s="12" t="s">
        <v>78</v>
      </c>
      <c r="AP290" s="12" t="str">
        <f>IFERROR(__xludf.DUMMYFUNCTION("IF(TEXTJOIN("", "", TRUE, FILTER(Validations!$Q$2:$Q$100, ISNUMBER(SEARCH(Validations!$Q$2:$Q$100, AO290)))) = """", Validations!$Q$2, TEXTJOIN("", "", TRUE, FILTER(Validations!$Q$2:$Q$100, ISNUMBER(SEARCH(Validations!$Q$2:$Q$100, AO290)))))"),"Point")</f>
        <v>Point</v>
      </c>
      <c r="AQ290" s="12" t="str">
        <f>IFERROR(__xludf.DUMMYFUNCTION("IFERROR(VALUE(REGEXEXTRACT(AO290, ""\d+"")), """")"),"")</f>
        <v/>
      </c>
      <c r="AR290" s="12" t="str">
        <f>IFERROR(__xludf.DUMMYFUNCTION("TEXTJOIN("", "", TRUE, FILTER(Validations!$R$2:$R$100, ISNUMBER(SEARCH(Validations!$R$2:$R$100, AO290))))"),"Self")</f>
        <v>Self</v>
      </c>
      <c r="AS290" s="26" t="s">
        <v>1354</v>
      </c>
      <c r="AT290" s="12" t="str">
        <f>IFERROR(__xludf.DUMMYFUNCTION("IFERROR(TEXTJOIN("", "", TRUE, FILTER(Validations!$I$2:$I$100, ISNUMBER(SEARCH(Validations!$I$2:$I$100, AS290)))), """")"),"Sphere")</f>
        <v>Sphere</v>
      </c>
      <c r="AU290" s="16" t="str">
        <f t="array" ref="AU290">IFERROR(INDEX(Validations!$J$2:$J$100, MATCH(TRUE, ISNUMBER(SEARCH(Validations!$I$2:$I$100, AT290)), 0)), "")</f>
        <v>S</v>
      </c>
      <c r="AV290" s="12">
        <f>IFERROR(__xludf.DUMMYFUNCTION("IFERROR(VALUE(REGEXEXTRACT(AS290, ""\d+"")), """")"),20.0)</f>
        <v>20</v>
      </c>
      <c r="AW290" s="12" t="str">
        <f>IFERROR(__xludf.DUMMYFUNCTION("IFERROR(TEXTJOIN("", "", TRUE, FILTER(Validations!$Q$2:$Q$100, ISNUMBER(SEARCH(Validations!$Q$2:$Q$100, AS290)))), """")"),"Sphere")</f>
        <v>Sphere</v>
      </c>
      <c r="AX290" s="36" t="s">
        <v>80</v>
      </c>
      <c r="AY290" s="28" t="str">
        <f>IFERROR(__xludf.DUMMYFUNCTION("TEXTJOIN("", "", TRUE, FILTER(Validations!$Y$2:$Y$100, ISNUMBER(SEARCH(Validations!$X$2:$X$100, AX290))))"),"S, R")</f>
        <v>S, R</v>
      </c>
      <c r="AZ290" s="26" t="s">
        <v>1381</v>
      </c>
      <c r="BA290" s="12"/>
      <c r="BB290" s="22"/>
      <c r="BC290" s="22"/>
      <c r="BD290" s="22"/>
      <c r="BE290" s="27"/>
      <c r="BF290" s="22"/>
      <c r="BG290" s="27"/>
      <c r="BH290" s="27"/>
      <c r="BI290" s="12" t="str">
        <f>IFERROR(__xludf.DUMMYFUNCTION("IFERROR(TEXTJOIN("", "", TRUE, FILTER(SRD!$A$2:$A$1000, EXACT(SRD!$A$2:$A$1000, J290))), """")"),"")</f>
        <v/>
      </c>
      <c r="BJ290" s="29"/>
      <c r="BK290" s="29"/>
    </row>
    <row r="291" ht="15.75" customHeight="1">
      <c r="A291" s="38" t="s">
        <v>1382</v>
      </c>
      <c r="B291" s="12"/>
      <c r="C291" s="16"/>
      <c r="D291" s="16" t="s">
        <v>727</v>
      </c>
      <c r="E291" s="16"/>
      <c r="F291" s="14" t="s">
        <v>649</v>
      </c>
      <c r="G291" s="50" t="s">
        <v>1223</v>
      </c>
      <c r="H291" s="16" t="s">
        <v>76</v>
      </c>
      <c r="I291" s="16" t="str">
        <f t="array" ref="I291">INDEX(Validations!$C$2:$C$100, MATCH(TRUE, ISNUMBER(SEARCH(Validations!$B$2:$B$100, H291)), 0))</f>
        <v>V</v>
      </c>
      <c r="J291" s="17" t="s">
        <v>1383</v>
      </c>
      <c r="K291" s="18"/>
      <c r="L291" s="17"/>
      <c r="M291" s="52"/>
      <c r="N291" s="20" t="s">
        <v>1384</v>
      </c>
      <c r="O291" s="17" t="s">
        <v>1385</v>
      </c>
      <c r="P291" s="21"/>
      <c r="Q291" s="21"/>
      <c r="R291" s="36" t="s">
        <v>1386</v>
      </c>
      <c r="S291" s="17" t="str">
        <f>IFERROR(__xludf.DUMMYFUNCTION("IFERROR(REGEXEXTRACT(J291, ""(\d{1,3}[dD]\d{1,3})""), """")"),"5d8")</f>
        <v>5d8</v>
      </c>
      <c r="T291" s="17" t="str">
        <f>IFERROR(__xludf.DUMMYFUNCTION("IF(COUNTIF(ARRAYFORMULA(LOWER(Validations!$O$2:$O$100)), LOWER(REGEXEXTRACT(J291, ""\d{1,3}[dD]\d{1,3}\s+(\w+)"")))&gt;0, REGEXEXTRACT(J291, ""\d{1,3}[dD]\d{1,3}\s+(\w+)""), """")"),"cognitive")</f>
        <v>cognitive</v>
      </c>
      <c r="U291" s="17" t="str">
        <f>IFERROR(__xludf.DUMMYFUNCTION("IF(COUNTIF(ARRAYFORMULA(LOWER(Validations!$P$2:$P$100)), LOWER(REGEXEXTRACT(J291, ""\d{1,3}[dD]\d{1,3}\s+(\w+)"")))&gt;0, REGEXEXTRACT(J291, ""\d{1,3}[dD]\d{1,3}\s+(\w+)""), """")"),"")</f>
        <v/>
      </c>
      <c r="V291" s="12" t="str">
        <f>IFERROR(__xludf.DUMMYFUNCTION("TEXTJOIN("", "", TRUE, FILTER(Validations!$L$2:$L$100, ISNUMBER(SEARCH(Validations!$L$2:$L$100, J291))))"),"")</f>
        <v/>
      </c>
      <c r="W291" s="12" t="str">
        <f>IFERROR(__xludf.DUMMYFUNCTION("IFERROR(TEXTJOIN("", "", TRUE, FILTER(Validations!$M$2:$M$100, ISNUMBER(SEARCH(Validations!$M$2:$M$100 &amp; "" saving throw"", J291)))), """")"),"Intelligence, Wisdom")</f>
        <v>Intelligence, Wisdom</v>
      </c>
      <c r="X291" s="12"/>
      <c r="Y291" s="12"/>
      <c r="Z291" s="12" t="str">
        <f>IFERROR(__xludf.DUMMYFUNCTION("IFERROR(TEXTJOIN("", "", TRUE, FILTER(Validations!$N$2:$N$100, ISNUMBER(SEARCH(Validations!$N$2:$N$100 &amp; "" check"", J291)))), """")"),"")</f>
        <v/>
      </c>
      <c r="AA291" s="12" t="str">
        <f>IFERROR(__xludf.DUMMYFUNCTION("IFERROR(TEXTJOIN("", "", TRUE, FILTER(Validations!$N$2:$N$100, ISNUMBER(SEARCH(Validations!$N$2:$N$100 &amp; "" check"", W291)))), """")"),"")</f>
        <v/>
      </c>
      <c r="AB291" s="23" t="str">
        <f>IFERROR(__xludf.DUMMYFUNCTION("IFERROR(CONCATENATE(IF(ISNUMBER(SEARCH(Validations!$M$2:$M$100 &amp; "" spell save"", J291)),""Spell Save"",""""), REGEXEXTRACT(J291, ""DC (\d+)"")), """")"),"")</f>
        <v/>
      </c>
      <c r="AC291" s="24" t="b">
        <v>0</v>
      </c>
      <c r="AD291" s="24" t="b">
        <v>0</v>
      </c>
      <c r="AE291" s="12" t="s">
        <v>69</v>
      </c>
      <c r="AF291" s="25">
        <f>IFERROR(__xludf.DUMMYFUNCTION("IFERROR(VALUE(REGEXEXTRACT(AE291, ""\d+"")), 1)"),1.0)</f>
        <v>1</v>
      </c>
      <c r="AG291" s="12" t="str">
        <f>IFERROR(__xludf.DUMMYFUNCTION("IF(
  ISNUMBER(SEARCH(""Bonus Action"", AE291)),
  ""Bonus Action"",
  IF(
    ISNUMBER(SEARCH(""Reaction"", AE291)),
    ""Reaction"",
    IF(
      ISNUMBER(SEARCH(""Action"", AE291)),
      ""Action"",
      TEXTJOIN("", "", TRUE, FILTER(Validations!$S"&amp;"$2:$S$100, ISNUMBER(SEARCH(Validations!$S$2:$S$100, AE291))))
    )
  )
)"),"Action")</f>
        <v>Action</v>
      </c>
      <c r="AH291" s="12"/>
      <c r="AI291" s="20" t="s">
        <v>1387</v>
      </c>
      <c r="AJ291" s="26" t="str">
        <f>IFERROR(__xludf.DUMMYFUNCTION("TEXTJOIN("", "", TRUE, FILTER(Validations!$T$2:$T$100, ISNUMBER(SEARCH(Validations!$T$2:$T$100, AI291))))"),"")</f>
        <v/>
      </c>
      <c r="AK291" s="26" t="str">
        <f>IFERROR(__xludf.DUMMYFUNCTION("IFERROR(VALUE(REGEXEXTRACT(AI291, ""\d+"")), """")"),"")</f>
        <v/>
      </c>
      <c r="AL291" s="26" t="str">
        <f>IFERROR(__xludf.DUMMYFUNCTION("TEXTJOIN("", "", TRUE, FILTER(Validations!$U$2:$U$100, ISNUMBER(SEARCH(Validations!$U$2:$U$100, AI291))))"),"")</f>
        <v/>
      </c>
      <c r="AM291" s="24" t="b">
        <f t="shared" si="1"/>
        <v>0</v>
      </c>
      <c r="AN291" s="42" t="b">
        <v>1</v>
      </c>
      <c r="AO291" s="12" t="s">
        <v>71</v>
      </c>
      <c r="AP291" s="12" t="str">
        <f>IFERROR(__xludf.DUMMYFUNCTION("IF(TEXTJOIN("", "", TRUE, FILTER(Validations!$Q$2:$Q$100, ISNUMBER(SEARCH(Validations!$Q$2:$Q$100, AO291)))) = """", Validations!$Q$2, TEXTJOIN("", "", TRUE, FILTER(Validations!$Q$2:$Q$100, ISNUMBER(SEARCH(Validations!$Q$2:$Q$100, AO291)))))"),"Point")</f>
        <v>Point</v>
      </c>
      <c r="AQ291" s="12" t="str">
        <f>IFERROR(__xludf.DUMMYFUNCTION("IFERROR(VALUE(REGEXEXTRACT(AO291, ""\d+"")), """")"),"")</f>
        <v/>
      </c>
      <c r="AR291" s="12" t="str">
        <f>IFERROR(__xludf.DUMMYFUNCTION("TEXTJOIN("", "", TRUE, FILTER(Validations!$R$2:$R$100, ISNUMBER(SEARCH(Validations!$R$2:$R$100, AO291))))"),"Touch")</f>
        <v>Touch</v>
      </c>
      <c r="AS291" s="27"/>
      <c r="AT291" s="12" t="str">
        <f>IFERROR(__xludf.DUMMYFUNCTION("IFERROR(TEXTJOIN("", "", TRUE, FILTER(Validations!$I$2:$I$100, ISNUMBER(SEARCH(Validations!$I$2:$I$100, AS291)))), """")"),"")</f>
        <v/>
      </c>
      <c r="AU291" s="16" t="str">
        <f t="array" ref="AU291">IFERROR(INDEX(Validations!$J$2:$J$100, MATCH(TRUE, ISNUMBER(SEARCH(Validations!$I$2:$I$100, AT291)), 0)), "")</f>
        <v/>
      </c>
      <c r="AV291" s="12" t="str">
        <f>IFERROR(__xludf.DUMMYFUNCTION("IFERROR(VALUE(REGEXEXTRACT(AS291, ""\d+"")), """")"),"")</f>
        <v/>
      </c>
      <c r="AW291" s="12" t="str">
        <f>IFERROR(__xludf.DUMMYFUNCTION("IFERROR(TEXTJOIN("", "", TRUE, FILTER(Validations!$Q$2:$Q$100, ISNUMBER(SEARCH(Validations!$Q$2:$Q$100, AS291)))), """")"),"")</f>
        <v/>
      </c>
      <c r="AX291" s="36" t="s">
        <v>119</v>
      </c>
      <c r="AY291" s="28" t="str">
        <f>IFERROR(__xludf.DUMMYFUNCTION("TEXTJOIN("", "", TRUE, FILTER(Validations!$Y$2:$Y$100, ISNUMBER(SEARCH(Validations!$X$2:$X$100, AX291))))"),"V, R")</f>
        <v>V, R</v>
      </c>
      <c r="AZ291" s="26" t="s">
        <v>1388</v>
      </c>
      <c r="BA291" s="12"/>
      <c r="BB291" s="22"/>
      <c r="BC291" s="22"/>
      <c r="BD291" s="22"/>
      <c r="BE291" s="27"/>
      <c r="BF291" s="22"/>
      <c r="BG291" s="27"/>
      <c r="BH291" s="27"/>
      <c r="BI291" s="12" t="str">
        <f>IFERROR(__xludf.DUMMYFUNCTION("IFERROR(TEXTJOIN("", "", TRUE, FILTER(SRD!$A$2:$A$1000, EXACT(SRD!$A$2:$A$1000, J291))), """")"),"")</f>
        <v/>
      </c>
      <c r="BJ291" s="29"/>
      <c r="BK291" s="29"/>
    </row>
    <row r="292" ht="15.75" customHeight="1">
      <c r="A292" s="30" t="s">
        <v>1389</v>
      </c>
      <c r="B292" s="22"/>
      <c r="C292" s="16"/>
      <c r="D292" s="16" t="s">
        <v>302</v>
      </c>
      <c r="E292" s="16"/>
      <c r="F292" s="32" t="s">
        <v>844</v>
      </c>
      <c r="G292" s="50" t="s">
        <v>1223</v>
      </c>
      <c r="H292" s="16" t="s">
        <v>140</v>
      </c>
      <c r="I292" s="16" t="str">
        <f t="array" ref="I292">INDEX(Validations!$C$2:$C$100, MATCH(TRUE, ISNUMBER(SEARCH(Validations!$B$2:$B$100, H292)), 0))</f>
        <v>N</v>
      </c>
      <c r="J292" s="17" t="s">
        <v>1390</v>
      </c>
      <c r="K292" s="18"/>
      <c r="L292" s="17"/>
      <c r="M292" s="17" t="s">
        <v>1391</v>
      </c>
      <c r="N292" s="27"/>
      <c r="O292" s="17"/>
      <c r="P292" s="21"/>
      <c r="Q292" s="21"/>
      <c r="R292" s="36" t="s">
        <v>1392</v>
      </c>
      <c r="S292" s="17" t="str">
        <f>IFERROR(__xludf.DUMMYFUNCTION("IFERROR(REGEXEXTRACT(J292, ""(\d{1,3}[dD]\d{1,3})""), """")"),"2d6")</f>
        <v>2d6</v>
      </c>
      <c r="T292" s="17" t="str">
        <f>IFERROR(__xludf.DUMMYFUNCTION("IF(COUNTIF(ARRAYFORMULA(LOWER(Validations!$O$2:$O$100)), LOWER(REGEXEXTRACT(J292, ""\d{1,3}[dD]\d{1,3}\s+(\w+)"")))&gt;0, REGEXEXTRACT(J292, ""\d{1,3}[dD]\d{1,3}\s+(\w+)""), """")"),"cognitive")</f>
        <v>cognitive</v>
      </c>
      <c r="U292" s="17" t="str">
        <f>IFERROR(__xludf.DUMMYFUNCTION("IF(COUNTIF(ARRAYFORMULA(LOWER(Validations!$P$2:$P$100)), LOWER(REGEXEXTRACT(J292, ""\d{1,3}[dD]\d{1,3}\s+(\w+)"")))&gt;0, REGEXEXTRACT(J292, ""\d{1,3}[dD]\d{1,3}\s+(\w+)""), """")"),"")</f>
        <v/>
      </c>
      <c r="V292" s="12" t="str">
        <f>IFERROR(__xludf.DUMMYFUNCTION("TEXTJOIN("", "", TRUE, FILTER(Validations!$L$2:$L$100, ISNUMBER(SEARCH(Validations!$L$2:$L$100, J292))))"),"")</f>
        <v/>
      </c>
      <c r="W292" s="12" t="str">
        <f>IFERROR(__xludf.DUMMYFUNCTION("IFERROR(TEXTJOIN("", "", TRUE, FILTER(Validations!$M$2:$M$100, ISNUMBER(SEARCH(Validations!$M$2:$M$100 &amp; "" saving throw"", J292)))), """")"),"Wisdom")</f>
        <v>Wisdom</v>
      </c>
      <c r="X292" s="12"/>
      <c r="Y292" s="12"/>
      <c r="Z292" s="12" t="str">
        <f>IFERROR(__xludf.DUMMYFUNCTION("IFERROR(TEXTJOIN("", "", TRUE, FILTER(Validations!$N$2:$N$100, ISNUMBER(SEARCH(Validations!$N$2:$N$100 &amp; "" check"", J292)))), """")"),"")</f>
        <v/>
      </c>
      <c r="AA292" s="12" t="str">
        <f>IFERROR(__xludf.DUMMYFUNCTION("IFERROR(TEXTJOIN("", "", TRUE, FILTER(Validations!$N$2:$N$100, ISNUMBER(SEARCH(Validations!$N$2:$N$100 &amp; "" check"", W292)))), """")"),"")</f>
        <v/>
      </c>
      <c r="AB292" s="23" t="str">
        <f>IFERROR(__xludf.DUMMYFUNCTION("IFERROR(CONCATENATE(IF(ISNUMBER(SEARCH(Validations!$M$2:$M$100 &amp; "" spell save"", J292)),""Spell Save"",""""), REGEXEXTRACT(J292, ""DC (\d+)"")), """")"),"")</f>
        <v/>
      </c>
      <c r="AC292" s="24" t="b">
        <v>0</v>
      </c>
      <c r="AD292" s="24" t="b">
        <v>0</v>
      </c>
      <c r="AE292" s="36" t="s">
        <v>69</v>
      </c>
      <c r="AF292" s="25">
        <f>IFERROR(__xludf.DUMMYFUNCTION("IFERROR(VALUE(REGEXEXTRACT(AE292, ""\d+"")), 1)"),1.0)</f>
        <v>1</v>
      </c>
      <c r="AG292" s="12" t="str">
        <f>IFERROR(__xludf.DUMMYFUNCTION("IF(
  ISNUMBER(SEARCH(""Bonus Action"", AE292)),
  ""Bonus Action"",
  IF(
    ISNUMBER(SEARCH(""Reaction"", AE292)),
    ""Reaction"",
    IF(
      ISNUMBER(SEARCH(""Action"", AE292)),
      ""Action"",
      TEXTJOIN("", "", TRUE, FILTER(Validations!$S"&amp;"$2:$S$100, ISNUMBER(SEARCH(Validations!$S$2:$S$100, AE292))))
    )
  )
)"),"Action")</f>
        <v>Action</v>
      </c>
      <c r="AH292" s="36"/>
      <c r="AI292" s="27" t="s">
        <v>1393</v>
      </c>
      <c r="AJ292" s="26" t="str">
        <f>IFERROR(__xludf.DUMMYFUNCTION("TEXTJOIN("", "", TRUE, FILTER(Validations!$T$2:$T$100, ISNUMBER(SEARCH(Validations!$T$2:$T$100, AI292))))"),"Permanent")</f>
        <v>Permanent</v>
      </c>
      <c r="AK292" s="26" t="str">
        <f>IFERROR(__xludf.DUMMYFUNCTION("IFERROR(VALUE(REGEXEXTRACT(AI292, ""\d+"")), """")"),"")</f>
        <v/>
      </c>
      <c r="AL292" s="26" t="str">
        <f>IFERROR(__xludf.DUMMYFUNCTION("TEXTJOIN("", "", TRUE, FILTER(Validations!$U$2:$U$100, ISNUMBER(SEARCH(Validations!$U$2:$U$100, AI292))))"),"")</f>
        <v/>
      </c>
      <c r="AM292" s="24" t="b">
        <f t="shared" si="1"/>
        <v>0</v>
      </c>
      <c r="AN292" s="24" t="b">
        <v>0</v>
      </c>
      <c r="AO292" s="22" t="s">
        <v>112</v>
      </c>
      <c r="AP292" s="12" t="str">
        <f>IFERROR(__xludf.DUMMYFUNCTION("IF(TEXTJOIN("", "", TRUE, FILTER(Validations!$Q$2:$Q$100, ISNUMBER(SEARCH(Validations!$Q$2:$Q$100, AO292)))) = """", Validations!$Q$2, TEXTJOIN("", "", TRUE, FILTER(Validations!$Q$2:$Q$100, ISNUMBER(SEARCH(Validations!$Q$2:$Q$100, AO292)))))"),"Point")</f>
        <v>Point</v>
      </c>
      <c r="AQ292" s="12">
        <f>IFERROR(__xludf.DUMMYFUNCTION("IFERROR(VALUE(REGEXEXTRACT(AO292, ""\d+"")), """")"),30.0)</f>
        <v>30</v>
      </c>
      <c r="AR292" s="12" t="str">
        <f>IFERROR(__xludf.DUMMYFUNCTION("TEXTJOIN("", "", TRUE, FILTER(Validations!$R$2:$R$100, ISNUMBER(SEARCH(Validations!$R$2:$R$100, AO292))))"),"Feet")</f>
        <v>Feet</v>
      </c>
      <c r="AS292" s="27"/>
      <c r="AT292" s="12" t="str">
        <f>IFERROR(__xludf.DUMMYFUNCTION("IFERROR(TEXTJOIN("", "", TRUE, FILTER(Validations!$I$2:$I$100, ISNUMBER(SEARCH(Validations!$I$2:$I$100, AS292)))), """")"),"")</f>
        <v/>
      </c>
      <c r="AU292" s="16" t="str">
        <f t="array" ref="AU292">IFERROR(INDEX(Validations!$J$2:$J$100, MATCH(TRUE, ISNUMBER(SEARCH(Validations!$I$2:$I$100, AT292)), 0)), "")</f>
        <v/>
      </c>
      <c r="AV292" s="12" t="str">
        <f>IFERROR(__xludf.DUMMYFUNCTION("IFERROR(VALUE(REGEXEXTRACT(AS292, ""\d+"")), """")"),"")</f>
        <v/>
      </c>
      <c r="AW292" s="12" t="str">
        <f>IFERROR(__xludf.DUMMYFUNCTION("IFERROR(TEXTJOIN("", "", TRUE, FILTER(Validations!$Q$2:$Q$100, ISNUMBER(SEARCH(Validations!$Q$2:$Q$100, AS292)))), """")"),"")</f>
        <v/>
      </c>
      <c r="AX292" s="28" t="s">
        <v>152</v>
      </c>
      <c r="AY292" s="28" t="str">
        <f>IFERROR(__xludf.DUMMYFUNCTION("TEXTJOIN("", "", TRUE, FILTER(Validations!$Y$2:$Y$100, ISNUMBER(SEARCH(Validations!$X$2:$X$100, AX292))))"),"V, S, R")</f>
        <v>V, S, R</v>
      </c>
      <c r="AZ292" s="20" t="s">
        <v>1394</v>
      </c>
      <c r="BA292" s="22"/>
      <c r="BB292" s="22"/>
      <c r="BC292" s="22"/>
      <c r="BD292" s="22"/>
      <c r="BE292" s="27"/>
      <c r="BF292" s="22"/>
      <c r="BG292" s="27"/>
      <c r="BH292" s="27"/>
      <c r="BI292" s="12" t="str">
        <f>IFERROR(__xludf.DUMMYFUNCTION("IFERROR(TEXTJOIN("", "", TRUE, FILTER(SRD!$A$2:$A$1000, EXACT(SRD!$A$2:$A$1000, J292))), """")"),"")</f>
        <v/>
      </c>
      <c r="BJ292" s="29"/>
      <c r="BK292" s="29"/>
    </row>
    <row r="293" ht="15.75" customHeight="1">
      <c r="A293" s="38" t="s">
        <v>1395</v>
      </c>
      <c r="B293" s="12"/>
      <c r="C293" s="13"/>
      <c r="D293" s="13" t="s">
        <v>1396</v>
      </c>
      <c r="E293" s="13"/>
      <c r="F293" s="14" t="s">
        <v>1397</v>
      </c>
      <c r="G293" s="50" t="s">
        <v>1223</v>
      </c>
      <c r="H293" s="31" t="s">
        <v>144</v>
      </c>
      <c r="I293" s="16" t="str">
        <f t="array" ref="I293">INDEX(Validations!$C$2:$C$100, MATCH(TRUE, ISNUMBER(SEARCH(Validations!$B$2:$B$100, H293)), 0))</f>
        <v>D</v>
      </c>
      <c r="J293" s="17" t="s">
        <v>1398</v>
      </c>
      <c r="K293" s="18"/>
      <c r="L293" s="52"/>
      <c r="M293" s="52"/>
      <c r="N293" s="20" t="s">
        <v>1399</v>
      </c>
      <c r="O293" s="17" t="s">
        <v>1400</v>
      </c>
      <c r="P293" s="21"/>
      <c r="Q293" s="21"/>
      <c r="R293" s="36" t="s">
        <v>1401</v>
      </c>
      <c r="S293" s="17" t="str">
        <f>IFERROR(__xludf.DUMMYFUNCTION("IFERROR(REGEXEXTRACT(J293, ""(\d{1,3}[dD]\d{1,3})""), """")"),"2d6")</f>
        <v>2d6</v>
      </c>
      <c r="T293" s="17" t="str">
        <f>IFERROR(__xludf.DUMMYFUNCTION("IF(COUNTIF(ARRAYFORMULA(LOWER(Validations!$O$2:$O$100)), LOWER(REGEXEXTRACT(J293, ""\d{1,3}[dD]\d{1,3}\s+(\w+)"")))&gt;0, REGEXEXTRACT(J293, ""\d{1,3}[dD]\d{1,3}\s+(\w+)""), """")"),"cognitive")</f>
        <v>cognitive</v>
      </c>
      <c r="U293" s="17" t="str">
        <f>IFERROR(__xludf.DUMMYFUNCTION("IF(COUNTIF(ARRAYFORMULA(LOWER(Validations!$P$2:$P$100)), LOWER(REGEXEXTRACT(J293, ""\d{1,3}[dD]\d{1,3}\s+(\w+)"")))&gt;0, REGEXEXTRACT(J293, ""\d{1,3}[dD]\d{1,3}\s+(\w+)""), """")"),"")</f>
        <v/>
      </c>
      <c r="V293" s="12" t="str">
        <f>IFERROR(__xludf.DUMMYFUNCTION("TEXTJOIN("", "", TRUE, FILTER(Validations!$L$2:$L$100, ISNUMBER(SEARCH(Validations!$L$2:$L$100, J293))))"),"")</f>
        <v/>
      </c>
      <c r="W293" s="12" t="str">
        <f>IFERROR(__xludf.DUMMYFUNCTION("IFERROR(TEXTJOIN("", "", TRUE, FILTER(Validations!$M$2:$M$100, ISNUMBER(SEARCH(Validations!$M$2:$M$100 &amp; "" saving throw"", J293)))), """")"),"Charisma")</f>
        <v>Charisma</v>
      </c>
      <c r="X293" s="12"/>
      <c r="Y293" s="12"/>
      <c r="Z293" s="12" t="str">
        <f>IFERROR(__xludf.DUMMYFUNCTION("IFERROR(TEXTJOIN("", "", TRUE, FILTER(Validations!$N$2:$N$100, ISNUMBER(SEARCH(Validations!$N$2:$N$100 &amp; "" check"", J293)))), """")"),"")</f>
        <v/>
      </c>
      <c r="AA293" s="12" t="str">
        <f>IFERROR(__xludf.DUMMYFUNCTION("IFERROR(TEXTJOIN("", "", TRUE, FILTER(Validations!$N$2:$N$100, ISNUMBER(SEARCH(Validations!$N$2:$N$100 &amp; "" check"", W293)))), """")"),"")</f>
        <v/>
      </c>
      <c r="AB293" s="23" t="str">
        <f>IFERROR(__xludf.DUMMYFUNCTION("IFERROR(CONCATENATE(IF(ISNUMBER(SEARCH(Validations!$M$2:$M$100 &amp; "" spell save"", J293)),""Spell Save"",""""), REGEXEXTRACT(J293, ""DC (\d+)"")), """")"),"")</f>
        <v/>
      </c>
      <c r="AC293" s="24" t="b">
        <v>0</v>
      </c>
      <c r="AD293" s="24" t="b">
        <v>0</v>
      </c>
      <c r="AE293" s="12" t="s">
        <v>69</v>
      </c>
      <c r="AF293" s="25">
        <f>IFERROR(__xludf.DUMMYFUNCTION("IFERROR(VALUE(REGEXEXTRACT(AE293, ""\d+"")), 1)"),1.0)</f>
        <v>1</v>
      </c>
      <c r="AG293" s="12" t="str">
        <f>IFERROR(__xludf.DUMMYFUNCTION("IF(
  ISNUMBER(SEARCH(""Bonus Action"", AE293)),
  ""Bonus Action"",
  IF(
    ISNUMBER(SEARCH(""Reaction"", AE293)),
    ""Reaction"",
    IF(
      ISNUMBER(SEARCH(""Action"", AE293)),
      ""Action"",
      TEXTJOIN("", "", TRUE, FILTER(Validations!$S"&amp;"$2:$S$100, ISNUMBER(SEARCH(Validations!$S$2:$S$100, AE293))))
    )
  )
)"),"Action")</f>
        <v>Action</v>
      </c>
      <c r="AH293" s="12"/>
      <c r="AI293" s="20" t="s">
        <v>134</v>
      </c>
      <c r="AJ293" s="26" t="str">
        <f>IFERROR(__xludf.DUMMYFUNCTION("TEXTJOIN("", "", TRUE, FILTER(Validations!$T$2:$T$100, ISNUMBER(SEARCH(Validations!$T$2:$T$100, AI293))))"),"")</f>
        <v/>
      </c>
      <c r="AK293" s="26">
        <f>IFERROR(__xludf.DUMMYFUNCTION("IFERROR(VALUE(REGEXEXTRACT(AI293, ""\d+"")), """")"),10.0)</f>
        <v>10</v>
      </c>
      <c r="AL293" s="26" t="str">
        <f>IFERROR(__xludf.DUMMYFUNCTION("TEXTJOIN("", "", TRUE, FILTER(Validations!$U$2:$U$100, ISNUMBER(SEARCH(Validations!$U$2:$U$100, AI293))))"),"Minutes")</f>
        <v>Minutes</v>
      </c>
      <c r="AM293" s="24" t="b">
        <f t="shared" si="1"/>
        <v>0</v>
      </c>
      <c r="AN293" s="24" t="b">
        <v>0</v>
      </c>
      <c r="AO293" s="12" t="s">
        <v>440</v>
      </c>
      <c r="AP293" s="12" t="str">
        <f>IFERROR(__xludf.DUMMYFUNCTION("IF(TEXTJOIN("", "", TRUE, FILTER(Validations!$Q$2:$Q$100, ISNUMBER(SEARCH(Validations!$Q$2:$Q$100, AO293)))) = """", Validations!$Q$2, TEXTJOIN("", "", TRUE, FILTER(Validations!$Q$2:$Q$100, ISNUMBER(SEARCH(Validations!$Q$2:$Q$100, AO293)))))"),"Point")</f>
        <v>Point</v>
      </c>
      <c r="AQ293" s="12">
        <f>IFERROR(__xludf.DUMMYFUNCTION("IFERROR(VALUE(REGEXEXTRACT(AO293, ""\d+"")), """")"),60.0)</f>
        <v>60</v>
      </c>
      <c r="AR293" s="12" t="str">
        <f>IFERROR(__xludf.DUMMYFUNCTION("TEXTJOIN("", "", TRUE, FILTER(Validations!$R$2:$R$100, ISNUMBER(SEARCH(Validations!$R$2:$R$100, AO293))))"),"Feet")</f>
        <v>Feet</v>
      </c>
      <c r="AS293" s="26" t="s">
        <v>1402</v>
      </c>
      <c r="AT293" s="12" t="str">
        <f>IFERROR(__xludf.DUMMYFUNCTION("IFERROR(TEXTJOIN("", "", TRUE, FILTER(Validations!$I$2:$I$100, ISNUMBER(SEARCH(Validations!$I$2:$I$100, AS293)))), """")"),"Single Target")</f>
        <v>Single Target</v>
      </c>
      <c r="AU293" s="16" t="str">
        <f t="array" ref="AU293">IFERROR(INDEX(Validations!$J$2:$J$100, MATCH(TRUE, ISNUMBER(SEARCH(Validations!$I$2:$I$100, AT293)), 0)), "")</f>
        <v>ST</v>
      </c>
      <c r="AV293" s="12" t="str">
        <f>IFERROR(__xludf.DUMMYFUNCTION("IFERROR(VALUE(REGEXEXTRACT(AS293, ""\d+"")), """")"),"")</f>
        <v/>
      </c>
      <c r="AW293" s="12" t="str">
        <f>IFERROR(__xludf.DUMMYFUNCTION("IFERROR(TEXTJOIN("", "", TRUE, FILTER(Validations!$Q$2:$Q$100, ISNUMBER(SEARCH(Validations!$Q$2:$Q$100, AS293)))), """")"),"")</f>
        <v/>
      </c>
      <c r="AX293" s="28" t="s">
        <v>142</v>
      </c>
      <c r="AY293" s="28" t="str">
        <f>IFERROR(__xludf.DUMMYFUNCTION("TEXTJOIN("", "", TRUE, FILTER(Validations!$Y$2:$Y$100, ISNUMBER(SEARCH(Validations!$X$2:$X$100, AX293))))"),"V, S")</f>
        <v>V, S</v>
      </c>
      <c r="AZ293" s="26" t="s">
        <v>1403</v>
      </c>
      <c r="BA293" s="12"/>
      <c r="BB293" s="22"/>
      <c r="BC293" s="22"/>
      <c r="BD293" s="22"/>
      <c r="BE293" s="27"/>
      <c r="BF293" s="22"/>
      <c r="BG293" s="27"/>
      <c r="BH293" s="27"/>
      <c r="BI293" s="12" t="str">
        <f>IFERROR(__xludf.DUMMYFUNCTION("IFERROR(TEXTJOIN("", "", TRUE, FILTER(SRD!$A$2:$A$1000, EXACT(SRD!$A$2:$A$1000, J293))), """")"),"")</f>
        <v/>
      </c>
      <c r="BJ293" s="29"/>
      <c r="BK293" s="29"/>
    </row>
    <row r="294" ht="15.75" customHeight="1">
      <c r="A294" s="30" t="s">
        <v>1404</v>
      </c>
      <c r="B294" s="22"/>
      <c r="C294" s="16"/>
      <c r="D294" s="16" t="s">
        <v>1405</v>
      </c>
      <c r="E294" s="16"/>
      <c r="F294" s="32" t="s">
        <v>1406</v>
      </c>
      <c r="G294" s="50" t="s">
        <v>1223</v>
      </c>
      <c r="H294" s="16" t="s">
        <v>178</v>
      </c>
      <c r="I294" s="16" t="str">
        <f t="array" ref="I294">INDEX(Validations!$C$2:$C$100, MATCH(TRUE, ISNUMBER(SEARCH(Validations!$B$2:$B$100, H294)), 0))</f>
        <v>A</v>
      </c>
      <c r="J294" s="17" t="s">
        <v>1407</v>
      </c>
      <c r="K294" s="18"/>
      <c r="L294" s="17"/>
      <c r="M294" s="17"/>
      <c r="N294" s="27"/>
      <c r="O294" s="17"/>
      <c r="P294" s="21"/>
      <c r="Q294" s="21"/>
      <c r="R294" s="22"/>
      <c r="S294" s="17" t="str">
        <f>IFERROR(__xludf.DUMMYFUNCTION("IFERROR(REGEXEXTRACT(J294, ""(\d{1,3}[dD]\d{1,3})""), """")"),"2d20")</f>
        <v>2d20</v>
      </c>
      <c r="T294" s="17" t="str">
        <f>IFERROR(__xludf.DUMMYFUNCTION("IF(COUNTIF(ARRAYFORMULA(LOWER(Validations!$O$2:$O$100)), LOWER(REGEXEXTRACT(J294, ""\d{1,3}[dD]\d{1,3}\s+(\w+)"")))&gt;0, REGEXEXTRACT(J294, ""\d{1,3}[dD]\d{1,3}\s+(\w+)""), """")"),"")</f>
        <v/>
      </c>
      <c r="U294" s="17" t="str">
        <f>IFERROR(__xludf.DUMMYFUNCTION("IF(COUNTIF(ARRAYFORMULA(LOWER(Validations!$P$2:$P$100)), LOWER(REGEXEXTRACT(J294, ""\d{1,3}[dD]\d{1,3}\s+(\w+)"")))&gt;0, REGEXEXTRACT(J294, ""\d{1,3}[dD]\d{1,3}\s+(\w+)""), """")"),"")</f>
        <v/>
      </c>
      <c r="V294" s="12" t="str">
        <f>IFERROR(__xludf.DUMMYFUNCTION("TEXTJOIN("", "", TRUE, FILTER(Validations!$L$2:$L$100, ISNUMBER(SEARCH(Validations!$L$2:$L$100, J294))))"),"")</f>
        <v/>
      </c>
      <c r="W294" s="12" t="str">
        <f>IFERROR(__xludf.DUMMYFUNCTION("IFERROR(TEXTJOIN("", "", TRUE, FILTER(Validations!$M$2:$M$100, ISNUMBER(SEARCH(Validations!$M$2:$M$100 &amp; "" saving throw"", J294)))), """")"),"")</f>
        <v/>
      </c>
      <c r="X294" s="12"/>
      <c r="Y294" s="12"/>
      <c r="Z294" s="12" t="str">
        <f>IFERROR(__xludf.DUMMYFUNCTION("IFERROR(TEXTJOIN("", "", TRUE, FILTER(Validations!$N$2:$N$100, ISNUMBER(SEARCH(Validations!$N$2:$N$100 &amp; "" check"", J294)))), """")"),"")</f>
        <v/>
      </c>
      <c r="AA294" s="12" t="str">
        <f>IFERROR(__xludf.DUMMYFUNCTION("IFERROR(TEXTJOIN("", "", TRUE, FILTER(Validations!$N$2:$N$100, ISNUMBER(SEARCH(Validations!$N$2:$N$100 &amp; "" check"", W294)))), """")"),"")</f>
        <v/>
      </c>
      <c r="AB294" s="23" t="str">
        <f>IFERROR(__xludf.DUMMYFUNCTION("IFERROR(CONCATENATE(IF(ISNUMBER(SEARCH(Validations!$M$2:$M$100 &amp; "" spell save"", J294)),""Spell Save"",""""), REGEXEXTRACT(J294, ""DC (\d+)"")), """")"),"")</f>
        <v/>
      </c>
      <c r="AC294" s="24" t="b">
        <v>0</v>
      </c>
      <c r="AD294" s="24" t="b">
        <v>0</v>
      </c>
      <c r="AE294" s="36" t="s">
        <v>92</v>
      </c>
      <c r="AF294" s="25">
        <f>IFERROR(__xludf.DUMMYFUNCTION("IFERROR(VALUE(REGEXEXTRACT(AE294, ""\d+"")), 1)"),1.0)</f>
        <v>1</v>
      </c>
      <c r="AG294" s="12" t="str">
        <f>IFERROR(__xludf.DUMMYFUNCTION("IF(
  ISNUMBER(SEARCH(""Bonus Action"", AE294)),
  ""Bonus Action"",
  IF(
    ISNUMBER(SEARCH(""Reaction"", AE294)),
    ""Reaction"",
    IF(
      ISNUMBER(SEARCH(""Action"", AE294)),
      ""Action"",
      TEXTJOIN("", "", TRUE, FILTER(Validations!$S"&amp;"$2:$S$100, ISNUMBER(SEARCH(Validations!$S$2:$S$100, AE294))))
    )
  )
)"),"Minutes")</f>
        <v>Minutes</v>
      </c>
      <c r="AH294" s="22"/>
      <c r="AI294" s="20" t="s">
        <v>347</v>
      </c>
      <c r="AJ294" s="26" t="str">
        <f>IFERROR(__xludf.DUMMYFUNCTION("TEXTJOIN("", "", TRUE, FILTER(Validations!$T$2:$T$100, ISNUMBER(SEARCH(Validations!$T$2:$T$100, AI294))))"),"")</f>
        <v/>
      </c>
      <c r="AK294" s="26">
        <f>IFERROR(__xludf.DUMMYFUNCTION("IFERROR(VALUE(REGEXEXTRACT(AI294, ""\d+"")), """")"),24.0)</f>
        <v>24</v>
      </c>
      <c r="AL294" s="26" t="str">
        <f>IFERROR(__xludf.DUMMYFUNCTION("TEXTJOIN("", "", TRUE, FILTER(Validations!$U$2:$U$100, ISNUMBER(SEARCH(Validations!$U$2:$U$100, AI294))))"),"Hours")</f>
        <v>Hours</v>
      </c>
      <c r="AM294" s="24" t="b">
        <f t="shared" si="1"/>
        <v>0</v>
      </c>
      <c r="AN294" s="24" t="b">
        <v>0</v>
      </c>
      <c r="AO294" s="22" t="s">
        <v>71</v>
      </c>
      <c r="AP294" s="12" t="str">
        <f>IFERROR(__xludf.DUMMYFUNCTION("IF(TEXTJOIN("", "", TRUE, FILTER(Validations!$Q$2:$Q$100, ISNUMBER(SEARCH(Validations!$Q$2:$Q$100, AO294)))) = """", Validations!$Q$2, TEXTJOIN("", "", TRUE, FILTER(Validations!$Q$2:$Q$100, ISNUMBER(SEARCH(Validations!$Q$2:$Q$100, AO294)))))"),"Point")</f>
        <v>Point</v>
      </c>
      <c r="AQ294" s="12" t="str">
        <f>IFERROR(__xludf.DUMMYFUNCTION("IFERROR(VALUE(REGEXEXTRACT(AO294, ""\d+"")), """")"),"")</f>
        <v/>
      </c>
      <c r="AR294" s="12" t="str">
        <f>IFERROR(__xludf.DUMMYFUNCTION("TEXTJOIN("", "", TRUE, FILTER(Validations!$R$2:$R$100, ISNUMBER(SEARCH(Validations!$R$2:$R$100, AO294))))"),"Touch")</f>
        <v>Touch</v>
      </c>
      <c r="AS294" s="27"/>
      <c r="AT294" s="12" t="str">
        <f>IFERROR(__xludf.DUMMYFUNCTION("IFERROR(TEXTJOIN("", "", TRUE, FILTER(Validations!$I$2:$I$100, ISNUMBER(SEARCH(Validations!$I$2:$I$100, AS294)))), """")"),"")</f>
        <v/>
      </c>
      <c r="AU294" s="16" t="str">
        <f t="array" ref="AU294">IFERROR(INDEX(Validations!$J$2:$J$100, MATCH(TRUE, ISNUMBER(SEARCH(Validations!$I$2:$I$100, AT294)), 0)), "")</f>
        <v/>
      </c>
      <c r="AV294" s="12" t="str">
        <f>IFERROR(__xludf.DUMMYFUNCTION("IFERROR(VALUE(REGEXEXTRACT(AS294, ""\d+"")), """")"),"")</f>
        <v/>
      </c>
      <c r="AW294" s="12" t="str">
        <f>IFERROR(__xludf.DUMMYFUNCTION("IFERROR(TEXTJOIN("", "", TRUE, FILTER(Validations!$Q$2:$Q$100, ISNUMBER(SEARCH(Validations!$Q$2:$Q$100, AS294)))), """")"),"")</f>
        <v/>
      </c>
      <c r="AX294" s="28" t="s">
        <v>152</v>
      </c>
      <c r="AY294" s="28" t="str">
        <f>IFERROR(__xludf.DUMMYFUNCTION("TEXTJOIN("", "", TRUE, FILTER(Validations!$Y$2:$Y$100, ISNUMBER(SEARCH(Validations!$X$2:$X$100, AX294))))"),"V, S, R")</f>
        <v>V, S, R</v>
      </c>
      <c r="AZ294" s="20" t="s">
        <v>1408</v>
      </c>
      <c r="BA294" s="22"/>
      <c r="BB294" s="22"/>
      <c r="BC294" s="22"/>
      <c r="BD294" s="22"/>
      <c r="BE294" s="27"/>
      <c r="BF294" s="22"/>
      <c r="BG294" s="27"/>
      <c r="BH294" s="27"/>
      <c r="BI294" s="12" t="str">
        <f>IFERROR(__xludf.DUMMYFUNCTION("IFERROR(TEXTJOIN("", "", TRUE, FILTER(SRD!$A$2:$A$1000, EXACT(SRD!$A$2:$A$1000, J294))), """")"),"")</f>
        <v/>
      </c>
      <c r="BJ294" s="29"/>
      <c r="BK294" s="29"/>
    </row>
    <row r="295" ht="15.75" customHeight="1">
      <c r="A295" s="11" t="s">
        <v>1409</v>
      </c>
      <c r="B295" s="12"/>
      <c r="C295" s="16"/>
      <c r="D295" s="16" t="s">
        <v>1410</v>
      </c>
      <c r="E295" s="16"/>
      <c r="F295" s="32" t="s">
        <v>1411</v>
      </c>
      <c r="G295" s="50" t="s">
        <v>1223</v>
      </c>
      <c r="H295" s="16" t="s">
        <v>76</v>
      </c>
      <c r="I295" s="16" t="str">
        <f t="array" ref="I295">INDEX(Validations!$C$2:$C$100, MATCH(TRUE, ISNUMBER(SEARCH(Validations!$B$2:$B$100, H295)), 0))</f>
        <v>V</v>
      </c>
      <c r="J295" s="17" t="s">
        <v>1412</v>
      </c>
      <c r="K295" s="18"/>
      <c r="L295" s="17"/>
      <c r="M295" s="17"/>
      <c r="N295" s="27"/>
      <c r="O295" s="17" t="s">
        <v>1413</v>
      </c>
      <c r="P295" s="21"/>
      <c r="Q295" s="21"/>
      <c r="R295" s="36" t="s">
        <v>1414</v>
      </c>
      <c r="S295" s="17" t="str">
        <f>IFERROR(__xludf.DUMMYFUNCTION("IFERROR(REGEXEXTRACT(J295, ""(\d{1,3}[dD]\d{1,3})""), """")"),"6d8")</f>
        <v>6d8</v>
      </c>
      <c r="T295" s="17" t="str">
        <f>IFERROR(__xludf.DUMMYFUNCTION("IF(COUNTIF(ARRAYFORMULA(LOWER(Validations!$O$2:$O$100)), LOWER(REGEXEXTRACT(J295, ""\d{1,3}[dD]\d{1,3}\s+(\w+)"")))&gt;0, REGEXEXTRACT(J295, ""\d{1,3}[dD]\d{1,3}\s+(\w+)""), """")"),"pyric")</f>
        <v>pyric</v>
      </c>
      <c r="U295" s="17" t="str">
        <f>IFERROR(__xludf.DUMMYFUNCTION("IF(COUNTIF(ARRAYFORMULA(LOWER(Validations!$P$2:$P$100)), LOWER(REGEXEXTRACT(J295, ""\d{1,3}[dD]\d{1,3}\s+(\w+)"")))&gt;0, REGEXEXTRACT(J295, ""\d{1,3}[dD]\d{1,3}\s+(\w+)""), """")"),"")</f>
        <v/>
      </c>
      <c r="V295" s="12" t="str">
        <f>IFERROR(__xludf.DUMMYFUNCTION("TEXTJOIN("", "", TRUE, FILTER(Validations!$L$2:$L$100, ISNUMBER(SEARCH(Validations!$L$2:$L$100, J295))))"),"Unstable")</f>
        <v>Unstable</v>
      </c>
      <c r="W295" s="12" t="str">
        <f>IFERROR(__xludf.DUMMYFUNCTION("IFERROR(TEXTJOIN("", "", TRUE, FILTER(Validations!$M$2:$M$100, ISNUMBER(SEARCH(Validations!$M$2:$M$100 &amp; "" saving throw"", J295)))), """")"),"Dexterity")</f>
        <v>Dexterity</v>
      </c>
      <c r="X295" s="12"/>
      <c r="Y295" s="12"/>
      <c r="Z295" s="12" t="str">
        <f>IFERROR(__xludf.DUMMYFUNCTION("IFERROR(TEXTJOIN("", "", TRUE, FILTER(Validations!$N$2:$N$100, ISNUMBER(SEARCH(Validations!$N$2:$N$100 &amp; "" check"", J295)))), """")"),"")</f>
        <v/>
      </c>
      <c r="AA295" s="12" t="str">
        <f>IFERROR(__xludf.DUMMYFUNCTION("IFERROR(TEXTJOIN("", "", TRUE, FILTER(Validations!$N$2:$N$100, ISNUMBER(SEARCH(Validations!$N$2:$N$100 &amp; "" check"", W295)))), """")"),"")</f>
        <v/>
      </c>
      <c r="AB295" s="23" t="str">
        <f>IFERROR(__xludf.DUMMYFUNCTION("IFERROR(CONCATENATE(IF(ISNUMBER(SEARCH(Validations!$M$2:$M$100 &amp; "" spell save"", J295)),""Spell Save"",""""), REGEXEXTRACT(J295, ""DC (\d+)"")), """")"),"")</f>
        <v/>
      </c>
      <c r="AC295" s="24" t="b">
        <v>0</v>
      </c>
      <c r="AD295" s="24" t="b">
        <v>0</v>
      </c>
      <c r="AE295" s="36" t="s">
        <v>69</v>
      </c>
      <c r="AF295" s="25">
        <f>IFERROR(__xludf.DUMMYFUNCTION("IFERROR(VALUE(REGEXEXTRACT(AE295, ""\d+"")), 1)"),1.0)</f>
        <v>1</v>
      </c>
      <c r="AG295" s="12" t="str">
        <f>IFERROR(__xludf.DUMMYFUNCTION("IF(
  ISNUMBER(SEARCH(""Bonus Action"", AE295)),
  ""Bonus Action"",
  IF(
    ISNUMBER(SEARCH(""Reaction"", AE295)),
    ""Reaction"",
    IF(
      ISNUMBER(SEARCH(""Action"", AE295)),
      ""Action"",
      TEXTJOIN("", "", TRUE, FILTER(Validations!$S"&amp;"$2:$S$100, ISNUMBER(SEARCH(Validations!$S$2:$S$100, AE295))))
    )
  )
)"),"Action")</f>
        <v>Action</v>
      </c>
      <c r="AH295" s="36"/>
      <c r="AI295" s="27" t="s">
        <v>70</v>
      </c>
      <c r="AJ295" s="26" t="str">
        <f>IFERROR(__xludf.DUMMYFUNCTION("TEXTJOIN("", "", TRUE, FILTER(Validations!$T$2:$T$100, ISNUMBER(SEARCH(Validations!$T$2:$T$100, AI295))))"),"Instantaneous")</f>
        <v>Instantaneous</v>
      </c>
      <c r="AK295" s="26" t="str">
        <f>IFERROR(__xludf.DUMMYFUNCTION("IFERROR(VALUE(REGEXEXTRACT(AI295, ""\d+"")), """")"),"")</f>
        <v/>
      </c>
      <c r="AL295" s="26" t="str">
        <f>IFERROR(__xludf.DUMMYFUNCTION("TEXTJOIN("", "", TRUE, FILTER(Validations!$U$2:$U$100, ISNUMBER(SEARCH(Validations!$U$2:$U$100, AI295))))"),"")</f>
        <v/>
      </c>
      <c r="AM295" s="24" t="b">
        <f t="shared" si="1"/>
        <v>0</v>
      </c>
      <c r="AN295" s="42" t="b">
        <v>1</v>
      </c>
      <c r="AO295" s="36" t="s">
        <v>440</v>
      </c>
      <c r="AP295" s="12" t="str">
        <f>IFERROR(__xludf.DUMMYFUNCTION("IF(TEXTJOIN("", "", TRUE, FILTER(Validations!$Q$2:$Q$100, ISNUMBER(SEARCH(Validations!$Q$2:$Q$100, AO295)))) = """", Validations!$Q$2, TEXTJOIN("", "", TRUE, FILTER(Validations!$Q$2:$Q$100, ISNUMBER(SEARCH(Validations!$Q$2:$Q$100, AO295)))))"),"Point")</f>
        <v>Point</v>
      </c>
      <c r="AQ295" s="12">
        <f>IFERROR(__xludf.DUMMYFUNCTION("IFERROR(VALUE(REGEXEXTRACT(AO295, ""\d+"")), """")"),60.0)</f>
        <v>60</v>
      </c>
      <c r="AR295" s="12" t="str">
        <f>IFERROR(__xludf.DUMMYFUNCTION("TEXTJOIN("", "", TRUE, FILTER(Validations!$R$2:$R$100, ISNUMBER(SEARCH(Validations!$R$2:$R$100, AO295))))"),"Feet")</f>
        <v>Feet</v>
      </c>
      <c r="AS295" s="20" t="s">
        <v>1415</v>
      </c>
      <c r="AT295" s="12" t="str">
        <f>IFERROR(__xludf.DUMMYFUNCTION("IFERROR(TEXTJOIN("", "", TRUE, FILTER(Validations!$I$2:$I$100, ISNUMBER(SEARCH(Validations!$I$2:$I$100, AS295)))), """")"),"Line")</f>
        <v>Line</v>
      </c>
      <c r="AU295" s="16" t="str">
        <f t="array" ref="AU295">IFERROR(INDEX(Validations!$J$2:$J$100, MATCH(TRUE, ISNUMBER(SEARCH(Validations!$I$2:$I$100, AT295)), 0)), "")</f>
        <v>L</v>
      </c>
      <c r="AV295" s="12">
        <f>IFERROR(__xludf.DUMMYFUNCTION("IFERROR(VALUE(REGEXEXTRACT(AS295, ""\d+"")), """")"),5.0)</f>
        <v>5</v>
      </c>
      <c r="AW295" s="12" t="str">
        <f>IFERROR(__xludf.DUMMYFUNCTION("IFERROR(TEXTJOIN("", "", TRUE, FILTER(Validations!$Q$2:$Q$100, ISNUMBER(SEARCH(Validations!$Q$2:$Q$100, AS295)))), """")"),"Line")</f>
        <v>Line</v>
      </c>
      <c r="AX295" s="28" t="s">
        <v>152</v>
      </c>
      <c r="AY295" s="28" t="str">
        <f>IFERROR(__xludf.DUMMYFUNCTION("TEXTJOIN("", "", TRUE, FILTER(Validations!$Y$2:$Y$100, ISNUMBER(SEARCH(Validations!$X$2:$X$100, AX295))))"),"V, S, R")</f>
        <v>V, S, R</v>
      </c>
      <c r="AZ295" s="20" t="s">
        <v>1416</v>
      </c>
      <c r="BA295" s="22"/>
      <c r="BB295" s="22"/>
      <c r="BC295" s="22"/>
      <c r="BD295" s="22"/>
      <c r="BE295" s="27"/>
      <c r="BF295" s="22"/>
      <c r="BG295" s="27"/>
      <c r="BH295" s="27"/>
      <c r="BI295" s="12" t="str">
        <f>IFERROR(__xludf.DUMMYFUNCTION("IFERROR(TEXTJOIN("", "", TRUE, FILTER(SRD!$A$2:$A$1000, EXACT(SRD!$A$2:$A$1000, J295))), """")"),"")</f>
        <v/>
      </c>
      <c r="BJ295" s="29"/>
      <c r="BK295" s="29"/>
    </row>
    <row r="296" ht="15.75" customHeight="1">
      <c r="A296" s="11" t="s">
        <v>1417</v>
      </c>
      <c r="B296" s="12"/>
      <c r="C296" s="13"/>
      <c r="D296" s="13" t="s">
        <v>610</v>
      </c>
      <c r="E296" s="13"/>
      <c r="F296" s="14" t="s">
        <v>1418</v>
      </c>
      <c r="G296" s="50" t="s">
        <v>1223</v>
      </c>
      <c r="H296" s="16" t="s">
        <v>103</v>
      </c>
      <c r="I296" s="16" t="str">
        <f t="array" ref="I296">INDEX(Validations!$C$2:$C$100, MATCH(TRUE, ISNUMBER(SEARCH(Validations!$B$2:$B$100, H296)), 0))</f>
        <v>C</v>
      </c>
      <c r="J296" s="17" t="s">
        <v>1419</v>
      </c>
      <c r="K296" s="18"/>
      <c r="L296" s="52"/>
      <c r="M296" s="52"/>
      <c r="N296" s="20" t="s">
        <v>1420</v>
      </c>
      <c r="O296" s="17" t="s">
        <v>1421</v>
      </c>
      <c r="P296" s="21"/>
      <c r="Q296" s="21"/>
      <c r="R296" s="36" t="s">
        <v>1422</v>
      </c>
      <c r="S296" s="17" t="str">
        <f>IFERROR(__xludf.DUMMYFUNCTION("IFERROR(REGEXEXTRACT(J296, ""(\d{1,3}[dD]\d{1,3})""), """")"),"")</f>
        <v/>
      </c>
      <c r="T296" s="17" t="str">
        <f>IFERROR(__xludf.DUMMYFUNCTION("IF(COUNTIF(ARRAYFORMULA(LOWER(Validations!$O$2:$O$100)), LOWER(REGEXEXTRACT(J296, ""\d{1,3}[dD]\d{1,3}\s+(\w+)"")))&gt;0, REGEXEXTRACT(J296, ""\d{1,3}[dD]\d{1,3}\s+(\w+)""), """")"),"")</f>
        <v/>
      </c>
      <c r="U296" s="17" t="str">
        <f>IFERROR(__xludf.DUMMYFUNCTION("IF(COUNTIF(ARRAYFORMULA(LOWER(Validations!$P$2:$P$100)), LOWER(REGEXEXTRACT(J296, ""\d{1,3}[dD]\d{1,3}\s+(\w+)"")))&gt;0, REGEXEXTRACT(J296, ""\d{1,3}[dD]\d{1,3}\s+(\w+)""), """")"),"")</f>
        <v/>
      </c>
      <c r="V296" s="12" t="str">
        <f>IFERROR(__xludf.DUMMYFUNCTION("TEXTJOIN("", "", TRUE, FILTER(Validations!$L$2:$L$100, ISNUMBER(SEARCH(Validations!$L$2:$L$100, J296))))"),"")</f>
        <v/>
      </c>
      <c r="W296" s="12" t="str">
        <f>IFERROR(__xludf.DUMMYFUNCTION("IFERROR(TEXTJOIN("", "", TRUE, FILTER(Validations!$M$2:$M$100, ISNUMBER(SEARCH(Validations!$M$2:$M$100 &amp; "" saving throw"", J296)))), """")"),"")</f>
        <v/>
      </c>
      <c r="X296" s="12"/>
      <c r="Y296" s="12"/>
      <c r="Z296" s="12" t="str">
        <f>IFERROR(__xludf.DUMMYFUNCTION("IFERROR(TEXTJOIN("", "", TRUE, FILTER(Validations!$N$2:$N$100, ISNUMBER(SEARCH(Validations!$N$2:$N$100 &amp; "" check"", J296)))), """")"),"")</f>
        <v/>
      </c>
      <c r="AA296" s="12" t="str">
        <f>IFERROR(__xludf.DUMMYFUNCTION("IFERROR(TEXTJOIN("", "", TRUE, FILTER(Validations!$N$2:$N$100, ISNUMBER(SEARCH(Validations!$N$2:$N$100 &amp; "" check"", W296)))), """")"),"")</f>
        <v/>
      </c>
      <c r="AB296" s="23" t="str">
        <f>IFERROR(__xludf.DUMMYFUNCTION("IFERROR(CONCATENATE(IF(ISNUMBER(SEARCH(Validations!$M$2:$M$100 &amp; "" spell save"", J296)),""Spell Save"",""""), REGEXEXTRACT(J296, ""DC (\d+)"")), """")"),"")</f>
        <v/>
      </c>
      <c r="AC296" s="24" t="b">
        <v>0</v>
      </c>
      <c r="AD296" s="24" t="b">
        <v>0</v>
      </c>
      <c r="AE296" s="12" t="s">
        <v>435</v>
      </c>
      <c r="AF296" s="25">
        <f>IFERROR(__xludf.DUMMYFUNCTION("IFERROR(VALUE(REGEXEXTRACT(AE296, ""\d+"")), 1)"),1.0)</f>
        <v>1</v>
      </c>
      <c r="AG296" s="12" t="str">
        <f>IFERROR(__xludf.DUMMYFUNCTION("IF(
  ISNUMBER(SEARCH(""Bonus Action"", AE296)),
  ""Bonus Action"",
  IF(
    ISNUMBER(SEARCH(""Reaction"", AE296)),
    ""Reaction"",
    IF(
      ISNUMBER(SEARCH(""Action"", AE296)),
      ""Action"",
      TEXTJOIN("", "", TRUE, FILTER(Validations!$S"&amp;"$2:$S$100, ISNUMBER(SEARCH(Validations!$S$2:$S$100, AE296))))
    )
  )
)"),"Bonus Action")</f>
        <v>Bonus Action</v>
      </c>
      <c r="AH296" s="12"/>
      <c r="AI296" s="20" t="s">
        <v>134</v>
      </c>
      <c r="AJ296" s="26" t="str">
        <f>IFERROR(__xludf.DUMMYFUNCTION("TEXTJOIN("", "", TRUE, FILTER(Validations!$T$2:$T$100, ISNUMBER(SEARCH(Validations!$T$2:$T$100, AI296))))"),"")</f>
        <v/>
      </c>
      <c r="AK296" s="26">
        <f>IFERROR(__xludf.DUMMYFUNCTION("IFERROR(VALUE(REGEXEXTRACT(AI296, ""\d+"")), """")"),10.0)</f>
        <v>10</v>
      </c>
      <c r="AL296" s="26" t="str">
        <f>IFERROR(__xludf.DUMMYFUNCTION("TEXTJOIN("", "", TRUE, FILTER(Validations!$U$2:$U$100, ISNUMBER(SEARCH(Validations!$U$2:$U$100, AI296))))"),"Minutes")</f>
        <v>Minutes</v>
      </c>
      <c r="AM296" s="24" t="b">
        <f t="shared" si="1"/>
        <v>0</v>
      </c>
      <c r="AN296" s="24" t="b">
        <v>0</v>
      </c>
      <c r="AO296" s="12" t="s">
        <v>78</v>
      </c>
      <c r="AP296" s="12" t="str">
        <f>IFERROR(__xludf.DUMMYFUNCTION("IF(TEXTJOIN("", "", TRUE, FILTER(Validations!$Q$2:$Q$100, ISNUMBER(SEARCH(Validations!$Q$2:$Q$100, AO296)))) = """", Validations!$Q$2, TEXTJOIN("", "", TRUE, FILTER(Validations!$Q$2:$Q$100, ISNUMBER(SEARCH(Validations!$Q$2:$Q$100, AO296)))))"),"Point")</f>
        <v>Point</v>
      </c>
      <c r="AQ296" s="12" t="str">
        <f>IFERROR(__xludf.DUMMYFUNCTION("IFERROR(VALUE(REGEXEXTRACT(AO296, ""\d+"")), """")"),"")</f>
        <v/>
      </c>
      <c r="AR296" s="12" t="str">
        <f>IFERROR(__xludf.DUMMYFUNCTION("TEXTJOIN("", "", TRUE, FILTER(Validations!$R$2:$R$100, ISNUMBER(SEARCH(Validations!$R$2:$R$100, AO296))))"),"Self")</f>
        <v>Self</v>
      </c>
      <c r="AS296" s="27"/>
      <c r="AT296" s="12" t="str">
        <f>IFERROR(__xludf.DUMMYFUNCTION("IFERROR(TEXTJOIN("", "", TRUE, FILTER(Validations!$I$2:$I$100, ISNUMBER(SEARCH(Validations!$I$2:$I$100, AS296)))), """")"),"")</f>
        <v/>
      </c>
      <c r="AU296" s="16" t="str">
        <f t="array" ref="AU296">IFERROR(INDEX(Validations!$J$2:$J$100, MATCH(TRUE, ISNUMBER(SEARCH(Validations!$I$2:$I$100, AT296)), 0)), "")</f>
        <v/>
      </c>
      <c r="AV296" s="12" t="str">
        <f>IFERROR(__xludf.DUMMYFUNCTION("IFERROR(VALUE(REGEXEXTRACT(AS296, ""\d+"")), """")"),"")</f>
        <v/>
      </c>
      <c r="AW296" s="12" t="str">
        <f>IFERROR(__xludf.DUMMYFUNCTION("IFERROR(TEXTJOIN("", "", TRUE, FILTER(Validations!$Q$2:$Q$100, ISNUMBER(SEARCH(Validations!$Q$2:$Q$100, AS296)))), """")"),"")</f>
        <v/>
      </c>
      <c r="AX296" s="28" t="s">
        <v>142</v>
      </c>
      <c r="AY296" s="28" t="str">
        <f>IFERROR(__xludf.DUMMYFUNCTION("TEXTJOIN("", "", TRUE, FILTER(Validations!$Y$2:$Y$100, ISNUMBER(SEARCH(Validations!$X$2:$X$100, AX296))))"),"V, S")</f>
        <v>V, S</v>
      </c>
      <c r="AZ296" s="26" t="s">
        <v>1423</v>
      </c>
      <c r="BA296" s="12"/>
      <c r="BB296" s="22"/>
      <c r="BC296" s="22"/>
      <c r="BD296" s="22"/>
      <c r="BE296" s="27"/>
      <c r="BF296" s="22"/>
      <c r="BG296" s="27"/>
      <c r="BH296" s="27"/>
      <c r="BI296" s="12" t="str">
        <f>IFERROR(__xludf.DUMMYFUNCTION("IFERROR(TEXTJOIN("", "", TRUE, FILTER(SRD!$A$2:$A$1000, EXACT(SRD!$A$2:$A$1000, J296))), """")"),"")</f>
        <v/>
      </c>
      <c r="BJ296" s="29"/>
      <c r="BK296" s="29"/>
    </row>
    <row r="297" ht="15.75" customHeight="1">
      <c r="A297" s="38" t="s">
        <v>1424</v>
      </c>
      <c r="B297" s="12"/>
      <c r="C297" s="16"/>
      <c r="D297" s="16" t="s">
        <v>1425</v>
      </c>
      <c r="E297" s="16"/>
      <c r="F297" s="32" t="s">
        <v>392</v>
      </c>
      <c r="G297" s="50" t="s">
        <v>1223</v>
      </c>
      <c r="H297" s="31" t="s">
        <v>65</v>
      </c>
      <c r="I297" s="16" t="str">
        <f t="array" ref="I297">INDEX(Validations!$C$2:$C$100, MATCH(TRUE, ISNUMBER(SEARCH(Validations!$B$2:$B$100, H297)), 0))</f>
        <v>I</v>
      </c>
      <c r="J297" s="17" t="s">
        <v>1426</v>
      </c>
      <c r="K297" s="51"/>
      <c r="L297" s="52"/>
      <c r="M297" s="52"/>
      <c r="N297" s="27"/>
      <c r="O297" s="17" t="s">
        <v>1427</v>
      </c>
      <c r="P297" s="21"/>
      <c r="Q297" s="21"/>
      <c r="R297" s="36" t="s">
        <v>840</v>
      </c>
      <c r="S297" s="17" t="str">
        <f>IFERROR(__xludf.DUMMYFUNCTION("IFERROR(REGEXEXTRACT(J297, ""(\d{1,3}[dD]\d{1,3})""), """")"),"")</f>
        <v/>
      </c>
      <c r="T297" s="17" t="str">
        <f>IFERROR(__xludf.DUMMYFUNCTION("IF(COUNTIF(ARRAYFORMULA(LOWER(Validations!$O$2:$O$100)), LOWER(REGEXEXTRACT(J297, ""\d{1,3}[dD]\d{1,3}\s+(\w+)"")))&gt;0, REGEXEXTRACT(J297, ""\d{1,3}[dD]\d{1,3}\s+(\w+)""), """")"),"")</f>
        <v/>
      </c>
      <c r="U297" s="17" t="str">
        <f>IFERROR(__xludf.DUMMYFUNCTION("IF(COUNTIF(ARRAYFORMULA(LOWER(Validations!$P$2:$P$100)), LOWER(REGEXEXTRACT(J297, ""\d{1,3}[dD]\d{1,3}\s+(\w+)"")))&gt;0, REGEXEXTRACT(J297, ""\d{1,3}[dD]\d{1,3}\s+(\w+)""), """")"),"")</f>
        <v/>
      </c>
      <c r="V297" s="12" t="str">
        <f>IFERROR(__xludf.DUMMYFUNCTION("TEXTJOIN("", "", TRUE, FILTER(Validations!$L$2:$L$100, ISNUMBER(SEARCH(Validations!$L$2:$L$100, J297))))"),"Invisible")</f>
        <v>Invisible</v>
      </c>
      <c r="W297" s="12" t="str">
        <f>IFERROR(__xludf.DUMMYFUNCTION("IFERROR(TEXTJOIN("", "", TRUE, FILTER(Validations!$M$2:$M$100, ISNUMBER(SEARCH(Validations!$M$2:$M$100 &amp; "" saving throw"", J297)))), """")"),"")</f>
        <v/>
      </c>
      <c r="X297" s="12"/>
      <c r="Y297" s="12"/>
      <c r="Z297" s="12" t="str">
        <f>IFERROR(__xludf.DUMMYFUNCTION("IFERROR(TEXTJOIN("", "", TRUE, FILTER(Validations!$N$2:$N$100, ISNUMBER(SEARCH(Validations!$N$2:$N$100 &amp; "" check"", J297)))), """")"),"")</f>
        <v/>
      </c>
      <c r="AA297" s="12" t="str">
        <f>IFERROR(__xludf.DUMMYFUNCTION("IFERROR(TEXTJOIN("", "", TRUE, FILTER(Validations!$N$2:$N$100, ISNUMBER(SEARCH(Validations!$N$2:$N$100 &amp; "" check"", W297)))), """")"),"")</f>
        <v/>
      </c>
      <c r="AB297" s="23" t="str">
        <f>IFERROR(__xludf.DUMMYFUNCTION("IFERROR(CONCATENATE(IF(ISNUMBER(SEARCH(Validations!$M$2:$M$100 &amp; "" spell save"", J297)),""Spell Save"",""""), REGEXEXTRACT(J297, ""DC (\d+)"")), """")"),"")</f>
        <v/>
      </c>
      <c r="AC297" s="24" t="b">
        <v>0</v>
      </c>
      <c r="AD297" s="24" t="b">
        <v>0</v>
      </c>
      <c r="AE297" s="36" t="s">
        <v>92</v>
      </c>
      <c r="AF297" s="25">
        <f>IFERROR(__xludf.DUMMYFUNCTION("IFERROR(VALUE(REGEXEXTRACT(AE297, ""\d+"")), 1)"),1.0)</f>
        <v>1</v>
      </c>
      <c r="AG297" s="12" t="str">
        <f>IFERROR(__xludf.DUMMYFUNCTION("IF(
  ISNUMBER(SEARCH(""Bonus Action"", AE297)),
  ""Bonus Action"",
  IF(
    ISNUMBER(SEARCH(""Reaction"", AE297)),
    ""Reaction"",
    IF(
      ISNUMBER(SEARCH(""Action"", AE297)),
      ""Action"",
      TEXTJOIN("", "", TRUE, FILTER(Validations!$S"&amp;"$2:$S$100, ISNUMBER(SEARCH(Validations!$S$2:$S$100, AE297))))
    )
  )
)"),"Minutes")</f>
        <v>Minutes</v>
      </c>
      <c r="AH297" s="36"/>
      <c r="AI297" s="20" t="s">
        <v>556</v>
      </c>
      <c r="AJ297" s="26" t="str">
        <f>IFERROR(__xludf.DUMMYFUNCTION("TEXTJOIN("", "", TRUE, FILTER(Validations!$T$2:$T$100, ISNUMBER(SEARCH(Validations!$T$2:$T$100, AI297))))"),"")</f>
        <v/>
      </c>
      <c r="AK297" s="26">
        <f>IFERROR(__xludf.DUMMYFUNCTION("IFERROR(VALUE(REGEXEXTRACT(AI297, ""\d+"")), """")"),1.0)</f>
        <v>1</v>
      </c>
      <c r="AL297" s="26" t="str">
        <f>IFERROR(__xludf.DUMMYFUNCTION("TEXTJOIN("", "", TRUE, FILTER(Validations!$U$2:$U$100, ISNUMBER(SEARCH(Validations!$U$2:$U$100, AI297))))"),"Minutes")</f>
        <v>Minutes</v>
      </c>
      <c r="AM297" s="24" t="b">
        <f t="shared" si="1"/>
        <v>1</v>
      </c>
      <c r="AN297" s="42" t="b">
        <v>1</v>
      </c>
      <c r="AO297" s="12" t="s">
        <v>78</v>
      </c>
      <c r="AP297" s="12" t="str">
        <f>IFERROR(__xludf.DUMMYFUNCTION("IF(TEXTJOIN("", "", TRUE, FILTER(Validations!$Q$2:$Q$100, ISNUMBER(SEARCH(Validations!$Q$2:$Q$100, AO297)))) = """", Validations!$Q$2, TEXTJOIN("", "", TRUE, FILTER(Validations!$Q$2:$Q$100, ISNUMBER(SEARCH(Validations!$Q$2:$Q$100, AO297)))))"),"Point")</f>
        <v>Point</v>
      </c>
      <c r="AQ297" s="12" t="str">
        <f>IFERROR(__xludf.DUMMYFUNCTION("IFERROR(VALUE(REGEXEXTRACT(AO297, ""\d+"")), """")"),"")</f>
        <v/>
      </c>
      <c r="AR297" s="12" t="str">
        <f>IFERROR(__xludf.DUMMYFUNCTION("TEXTJOIN("", "", TRUE, FILTER(Validations!$R$2:$R$100, ISNUMBER(SEARCH(Validations!$R$2:$R$100, AO297))))"),"Self")</f>
        <v>Self</v>
      </c>
      <c r="AS297" s="26" t="s">
        <v>1428</v>
      </c>
      <c r="AT297" s="12" t="str">
        <f>IFERROR(__xludf.DUMMYFUNCTION("IFERROR(TEXTJOIN("", "", TRUE, FILTER(Validations!$I$2:$I$100, ISNUMBER(SEARCH(Validations!$I$2:$I$100, AS297)))), """")"),"Sphere")</f>
        <v>Sphere</v>
      </c>
      <c r="AU297" s="16" t="str">
        <f t="array" ref="AU297">IFERROR(INDEX(Validations!$J$2:$J$100, MATCH(TRUE, ISNUMBER(SEARCH(Validations!$I$2:$I$100, AT297)), 0)), "")</f>
        <v>S</v>
      </c>
      <c r="AV297" s="12">
        <f>IFERROR(__xludf.DUMMYFUNCTION("IFERROR(VALUE(REGEXEXTRACT(AS297, ""\d+"")), """")"),30.0)</f>
        <v>30</v>
      </c>
      <c r="AW297" s="12" t="str">
        <f>IFERROR(__xludf.DUMMYFUNCTION("IFERROR(TEXTJOIN("", "", TRUE, FILTER(Validations!$Q$2:$Q$100, ISNUMBER(SEARCH(Validations!$Q$2:$Q$100, AS297)))), """")"),"Sphere")</f>
        <v>Sphere</v>
      </c>
      <c r="AX297" s="36" t="s">
        <v>152</v>
      </c>
      <c r="AY297" s="28" t="str">
        <f>IFERROR(__xludf.DUMMYFUNCTION("TEXTJOIN("", "", TRUE, FILTER(Validations!$Y$2:$Y$100, ISNUMBER(SEARCH(Validations!$X$2:$X$100, AX297))))"),"V, S, R")</f>
        <v>V, S, R</v>
      </c>
      <c r="AZ297" s="26" t="s">
        <v>1429</v>
      </c>
      <c r="BA297" s="12"/>
      <c r="BB297" s="22"/>
      <c r="BC297" s="22"/>
      <c r="BD297" s="22"/>
      <c r="BE297" s="27"/>
      <c r="BF297" s="22"/>
      <c r="BG297" s="27"/>
      <c r="BH297" s="27"/>
      <c r="BI297" s="12" t="str">
        <f>IFERROR(__xludf.DUMMYFUNCTION("IFERROR(TEXTJOIN("", "", TRUE, FILTER(SRD!$A$2:$A$1000, EXACT(SRD!$A$2:$A$1000, J297))), """")"),"")</f>
        <v/>
      </c>
      <c r="BJ297" s="29"/>
      <c r="BK297" s="29"/>
    </row>
    <row r="298" ht="15.75" customHeight="1">
      <c r="A298" s="55" t="s">
        <v>1430</v>
      </c>
      <c r="B298" s="12"/>
      <c r="C298" s="56"/>
      <c r="D298" s="56"/>
      <c r="E298" s="56"/>
      <c r="F298" s="32" t="s">
        <v>570</v>
      </c>
      <c r="G298" s="57" t="s">
        <v>1223</v>
      </c>
      <c r="H298" s="58" t="s">
        <v>140</v>
      </c>
      <c r="I298" s="16" t="str">
        <f t="array" ref="I298">INDEX(Validations!$C$2:$C$100, MATCH(TRUE, ISNUMBER(SEARCH(Validations!$B$2:$B$100, H298)), 0))</f>
        <v>N</v>
      </c>
      <c r="J298" s="36" t="s">
        <v>1431</v>
      </c>
      <c r="K298" s="34"/>
      <c r="L298" s="12"/>
      <c r="M298" s="59"/>
      <c r="N298" s="27"/>
      <c r="O298" s="59"/>
      <c r="P298" s="60"/>
      <c r="Q298" s="60"/>
      <c r="R298" s="22"/>
      <c r="S298" s="59"/>
      <c r="T298" s="17"/>
      <c r="U298" s="17"/>
      <c r="V298" s="12"/>
      <c r="W298" s="12"/>
      <c r="X298" s="12"/>
      <c r="Y298" s="12"/>
      <c r="Z298" s="12"/>
      <c r="AA298" s="12"/>
      <c r="AB298" s="44"/>
      <c r="AC298" s="42" t="b">
        <v>0</v>
      </c>
      <c r="AD298" s="42" t="b">
        <v>0</v>
      </c>
      <c r="AE298" s="36" t="s">
        <v>208</v>
      </c>
      <c r="AF298" s="25">
        <f>IFERROR(__xludf.DUMMYFUNCTION("IFERROR(VALUE(REGEXEXTRACT(AE298, ""\d+"")), 1)"),1.0)</f>
        <v>1</v>
      </c>
      <c r="AG298" s="12" t="str">
        <f>IFERROR(__xludf.DUMMYFUNCTION("IF(
  ISNUMBER(SEARCH(""Bonus Action"", AE298)),
  ""Bonus Action"",
  IF(
    ISNUMBER(SEARCH(""Reaction"", AE298)),
    ""Reaction"",
    IF(
      ISNUMBER(SEARCH(""Action"", AE298)),
      ""Action"",
      TEXTJOIN("", "", TRUE, FILTER(Validations!$S"&amp;"$2:$S$100, ISNUMBER(SEARCH(Validations!$S$2:$S$100, AE298))))
    )
  )
)"),"Reaction")</f>
        <v>Reaction</v>
      </c>
      <c r="AH298" s="36" t="s">
        <v>1432</v>
      </c>
      <c r="AI298" s="20" t="s">
        <v>70</v>
      </c>
      <c r="AJ298" s="26" t="str">
        <f>IFERROR(__xludf.DUMMYFUNCTION("TEXTJOIN("", "", TRUE, FILTER(Validations!$T$2:$T$100, ISNUMBER(SEARCH(Validations!$T$2:$T$100, AI298))))"),"Instantaneous")</f>
        <v>Instantaneous</v>
      </c>
      <c r="AK298" s="26" t="str">
        <f>IFERROR(__xludf.DUMMYFUNCTION("IFERROR(VALUE(REGEXEXTRACT(AI298, ""\d+"")), """")"),"")</f>
        <v/>
      </c>
      <c r="AL298" s="26" t="str">
        <f>IFERROR(__xludf.DUMMYFUNCTION("TEXTJOIN("", "", TRUE, FILTER(Validations!$U$2:$U$100, ISNUMBER(SEARCH(Validations!$U$2:$U$100, AI298))))"),"")</f>
        <v/>
      </c>
      <c r="AM298" s="24" t="b">
        <f t="shared" si="1"/>
        <v>0</v>
      </c>
      <c r="AN298" s="42" t="b">
        <v>0</v>
      </c>
      <c r="AO298" s="20" t="s">
        <v>440</v>
      </c>
      <c r="AP298" s="12" t="str">
        <f>IFERROR(__xludf.DUMMYFUNCTION("IF(TEXTJOIN("", "", TRUE, FILTER(Validations!$Q$2:$Q$100, ISNUMBER(SEARCH(Validations!$Q$2:$Q$100, AO298)))) = """", Validations!$Q$2, TEXTJOIN("", "", TRUE, FILTER(Validations!$Q$2:$Q$100, ISNUMBER(SEARCH(Validations!$Q$2:$Q$100, AO298)))))"),"Point")</f>
        <v>Point</v>
      </c>
      <c r="AQ298" s="12">
        <f>IFERROR(__xludf.DUMMYFUNCTION("IFERROR(VALUE(REGEXEXTRACT(AO298, ""\d+"")), """")"),60.0)</f>
        <v>60</v>
      </c>
      <c r="AR298" s="12" t="str">
        <f>IFERROR(__xludf.DUMMYFUNCTION("TEXTJOIN("", "", TRUE, FILTER(Validations!$R$2:$R$100, ISNUMBER(SEARCH(Validations!$R$2:$R$100, AO298))))"),"Feet")</f>
        <v>Feet</v>
      </c>
      <c r="AS298" s="69"/>
      <c r="AT298" s="12" t="str">
        <f>IFERROR(__xludf.DUMMYFUNCTION("IFERROR(TEXTJOIN("", "", TRUE, FILTER(Validations!$I$2:$I$100, ISNUMBER(SEARCH(Validations!$I$2:$I$100, AS298)))), """")"),"")</f>
        <v/>
      </c>
      <c r="AU298" s="16" t="str">
        <f t="array" ref="AU298">IFERROR(INDEX(Validations!$J$2:$J$100, MATCH(TRUE, ISNUMBER(SEARCH(Validations!$I$2:$I$100, AT298)), 0)), "")</f>
        <v/>
      </c>
      <c r="AV298" s="12" t="str">
        <f>IFERROR(__xludf.DUMMYFUNCTION("IFERROR(VALUE(REGEXEXTRACT(AS298, ""\d+"")), """")"),"")</f>
        <v/>
      </c>
      <c r="AW298" s="12" t="str">
        <f>IFERROR(__xludf.DUMMYFUNCTION("IFERROR(TEXTJOIN("", "", TRUE, FILTER(Validations!$Q$2:$Q$100, ISNUMBER(SEARCH(Validations!$Q$2:$Q$100, AS298)))), """")"),"")</f>
        <v/>
      </c>
      <c r="AX298" s="28" t="s">
        <v>152</v>
      </c>
      <c r="AY298" s="28" t="str">
        <f>IFERROR(__xludf.DUMMYFUNCTION("TEXTJOIN("", "", TRUE, FILTER(Validations!$Y$2:$Y$100, ISNUMBER(SEARCH(Validations!$X$2:$X$100, AX298))))"),"V, S, R")</f>
        <v>V, S, R</v>
      </c>
      <c r="AZ298" s="20" t="s">
        <v>1433</v>
      </c>
      <c r="BA298" s="59"/>
      <c r="BB298" s="22"/>
      <c r="BC298" s="22"/>
      <c r="BD298" s="22"/>
      <c r="BE298" s="27"/>
      <c r="BF298" s="22"/>
      <c r="BG298" s="27"/>
      <c r="BH298" s="27"/>
      <c r="BI298" s="12" t="str">
        <f>IFERROR(__xludf.DUMMYFUNCTION("IFERROR(TEXTJOIN("", "", TRUE, FILTER(SRD!$A$2:$A$1000, EXACT(SRD!$A$2:$A$1000, J298))), """")"),"")</f>
        <v/>
      </c>
      <c r="BJ298" s="29"/>
      <c r="BK298" s="29"/>
    </row>
    <row r="299" ht="15.75" customHeight="1">
      <c r="A299" s="55" t="s">
        <v>1434</v>
      </c>
      <c r="B299" s="12"/>
      <c r="C299" s="56"/>
      <c r="D299" s="56"/>
      <c r="E299" s="56"/>
      <c r="F299" s="32" t="s">
        <v>130</v>
      </c>
      <c r="G299" s="57" t="s">
        <v>1223</v>
      </c>
      <c r="H299" s="58" t="s">
        <v>85</v>
      </c>
      <c r="I299" s="16" t="str">
        <f t="array" ref="I299">INDEX(Validations!$C$2:$C$100, MATCH(TRUE, ISNUMBER(SEARCH(Validations!$B$2:$B$100, H299)), 0))</f>
        <v>T</v>
      </c>
      <c r="J299" s="36" t="s">
        <v>1435</v>
      </c>
      <c r="K299" s="34"/>
      <c r="L299" s="22"/>
      <c r="M299" s="22"/>
      <c r="N299" s="27"/>
      <c r="O299" s="62"/>
      <c r="P299" s="63"/>
      <c r="Q299" s="63"/>
      <c r="R299" s="22"/>
      <c r="S299" s="62"/>
      <c r="T299" s="17"/>
      <c r="U299" s="17"/>
      <c r="V299" s="12"/>
      <c r="W299" s="12"/>
      <c r="X299" s="12"/>
      <c r="Y299" s="12"/>
      <c r="Z299" s="12"/>
      <c r="AA299" s="12"/>
      <c r="AB299" s="44"/>
      <c r="AC299" s="42" t="b">
        <v>0</v>
      </c>
      <c r="AD299" s="42" t="b">
        <v>0</v>
      </c>
      <c r="AE299" s="36" t="s">
        <v>69</v>
      </c>
      <c r="AF299" s="25">
        <f>IFERROR(__xludf.DUMMYFUNCTION("IFERROR(VALUE(REGEXEXTRACT(AE299, ""\d+"")), 1)"),1.0)</f>
        <v>1</v>
      </c>
      <c r="AG299" s="12" t="str">
        <f>IFERROR(__xludf.DUMMYFUNCTION("IF(
  ISNUMBER(SEARCH(""Bonus Action"", AE299)),
  ""Bonus Action"",
  IF(
    ISNUMBER(SEARCH(""Reaction"", AE299)),
    ""Reaction"",
    IF(
      ISNUMBER(SEARCH(""Action"", AE299)),
      ""Action"",
      TEXTJOIN("", "", TRUE, FILTER(Validations!$S"&amp;"$2:$S$100, ISNUMBER(SEARCH(Validations!$S$2:$S$100, AE299))))
    )
  )
)"),"Action")</f>
        <v>Action</v>
      </c>
      <c r="AH299" s="12"/>
      <c r="AI299" s="20" t="s">
        <v>446</v>
      </c>
      <c r="AJ299" s="26" t="str">
        <f>IFERROR(__xludf.DUMMYFUNCTION("TEXTJOIN("", "", TRUE, FILTER(Validations!$T$2:$T$100, ISNUMBER(SEARCH(Validations!$T$2:$T$100, AI299))))"),"")</f>
        <v/>
      </c>
      <c r="AK299" s="26">
        <f>IFERROR(__xludf.DUMMYFUNCTION("IFERROR(VALUE(REGEXEXTRACT(AI299, ""\d+"")), """")"),10.0)</f>
        <v>10</v>
      </c>
      <c r="AL299" s="26" t="str">
        <f>IFERROR(__xludf.DUMMYFUNCTION("TEXTJOIN("", "", TRUE, FILTER(Validations!$U$2:$U$100, ISNUMBER(SEARCH(Validations!$U$2:$U$100, AI299))))"),"Minutes")</f>
        <v>Minutes</v>
      </c>
      <c r="AM299" s="24" t="b">
        <f t="shared" si="1"/>
        <v>1</v>
      </c>
      <c r="AN299" s="42" t="b">
        <v>1</v>
      </c>
      <c r="AO299" s="36" t="s">
        <v>440</v>
      </c>
      <c r="AP299" s="12" t="str">
        <f>IFERROR(__xludf.DUMMYFUNCTION("IF(TEXTJOIN("", "", TRUE, FILTER(Validations!$Q$2:$Q$100, ISNUMBER(SEARCH(Validations!$Q$2:$Q$100, AO299)))) = """", Validations!$Q$2, TEXTJOIN("", "", TRUE, FILTER(Validations!$Q$2:$Q$100, ISNUMBER(SEARCH(Validations!$Q$2:$Q$100, AO299)))))"),"Point")</f>
        <v>Point</v>
      </c>
      <c r="AQ299" s="12">
        <f>IFERROR(__xludf.DUMMYFUNCTION("IFERROR(VALUE(REGEXEXTRACT(AO299, ""\d+"")), """")"),60.0)</f>
        <v>60</v>
      </c>
      <c r="AR299" s="12" t="str">
        <f>IFERROR(__xludf.DUMMYFUNCTION("TEXTJOIN("", "", TRUE, FILTER(Validations!$R$2:$R$100, ISNUMBER(SEARCH(Validations!$R$2:$R$100, AO299))))"),"Feet")</f>
        <v>Feet</v>
      </c>
      <c r="AS299" s="20" t="s">
        <v>1436</v>
      </c>
      <c r="AT299" s="12" t="str">
        <f>IFERROR(__xludf.DUMMYFUNCTION("IFERROR(TEXTJOIN("", "", TRUE, FILTER(Validations!$I$2:$I$100, ISNUMBER(SEARCH(Validations!$I$2:$I$100, AS299)))), """")"),"")</f>
        <v/>
      </c>
      <c r="AU299" s="16" t="str">
        <f t="array" ref="AU299">IFERROR(INDEX(Validations!$J$2:$J$100, MATCH(TRUE, ISNUMBER(SEARCH(Validations!$I$2:$I$100, AT299)), 0)), "")</f>
        <v/>
      </c>
      <c r="AV299" s="12">
        <f>IFERROR(__xludf.DUMMYFUNCTION("IFERROR(VALUE(REGEXEXTRACT(AS299, ""\d+"")), """")"),20.0)</f>
        <v>20</v>
      </c>
      <c r="AW299" s="12" t="str">
        <f>IFERROR(__xludf.DUMMYFUNCTION("IFERROR(TEXTJOIN("", "", TRUE, FILTER(Validations!$Q$2:$Q$100, ISNUMBER(SEARCH(Validations!$Q$2:$Q$100, AS299)))), """")"),"Radius")</f>
        <v>Radius</v>
      </c>
      <c r="AX299" s="28" t="s">
        <v>262</v>
      </c>
      <c r="AY299" s="28" t="str">
        <f>IFERROR(__xludf.DUMMYFUNCTION("TEXTJOIN("", "", TRUE, FILTER(Validations!$Y$2:$Y$100, ISNUMBER(SEARCH(Validations!$X$2:$X$100, AX299))))"),"V, S, R")</f>
        <v>V, S, R</v>
      </c>
      <c r="AZ299" s="70" t="s">
        <v>1437</v>
      </c>
      <c r="BA299" s="62"/>
      <c r="BB299" s="22"/>
      <c r="BC299" s="22"/>
      <c r="BD299" s="22"/>
      <c r="BE299" s="27"/>
      <c r="BF299" s="22"/>
      <c r="BG299" s="27"/>
      <c r="BH299" s="27"/>
      <c r="BI299" s="44"/>
      <c r="BJ299" s="29"/>
      <c r="BK299" s="29"/>
    </row>
    <row r="300" ht="15.75" customHeight="1">
      <c r="A300" s="55" t="s">
        <v>1438</v>
      </c>
      <c r="B300" s="12"/>
      <c r="C300" s="56"/>
      <c r="D300" s="56"/>
      <c r="E300" s="56"/>
      <c r="F300" s="32" t="s">
        <v>130</v>
      </c>
      <c r="G300" s="57" t="s">
        <v>1223</v>
      </c>
      <c r="H300" s="58" t="s">
        <v>85</v>
      </c>
      <c r="I300" s="16" t="str">
        <f t="array" ref="I300">INDEX(Validations!$C$2:$C$100, MATCH(TRUE, ISNUMBER(SEARCH(Validations!$B$2:$B$100, H300)), 0))</f>
        <v>T</v>
      </c>
      <c r="J300" s="36" t="s">
        <v>1439</v>
      </c>
      <c r="K300" s="34"/>
      <c r="L300" s="22"/>
      <c r="M300" s="22"/>
      <c r="N300" s="27"/>
      <c r="O300" s="62"/>
      <c r="P300" s="63"/>
      <c r="Q300" s="63"/>
      <c r="R300" s="22"/>
      <c r="S300" s="62"/>
      <c r="T300" s="17"/>
      <c r="U300" s="17"/>
      <c r="V300" s="12"/>
      <c r="W300" s="12"/>
      <c r="X300" s="12"/>
      <c r="Y300" s="12"/>
      <c r="Z300" s="12"/>
      <c r="AA300" s="12"/>
      <c r="AB300" s="44"/>
      <c r="AC300" s="42" t="b">
        <v>0</v>
      </c>
      <c r="AD300" s="42" t="b">
        <v>0</v>
      </c>
      <c r="AE300" s="36" t="s">
        <v>92</v>
      </c>
      <c r="AF300" s="25">
        <f>IFERROR(__xludf.DUMMYFUNCTION("IFERROR(VALUE(REGEXEXTRACT(AE300, ""\d+"")), 1)"),1.0)</f>
        <v>1</v>
      </c>
      <c r="AG300" s="12" t="str">
        <f>IFERROR(__xludf.DUMMYFUNCTION("IF(
  ISNUMBER(SEARCH(""Bonus Action"", AE300)),
  ""Bonus Action"",
  IF(
    ISNUMBER(SEARCH(""Reaction"", AE300)),
    ""Reaction"",
    IF(
      ISNUMBER(SEARCH(""Action"", AE300)),
      ""Action"",
      TEXTJOIN("", "", TRUE, FILTER(Validations!$S"&amp;"$2:$S$100, ISNUMBER(SEARCH(Validations!$S$2:$S$100, AE300))))
    )
  )
)"),"Minutes")</f>
        <v>Minutes</v>
      </c>
      <c r="AH300" s="12"/>
      <c r="AI300" s="20" t="s">
        <v>296</v>
      </c>
      <c r="AJ300" s="26" t="str">
        <f>IFERROR(__xludf.DUMMYFUNCTION("TEXTJOIN("", "", TRUE, FILTER(Validations!$T$2:$T$100, ISNUMBER(SEARCH(Validations!$T$2:$T$100, AI300))))"),"")</f>
        <v/>
      </c>
      <c r="AK300" s="26">
        <f>IFERROR(__xludf.DUMMYFUNCTION("IFERROR(VALUE(REGEXEXTRACT(AI300, ""\d+"")), """")"),1.0)</f>
        <v>1</v>
      </c>
      <c r="AL300" s="26" t="str">
        <f>IFERROR(__xludf.DUMMYFUNCTION("TEXTJOIN("", "", TRUE, FILTER(Validations!$U$2:$U$100, ISNUMBER(SEARCH(Validations!$U$2:$U$100, AI300))))"),"Hours")</f>
        <v>Hours</v>
      </c>
      <c r="AM300" s="24" t="b">
        <f t="shared" si="1"/>
        <v>0</v>
      </c>
      <c r="AN300" s="42" t="b">
        <v>0</v>
      </c>
      <c r="AO300" s="36" t="s">
        <v>1440</v>
      </c>
      <c r="AP300" s="12" t="str">
        <f>IFERROR(__xludf.DUMMYFUNCTION("IF(TEXTJOIN("", "", TRUE, FILTER(Validations!$Q$2:$Q$100, ISNUMBER(SEARCH(Validations!$Q$2:$Q$100, AO300)))) = """", Validations!$Q$2, TEXTJOIN("", "", TRUE, FILTER(Validations!$Q$2:$Q$100, ISNUMBER(SEARCH(Validations!$Q$2:$Q$100, AO300)))))"),"Point")</f>
        <v>Point</v>
      </c>
      <c r="AQ300" s="12" t="str">
        <f>IFERROR(__xludf.DUMMYFUNCTION("IFERROR(VALUE(REGEXEXTRACT(AO300, ""\d+"")), """")"),"")</f>
        <v/>
      </c>
      <c r="AR300" s="12" t="str">
        <f>IFERROR(__xludf.DUMMYFUNCTION("TEXTJOIN("", "", TRUE, FILTER(Validations!$R$2:$R$100, ISNUMBER(SEARCH(Validations!$R$2:$R$100, AO300))))"),"Touch")</f>
        <v>Touch</v>
      </c>
      <c r="AS300" s="27"/>
      <c r="AT300" s="12" t="str">
        <f>IFERROR(__xludf.DUMMYFUNCTION("IFERROR(TEXTJOIN("", "", TRUE, FILTER(Validations!$I$2:$I$100, ISNUMBER(SEARCH(Validations!$I$2:$I$100, AS300)))), """")"),"")</f>
        <v/>
      </c>
      <c r="AU300" s="16" t="str">
        <f t="array" ref="AU300">IFERROR(INDEX(Validations!$J$2:$J$100, MATCH(TRUE, ISNUMBER(SEARCH(Validations!$I$2:$I$100, AT300)), 0)), "")</f>
        <v/>
      </c>
      <c r="AV300" s="12" t="str">
        <f>IFERROR(__xludf.DUMMYFUNCTION("IFERROR(VALUE(REGEXEXTRACT(AS300, ""\d+"")), """")"),"")</f>
        <v/>
      </c>
      <c r="AW300" s="12" t="str">
        <f>IFERROR(__xludf.DUMMYFUNCTION("IFERROR(TEXTJOIN("", "", TRUE, FILTER(Validations!$Q$2:$Q$100, ISNUMBER(SEARCH(Validations!$Q$2:$Q$100, AS300)))), """")"),"")</f>
        <v/>
      </c>
      <c r="AX300" s="28" t="s">
        <v>152</v>
      </c>
      <c r="AY300" s="28" t="str">
        <f>IFERROR(__xludf.DUMMYFUNCTION("TEXTJOIN("", "", TRUE, FILTER(Validations!$Y$2:$Y$100, ISNUMBER(SEARCH(Validations!$X$2:$X$100, AX300))))"),"V, S, R")</f>
        <v>V, S, R</v>
      </c>
      <c r="AZ300" s="20" t="s">
        <v>1441</v>
      </c>
      <c r="BA300" s="62"/>
      <c r="BB300" s="22"/>
      <c r="BC300" s="22"/>
      <c r="BD300" s="22"/>
      <c r="BE300" s="27"/>
      <c r="BF300" s="22"/>
      <c r="BG300" s="27"/>
      <c r="BH300" s="27"/>
      <c r="BI300" s="44"/>
      <c r="BJ300" s="29"/>
      <c r="BK300" s="29"/>
    </row>
    <row r="301" ht="15.75" customHeight="1">
      <c r="A301" s="55" t="s">
        <v>1442</v>
      </c>
      <c r="B301" s="12"/>
      <c r="C301" s="56"/>
      <c r="D301" s="56"/>
      <c r="E301" s="56"/>
      <c r="F301" s="32" t="s">
        <v>130</v>
      </c>
      <c r="G301" s="57" t="s">
        <v>1223</v>
      </c>
      <c r="H301" s="58" t="s">
        <v>85</v>
      </c>
      <c r="I301" s="16" t="str">
        <f t="array" ref="I301">INDEX(Validations!$C$2:$C$100, MATCH(TRUE, ISNUMBER(SEARCH(Validations!$B$2:$B$100, H301)), 0))</f>
        <v>T</v>
      </c>
      <c r="J301" s="36" t="s">
        <v>1443</v>
      </c>
      <c r="K301" s="34"/>
      <c r="L301" s="22"/>
      <c r="M301" s="22"/>
      <c r="N301" s="27"/>
      <c r="O301" s="62"/>
      <c r="P301" s="63"/>
      <c r="Q301" s="63"/>
      <c r="R301" s="22"/>
      <c r="S301" s="62"/>
      <c r="T301" s="17"/>
      <c r="U301" s="17"/>
      <c r="V301" s="12"/>
      <c r="W301" s="12"/>
      <c r="X301" s="12"/>
      <c r="Y301" s="12"/>
      <c r="Z301" s="12"/>
      <c r="AA301" s="12"/>
      <c r="AB301" s="44"/>
      <c r="AC301" s="42" t="b">
        <v>0</v>
      </c>
      <c r="AD301" s="42" t="b">
        <v>0</v>
      </c>
      <c r="AE301" s="36" t="s">
        <v>69</v>
      </c>
      <c r="AF301" s="25">
        <f>IFERROR(__xludf.DUMMYFUNCTION("IFERROR(VALUE(REGEXEXTRACT(AE301, ""\d+"")), 1)"),1.0)</f>
        <v>1</v>
      </c>
      <c r="AG301" s="12" t="str">
        <f>IFERROR(__xludf.DUMMYFUNCTION("IF(
  ISNUMBER(SEARCH(""Bonus Action"", AE301)),
  ""Bonus Action"",
  IF(
    ISNUMBER(SEARCH(""Reaction"", AE301)),
    ""Reaction"",
    IF(
      ISNUMBER(SEARCH(""Action"", AE301)),
      ""Action"",
      TEXTJOIN("", "", TRUE, FILTER(Validations!$S"&amp;"$2:$S$100, ISNUMBER(SEARCH(Validations!$S$2:$S$100, AE301))))
    )
  )
)"),"Action")</f>
        <v>Action</v>
      </c>
      <c r="AH301" s="12"/>
      <c r="AI301" s="20" t="s">
        <v>556</v>
      </c>
      <c r="AJ301" s="26" t="str">
        <f>IFERROR(__xludf.DUMMYFUNCTION("TEXTJOIN("", "", TRUE, FILTER(Validations!$T$2:$T$100, ISNUMBER(SEARCH(Validations!$T$2:$T$100, AI301))))"),"")</f>
        <v/>
      </c>
      <c r="AK301" s="26">
        <f>IFERROR(__xludf.DUMMYFUNCTION("IFERROR(VALUE(REGEXEXTRACT(AI301, ""\d+"")), """")"),1.0)</f>
        <v>1</v>
      </c>
      <c r="AL301" s="26" t="str">
        <f>IFERROR(__xludf.DUMMYFUNCTION("TEXTJOIN("", "", TRUE, FILTER(Validations!$U$2:$U$100, ISNUMBER(SEARCH(Validations!$U$2:$U$100, AI301))))"),"Minutes")</f>
        <v>Minutes</v>
      </c>
      <c r="AM301" s="24" t="b">
        <f t="shared" si="1"/>
        <v>1</v>
      </c>
      <c r="AN301" s="42" t="b">
        <v>1</v>
      </c>
      <c r="AO301" s="36" t="s">
        <v>502</v>
      </c>
      <c r="AP301" s="12" t="str">
        <f>IFERROR(__xludf.DUMMYFUNCTION("IF(TEXTJOIN("", "", TRUE, FILTER(Validations!$Q$2:$Q$100, ISNUMBER(SEARCH(Validations!$Q$2:$Q$100, AO301)))) = """", Validations!$Q$2, TEXTJOIN("", "", TRUE, FILTER(Validations!$Q$2:$Q$100, ISNUMBER(SEARCH(Validations!$Q$2:$Q$100, AO301)))))"),"Point")</f>
        <v>Point</v>
      </c>
      <c r="AQ301" s="12">
        <f>IFERROR(__xludf.DUMMYFUNCTION("IFERROR(VALUE(REGEXEXTRACT(AO301, ""\d+"")), """")"),120.0)</f>
        <v>120</v>
      </c>
      <c r="AR301" s="12" t="str">
        <f>IFERROR(__xludf.DUMMYFUNCTION("TEXTJOIN("", "", TRUE, FILTER(Validations!$R$2:$R$100, ISNUMBER(SEARCH(Validations!$R$2:$R$100, AO301))))"),"Feet")</f>
        <v>Feet</v>
      </c>
      <c r="AS301" s="27"/>
      <c r="AT301" s="12" t="str">
        <f>IFERROR(__xludf.DUMMYFUNCTION("IFERROR(TEXTJOIN("", "", TRUE, FILTER(Validations!$I$2:$I$100, ISNUMBER(SEARCH(Validations!$I$2:$I$100, AS301)))), """")"),"")</f>
        <v/>
      </c>
      <c r="AU301" s="16" t="str">
        <f t="array" ref="AU301">IFERROR(INDEX(Validations!$J$2:$J$100, MATCH(TRUE, ISNUMBER(SEARCH(Validations!$I$2:$I$100, AT301)), 0)), "")</f>
        <v/>
      </c>
      <c r="AV301" s="12" t="str">
        <f>IFERROR(__xludf.DUMMYFUNCTION("IFERROR(VALUE(REGEXEXTRACT(AS301, ""\d+"")), """")"),"")</f>
        <v/>
      </c>
      <c r="AW301" s="12" t="str">
        <f>IFERROR(__xludf.DUMMYFUNCTION("IFERROR(TEXTJOIN("", "", TRUE, FILTER(Validations!$Q$2:$Q$100, ISNUMBER(SEARCH(Validations!$Q$2:$Q$100, AS301)))), """")"),"")</f>
        <v/>
      </c>
      <c r="AX301" s="28" t="s">
        <v>152</v>
      </c>
      <c r="AY301" s="28" t="str">
        <f>IFERROR(__xludf.DUMMYFUNCTION("TEXTJOIN("", "", TRUE, FILTER(Validations!$Y$2:$Y$100, ISNUMBER(SEARCH(Validations!$X$2:$X$100, AX301))))"),"V, S, R")</f>
        <v>V, S, R</v>
      </c>
      <c r="AZ301" s="20" t="s">
        <v>1444</v>
      </c>
      <c r="BA301" s="62"/>
      <c r="BB301" s="22"/>
      <c r="BC301" s="22"/>
      <c r="BD301" s="22"/>
      <c r="BE301" s="27"/>
      <c r="BF301" s="22"/>
      <c r="BG301" s="27"/>
      <c r="BH301" s="27"/>
      <c r="BI301" s="44"/>
      <c r="BJ301" s="29"/>
      <c r="BK301" s="29"/>
    </row>
    <row r="302" ht="15.75" customHeight="1">
      <c r="A302" s="55" t="s">
        <v>1445</v>
      </c>
      <c r="B302" s="12"/>
      <c r="C302" s="56"/>
      <c r="D302" s="56"/>
      <c r="E302" s="56"/>
      <c r="F302" s="32" t="s">
        <v>130</v>
      </c>
      <c r="G302" s="57" t="s">
        <v>1223</v>
      </c>
      <c r="H302" s="58" t="s">
        <v>85</v>
      </c>
      <c r="I302" s="16" t="str">
        <f t="array" ref="I302">INDEX(Validations!$C$2:$C$100, MATCH(TRUE, ISNUMBER(SEARCH(Validations!$B$2:$B$100, H302)), 0))</f>
        <v>T</v>
      </c>
      <c r="J302" s="36" t="s">
        <v>1446</v>
      </c>
      <c r="K302" s="34"/>
      <c r="L302" s="22"/>
      <c r="M302" s="22"/>
      <c r="N302" s="27"/>
      <c r="O302" s="62"/>
      <c r="P302" s="63"/>
      <c r="Q302" s="63"/>
      <c r="R302" s="22"/>
      <c r="S302" s="62"/>
      <c r="T302" s="17"/>
      <c r="U302" s="17"/>
      <c r="V302" s="12"/>
      <c r="W302" s="12"/>
      <c r="X302" s="12"/>
      <c r="Y302" s="12"/>
      <c r="Z302" s="12"/>
      <c r="AA302" s="12"/>
      <c r="AB302" s="44"/>
      <c r="AC302" s="42" t="b">
        <v>0</v>
      </c>
      <c r="AD302" s="42" t="b">
        <v>0</v>
      </c>
      <c r="AE302" s="36" t="s">
        <v>69</v>
      </c>
      <c r="AF302" s="25">
        <f>IFERROR(__xludf.DUMMYFUNCTION("IFERROR(VALUE(REGEXEXTRACT(AE302, ""\d+"")), 1)"),1.0)</f>
        <v>1</v>
      </c>
      <c r="AG302" s="12" t="str">
        <f>IFERROR(__xludf.DUMMYFUNCTION("IF(
  ISNUMBER(SEARCH(""Bonus Action"", AE302)),
  ""Bonus Action"",
  IF(
    ISNUMBER(SEARCH(""Reaction"", AE302)),
    ""Reaction"",
    IF(
      ISNUMBER(SEARCH(""Action"", AE302)),
      ""Action"",
      TEXTJOIN("", "", TRUE, FILTER(Validations!$S"&amp;"$2:$S$100, ISNUMBER(SEARCH(Validations!$S$2:$S$100, AE302))))
    )
  )
)"),"Action")</f>
        <v>Action</v>
      </c>
      <c r="AH302" s="12"/>
      <c r="AI302" s="20" t="s">
        <v>70</v>
      </c>
      <c r="AJ302" s="26" t="str">
        <f>IFERROR(__xludf.DUMMYFUNCTION("TEXTJOIN("", "", TRUE, FILTER(Validations!$T$2:$T$100, ISNUMBER(SEARCH(Validations!$T$2:$T$100, AI302))))"),"Instantaneous")</f>
        <v>Instantaneous</v>
      </c>
      <c r="AK302" s="26" t="str">
        <f>IFERROR(__xludf.DUMMYFUNCTION("IFERROR(VALUE(REGEXEXTRACT(AI302, ""\d+"")), """")"),"")</f>
        <v/>
      </c>
      <c r="AL302" s="26" t="str">
        <f>IFERROR(__xludf.DUMMYFUNCTION("TEXTJOIN("", "", TRUE, FILTER(Validations!$U$2:$U$100, ISNUMBER(SEARCH(Validations!$U$2:$U$100, AI302))))"),"")</f>
        <v/>
      </c>
      <c r="AM302" s="24" t="b">
        <f t="shared" si="1"/>
        <v>0</v>
      </c>
      <c r="AN302" s="42" t="b">
        <v>0</v>
      </c>
      <c r="AO302" s="36" t="s">
        <v>1447</v>
      </c>
      <c r="AP302" s="12" t="str">
        <f>IFERROR(__xludf.DUMMYFUNCTION("IF(TEXTJOIN("", "", TRUE, FILTER(Validations!$Q$2:$Q$100, ISNUMBER(SEARCH(Validations!$Q$2:$Q$100, AO302)))) = """", Validations!$Q$2, TEXTJOIN("", "", TRUE, FILTER(Validations!$Q$2:$Q$100, ISNUMBER(SEARCH(Validations!$Q$2:$Q$100, AO302)))))"),"Point")</f>
        <v>Point</v>
      </c>
      <c r="AQ302" s="12">
        <f>IFERROR(__xludf.DUMMYFUNCTION("IFERROR(VALUE(REGEXEXTRACT(AO302, ""\d+"")), """")"),90.0)</f>
        <v>90</v>
      </c>
      <c r="AR302" s="12" t="str">
        <f>IFERROR(__xludf.DUMMYFUNCTION("TEXTJOIN("", "", TRUE, FILTER(Validations!$R$2:$R$100, ISNUMBER(SEARCH(Validations!$R$2:$R$100, AO302))))"),"Feet")</f>
        <v>Feet</v>
      </c>
      <c r="AS302" s="20" t="s">
        <v>1448</v>
      </c>
      <c r="AT302" s="12" t="str">
        <f>IFERROR(__xludf.DUMMYFUNCTION("IFERROR(TEXTJOIN("", "", TRUE, FILTER(Validations!$I$2:$I$100, ISNUMBER(SEARCH(Validations!$I$2:$I$100, AS302)))), """")"),"Cube")</f>
        <v>Cube</v>
      </c>
      <c r="AU302" s="16" t="str">
        <f t="array" ref="AU302">IFERROR(INDEX(Validations!$J$2:$J$100, MATCH(TRUE, ISNUMBER(SEARCH(Validations!$I$2:$I$100, AT302)), 0)), "")</f>
        <v>C</v>
      </c>
      <c r="AV302" s="12">
        <f>IFERROR(__xludf.DUMMYFUNCTION("IFERROR(VALUE(REGEXEXTRACT(AS302, ""\d+"")), """")"),30.0)</f>
        <v>30</v>
      </c>
      <c r="AW302" s="12" t="str">
        <f>IFERROR(__xludf.DUMMYFUNCTION("IFERROR(TEXTJOIN("", "", TRUE, FILTER(Validations!$Q$2:$Q$100, ISNUMBER(SEARCH(Validations!$Q$2:$Q$100, AS302)))), """")"),"Cube")</f>
        <v>Cube</v>
      </c>
      <c r="AX302" s="28" t="s">
        <v>262</v>
      </c>
      <c r="AY302" s="28" t="str">
        <f>IFERROR(__xludf.DUMMYFUNCTION("TEXTJOIN("", "", TRUE, FILTER(Validations!$Y$2:$Y$100, ISNUMBER(SEARCH(Validations!$X$2:$X$100, AX302))))"),"V, S, R")</f>
        <v>V, S, R</v>
      </c>
      <c r="AZ302" s="20" t="s">
        <v>1449</v>
      </c>
      <c r="BA302" s="62"/>
      <c r="BB302" s="22"/>
      <c r="BC302" s="22"/>
      <c r="BD302" s="22"/>
      <c r="BE302" s="27"/>
      <c r="BF302" s="22"/>
      <c r="BG302" s="27"/>
      <c r="BH302" s="27"/>
      <c r="BI302" s="44"/>
      <c r="BJ302" s="29"/>
      <c r="BK302" s="29"/>
    </row>
    <row r="303" ht="15.75" customHeight="1">
      <c r="A303" s="38" t="s">
        <v>1450</v>
      </c>
      <c r="B303" s="12"/>
      <c r="C303" s="31"/>
      <c r="D303" s="31" t="s">
        <v>1451</v>
      </c>
      <c r="E303" s="31"/>
      <c r="F303" s="32" t="s">
        <v>216</v>
      </c>
      <c r="G303" s="50" t="s">
        <v>1452</v>
      </c>
      <c r="H303" s="31" t="s">
        <v>85</v>
      </c>
      <c r="I303" s="16" t="str">
        <f t="array" ref="I303">INDEX(Validations!$C$2:$C$100, MATCH(TRUE, ISNUMBER(SEARCH(Validations!$B$2:$B$100, H303)), 0))</f>
        <v>T</v>
      </c>
      <c r="J303" s="17" t="s">
        <v>1453</v>
      </c>
      <c r="K303" s="18"/>
      <c r="L303" s="17"/>
      <c r="M303" s="17"/>
      <c r="N303" s="27"/>
      <c r="O303" s="17"/>
      <c r="P303" s="21"/>
      <c r="Q303" s="21"/>
      <c r="R303" s="22"/>
      <c r="S303" s="17" t="str">
        <f>IFERROR(__xludf.DUMMYFUNCTION("IFERROR(REGEXEXTRACT(J303, ""(\d{1,3}[dD]\d{1,3})""), """")"),"")</f>
        <v/>
      </c>
      <c r="T303" s="17" t="str">
        <f>IFERROR(__xludf.DUMMYFUNCTION("IF(COUNTIF(ARRAYFORMULA(LOWER(Validations!$O$2:$O$100)), LOWER(REGEXEXTRACT(J303, ""\d{1,3}[dD]\d{1,3}\s+(\w+)"")))&gt;0, REGEXEXTRACT(J303, ""\d{1,3}[dD]\d{1,3}\s+(\w+)""), """")"),"")</f>
        <v/>
      </c>
      <c r="U303" s="17" t="str">
        <f>IFERROR(__xludf.DUMMYFUNCTION("IF(COUNTIF(ARRAYFORMULA(LOWER(Validations!$P$2:$P$100)), LOWER(REGEXEXTRACT(J303, ""\d{1,3}[dD]\d{1,3}\s+(\w+)"")))&gt;0, REGEXEXTRACT(J303, ""\d{1,3}[dD]\d{1,3}\s+(\w+)""), """")"),"")</f>
        <v/>
      </c>
      <c r="V303" s="12" t="str">
        <f>IFERROR(__xludf.DUMMYFUNCTION("TEXTJOIN("", "", TRUE, FILTER(Validations!$L$2:$L$100, ISNUMBER(SEARCH(Validations!$L$2:$L$100, J303))))"),"")</f>
        <v/>
      </c>
      <c r="W303" s="12" t="str">
        <f>IFERROR(__xludf.DUMMYFUNCTION("IFERROR(TEXTJOIN("", "", TRUE, FILTER(Validations!$M$2:$M$100, ISNUMBER(SEARCH(Validations!$M$2:$M$100 &amp; "" saving throw"", J303)))), """")"),"Intelligence")</f>
        <v>Intelligence</v>
      </c>
      <c r="X303" s="12"/>
      <c r="Y303" s="12"/>
      <c r="Z303" s="12" t="str">
        <f>IFERROR(__xludf.DUMMYFUNCTION("IFERROR(TEXTJOIN("", "", TRUE, FILTER(Validations!$N$2:$N$100, ISNUMBER(SEARCH(Validations!$N$2:$N$100 &amp; "" check"", J303)))), """")"),"")</f>
        <v/>
      </c>
      <c r="AA303" s="12" t="str">
        <f>IFERROR(__xludf.DUMMYFUNCTION("IFERROR(TEXTJOIN("", "", TRUE, FILTER(Validations!$N$2:$N$100, ISNUMBER(SEARCH(Validations!$N$2:$N$100 &amp; "" check"", W303)))), """")"),"")</f>
        <v/>
      </c>
      <c r="AB303" s="23" t="str">
        <f>IFERROR(__xludf.DUMMYFUNCTION("IFERROR(CONCATENATE(IF(ISNUMBER(SEARCH(Validations!$M$2:$M$100 &amp; "" spell save"", J303)),""Spell Save"",""""), REGEXEXTRACT(J303, ""DC (\d+)"")), """")"),"18")</f>
        <v>18</v>
      </c>
      <c r="AC303" s="24" t="b">
        <v>1</v>
      </c>
      <c r="AD303" s="24" t="b">
        <v>0</v>
      </c>
      <c r="AE303" s="36" t="s">
        <v>134</v>
      </c>
      <c r="AF303" s="25">
        <f>IFERROR(__xludf.DUMMYFUNCTION("IFERROR(VALUE(REGEXEXTRACT(AE303, ""\d+"")), 1)"),10.0)</f>
        <v>10</v>
      </c>
      <c r="AG303" s="12" t="str">
        <f>IFERROR(__xludf.DUMMYFUNCTION("IF(
  ISNUMBER(SEARCH(""Bonus Action"", AE303)),
  ""Bonus Action"",
  IF(
    ISNUMBER(SEARCH(""Reaction"", AE303)),
    ""Reaction"",
    IF(
      ISNUMBER(SEARCH(""Action"", AE303)),
      ""Action"",
      TEXTJOIN("", "", TRUE, FILTER(Validations!$S"&amp;"$2:$S$100, ISNUMBER(SEARCH(Validations!$S$2:$S$100, AE303))))
    )
  )
)"),"Minutes")</f>
        <v>Minutes</v>
      </c>
      <c r="AH303" s="22"/>
      <c r="AI303" s="27" t="s">
        <v>255</v>
      </c>
      <c r="AJ303" s="26" t="str">
        <f>IFERROR(__xludf.DUMMYFUNCTION("TEXTJOIN("", "", TRUE, FILTER(Validations!$T$2:$T$100, ISNUMBER(SEARCH(Validations!$T$2:$T$100, AI303))))"),"Permanent")</f>
        <v>Permanent</v>
      </c>
      <c r="AK303" s="26" t="str">
        <f>IFERROR(__xludf.DUMMYFUNCTION("IFERROR(VALUE(REGEXEXTRACT(AI303, ""\d+"")), """")"),"")</f>
        <v/>
      </c>
      <c r="AL303" s="26" t="str">
        <f>IFERROR(__xludf.DUMMYFUNCTION("TEXTJOIN("", "", TRUE, FILTER(Validations!$U$2:$U$100, ISNUMBER(SEARCH(Validations!$U$2:$U$100, AI303))))"),"")</f>
        <v/>
      </c>
      <c r="AM303" s="24" t="b">
        <f t="shared" si="1"/>
        <v>0</v>
      </c>
      <c r="AN303" s="24" t="b">
        <v>0</v>
      </c>
      <c r="AO303" s="22" t="s">
        <v>440</v>
      </c>
      <c r="AP303" s="12" t="str">
        <f>IFERROR(__xludf.DUMMYFUNCTION("IF(TEXTJOIN("", "", TRUE, FILTER(Validations!$Q$2:$Q$100, ISNUMBER(SEARCH(Validations!$Q$2:$Q$100, AO303)))) = """", Validations!$Q$2, TEXTJOIN("", "", TRUE, FILTER(Validations!$Q$2:$Q$100, ISNUMBER(SEARCH(Validations!$Q$2:$Q$100, AO303)))))"),"Point")</f>
        <v>Point</v>
      </c>
      <c r="AQ303" s="12">
        <f>IFERROR(__xludf.DUMMYFUNCTION("IFERROR(VALUE(REGEXEXTRACT(AO303, ""\d+"")), """")"),60.0)</f>
        <v>60</v>
      </c>
      <c r="AR303" s="12" t="str">
        <f>IFERROR(__xludf.DUMMYFUNCTION("TEXTJOIN("", "", TRUE, FILTER(Validations!$R$2:$R$100, ISNUMBER(SEARCH(Validations!$R$2:$R$100, AO303))))"),"Feet")</f>
        <v>Feet</v>
      </c>
      <c r="AS303" s="27"/>
      <c r="AT303" s="12" t="str">
        <f>IFERROR(__xludf.DUMMYFUNCTION("IFERROR(TEXTJOIN("", "", TRUE, FILTER(Validations!$I$2:$I$100, ISNUMBER(SEARCH(Validations!$I$2:$I$100, AS303)))), """")"),"")</f>
        <v/>
      </c>
      <c r="AU303" s="16" t="str">
        <f t="array" ref="AU303">IFERROR(INDEX(Validations!$J$2:$J$100, MATCH(TRUE, ISNUMBER(SEARCH(Validations!$I$2:$I$100, AT303)), 0)), "")</f>
        <v/>
      </c>
      <c r="AV303" s="12" t="str">
        <f>IFERROR(__xludf.DUMMYFUNCTION("IFERROR(VALUE(REGEXEXTRACT(AS303, ""\d+"")), """")"),"")</f>
        <v/>
      </c>
      <c r="AW303" s="12" t="str">
        <f>IFERROR(__xludf.DUMMYFUNCTION("IFERROR(TEXTJOIN("", "", TRUE, FILTER(Validations!$Q$2:$Q$100, ISNUMBER(SEARCH(Validations!$Q$2:$Q$100, AS303)))), """")"),"")</f>
        <v/>
      </c>
      <c r="AX303" s="28" t="s">
        <v>152</v>
      </c>
      <c r="AY303" s="28" t="str">
        <f>IFERROR(__xludf.DUMMYFUNCTION("TEXTJOIN("", "", TRUE, FILTER(Validations!$Y$2:$Y$100, ISNUMBER(SEARCH(Validations!$X$2:$X$100, AX303))))"),"V, S, R")</f>
        <v>V, S, R</v>
      </c>
      <c r="AZ303" s="20" t="s">
        <v>1454</v>
      </c>
      <c r="BA303" s="22"/>
      <c r="BB303" s="22"/>
      <c r="BC303" s="22"/>
      <c r="BD303" s="27"/>
      <c r="BE303" s="27"/>
      <c r="BF303" s="22" t="s">
        <v>597</v>
      </c>
      <c r="BG303" s="27"/>
      <c r="BH303" s="27"/>
      <c r="BI303" s="12" t="str">
        <f>IFERROR(__xludf.DUMMYFUNCTION("IFERROR(TEXTJOIN("", "", TRUE, FILTER(SRD!$A$2:$A$1000, EXACT(SRD!$A$2:$A$1000, J303))), """")"),"")</f>
        <v/>
      </c>
      <c r="BJ303" s="29"/>
      <c r="BK303" s="29"/>
    </row>
    <row r="304" ht="15.75" customHeight="1">
      <c r="A304" s="30" t="s">
        <v>1455</v>
      </c>
      <c r="B304" s="22"/>
      <c r="C304" s="16"/>
      <c r="D304" s="16" t="s">
        <v>739</v>
      </c>
      <c r="E304" s="16"/>
      <c r="F304" s="32" t="s">
        <v>1456</v>
      </c>
      <c r="G304" s="50" t="s">
        <v>1452</v>
      </c>
      <c r="H304" s="31" t="s">
        <v>183</v>
      </c>
      <c r="I304" s="16" t="str">
        <f t="array" ref="I304">INDEX(Validations!$C$2:$C$100, MATCH(TRUE, ISNUMBER(SEARCH(Validations!$B$2:$B$100, H304)), 0))</f>
        <v>E</v>
      </c>
      <c r="J304" s="17" t="s">
        <v>1457</v>
      </c>
      <c r="K304" s="18"/>
      <c r="L304" s="17"/>
      <c r="M304" s="17"/>
      <c r="N304" s="27"/>
      <c r="O304" s="17"/>
      <c r="P304" s="21"/>
      <c r="Q304" s="21"/>
      <c r="R304" s="22"/>
      <c r="S304" s="17" t="str">
        <f>IFERROR(__xludf.DUMMYFUNCTION("IFERROR(REGEXEXTRACT(J304, ""(\d{1,3}[dD]\d{1,3})""), """")"),"")</f>
        <v/>
      </c>
      <c r="T304" s="17" t="str">
        <f>IFERROR(__xludf.DUMMYFUNCTION("IF(COUNTIF(ARRAYFORMULA(LOWER(Validations!$O$2:$O$100)), LOWER(REGEXEXTRACT(J304, ""\d{1,3}[dD]\d{1,3}\s+(\w+)"")))&gt;0, REGEXEXTRACT(J304, ""\d{1,3}[dD]\d{1,3}\s+(\w+)""), """")"),"")</f>
        <v/>
      </c>
      <c r="U304" s="17" t="str">
        <f>IFERROR(__xludf.DUMMYFUNCTION("IF(COUNTIF(ARRAYFORMULA(LOWER(Validations!$P$2:$P$100)), LOWER(REGEXEXTRACT(J304, ""\d{1,3}[dD]\d{1,3}\s+(\w+)"")))&gt;0, REGEXEXTRACT(J304, ""\d{1,3}[dD]\d{1,3}\s+(\w+)""), """")"),"")</f>
        <v/>
      </c>
      <c r="V304" s="12" t="str">
        <f>IFERROR(__xludf.DUMMYFUNCTION("TEXTJOIN("", "", TRUE, FILTER(Validations!$L$2:$L$100, ISNUMBER(SEARCH(Validations!$L$2:$L$100, J304))))"),"Unconscious")</f>
        <v>Unconscious</v>
      </c>
      <c r="W304" s="12" t="str">
        <f>IFERROR(__xludf.DUMMYFUNCTION("IFERROR(TEXTJOIN("", "", TRUE, FILTER(Validations!$M$2:$M$100, ISNUMBER(SEARCH(Validations!$M$2:$M$100 &amp; "" saving throw"", J304)))), """")"),"")</f>
        <v/>
      </c>
      <c r="X304" s="12"/>
      <c r="Y304" s="12"/>
      <c r="Z304" s="12" t="str">
        <f>IFERROR(__xludf.DUMMYFUNCTION("IFERROR(TEXTJOIN("", "", TRUE, FILTER(Validations!$N$2:$N$100, ISNUMBER(SEARCH(Validations!$N$2:$N$100 &amp; "" check"", J304)))), """")"),"")</f>
        <v/>
      </c>
      <c r="AA304" s="12" t="str">
        <f>IFERROR(__xludf.DUMMYFUNCTION("IFERROR(TEXTJOIN("", "", TRUE, FILTER(Validations!$N$2:$N$100, ISNUMBER(SEARCH(Validations!$N$2:$N$100 &amp; "" check"", W304)))), """")"),"")</f>
        <v/>
      </c>
      <c r="AB304" s="23" t="str">
        <f>IFERROR(__xludf.DUMMYFUNCTION("IFERROR(CONCATENATE(IF(ISNUMBER(SEARCH(Validations!$M$2:$M$100 &amp; "" spell save"", J304)),""Spell Save"",""""), REGEXEXTRACT(J304, ""DC (\d+)"")), """")"),"")</f>
        <v/>
      </c>
      <c r="AC304" s="24" t="b">
        <v>0</v>
      </c>
      <c r="AD304" s="24" t="b">
        <v>0</v>
      </c>
      <c r="AE304" s="36" t="s">
        <v>69</v>
      </c>
      <c r="AF304" s="25">
        <f>IFERROR(__xludf.DUMMYFUNCTION("IFERROR(VALUE(REGEXEXTRACT(AE304, ""\d+"")), 1)"),1.0)</f>
        <v>1</v>
      </c>
      <c r="AG304" s="12" t="str">
        <f>IFERROR(__xludf.DUMMYFUNCTION("IF(
  ISNUMBER(SEARCH(""Bonus Action"", AE304)),
  ""Bonus Action"",
  IF(
    ISNUMBER(SEARCH(""Reaction"", AE304)),
    ""Reaction"",
    IF(
      ISNUMBER(SEARCH(""Action"", AE304)),
      ""Action"",
      TEXTJOIN("", "", TRUE, FILTER(Validations!$S"&amp;"$2:$S$100, ISNUMBER(SEARCH(Validations!$S$2:$S$100, AE304))))
    )
  )
)"),"Action")</f>
        <v>Action</v>
      </c>
      <c r="AH304" s="36"/>
      <c r="AI304" s="20" t="s">
        <v>134</v>
      </c>
      <c r="AJ304" s="26" t="str">
        <f>IFERROR(__xludf.DUMMYFUNCTION("TEXTJOIN("", "", TRUE, FILTER(Validations!$T$2:$T$100, ISNUMBER(SEARCH(Validations!$T$2:$T$100, AI304))))"),"")</f>
        <v/>
      </c>
      <c r="AK304" s="26">
        <f>IFERROR(__xludf.DUMMYFUNCTION("IFERROR(VALUE(REGEXEXTRACT(AI304, ""\d+"")), """")"),10.0)</f>
        <v>10</v>
      </c>
      <c r="AL304" s="26" t="str">
        <f>IFERROR(__xludf.DUMMYFUNCTION("TEXTJOIN("", "", TRUE, FILTER(Validations!$U$2:$U$100, ISNUMBER(SEARCH(Validations!$U$2:$U$100, AI304))))"),"Minutes")</f>
        <v>Minutes</v>
      </c>
      <c r="AM304" s="24" t="b">
        <f t="shared" si="1"/>
        <v>0</v>
      </c>
      <c r="AN304" s="24" t="b">
        <v>0</v>
      </c>
      <c r="AO304" s="22" t="s">
        <v>71</v>
      </c>
      <c r="AP304" s="12" t="str">
        <f>IFERROR(__xludf.DUMMYFUNCTION("IF(TEXTJOIN("", "", TRUE, FILTER(Validations!$Q$2:$Q$100, ISNUMBER(SEARCH(Validations!$Q$2:$Q$100, AO304)))) = """", Validations!$Q$2, TEXTJOIN("", "", TRUE, FILTER(Validations!$Q$2:$Q$100, ISNUMBER(SEARCH(Validations!$Q$2:$Q$100, AO304)))))"),"Point")</f>
        <v>Point</v>
      </c>
      <c r="AQ304" s="12" t="str">
        <f>IFERROR(__xludf.DUMMYFUNCTION("IFERROR(VALUE(REGEXEXTRACT(AO304, ""\d+"")), """")"),"")</f>
        <v/>
      </c>
      <c r="AR304" s="12" t="str">
        <f>IFERROR(__xludf.DUMMYFUNCTION("TEXTJOIN("", "", TRUE, FILTER(Validations!$R$2:$R$100, ISNUMBER(SEARCH(Validations!$R$2:$R$100, AO304))))"),"Touch")</f>
        <v>Touch</v>
      </c>
      <c r="AS304" s="27"/>
      <c r="AT304" s="12" t="str">
        <f>IFERROR(__xludf.DUMMYFUNCTION("IFERROR(TEXTJOIN("", "", TRUE, FILTER(Validations!$I$2:$I$100, ISNUMBER(SEARCH(Validations!$I$2:$I$100, AS304)))), """")"),"")</f>
        <v/>
      </c>
      <c r="AU304" s="16" t="str">
        <f t="array" ref="AU304">IFERROR(INDEX(Validations!$J$2:$J$100, MATCH(TRUE, ISNUMBER(SEARCH(Validations!$I$2:$I$100, AT304)), 0)), "")</f>
        <v/>
      </c>
      <c r="AV304" s="12" t="str">
        <f>IFERROR(__xludf.DUMMYFUNCTION("IFERROR(VALUE(REGEXEXTRACT(AS304, ""\d+"")), """")"),"")</f>
        <v/>
      </c>
      <c r="AW304" s="12" t="str">
        <f>IFERROR(__xludf.DUMMYFUNCTION("IFERROR(TEXTJOIN("", "", TRUE, FILTER(Validations!$Q$2:$Q$100, ISNUMBER(SEARCH(Validations!$Q$2:$Q$100, AS304)))), """")"),"")</f>
        <v/>
      </c>
      <c r="AX304" s="28" t="s">
        <v>152</v>
      </c>
      <c r="AY304" s="28" t="str">
        <f>IFERROR(__xludf.DUMMYFUNCTION("TEXTJOIN("", "", TRUE, FILTER(Validations!$Y$2:$Y$100, ISNUMBER(SEARCH(Validations!$X$2:$X$100, AX304))))"),"V, S, R")</f>
        <v>V, S, R</v>
      </c>
      <c r="AZ304" s="20" t="s">
        <v>1458</v>
      </c>
      <c r="BA304" s="22"/>
      <c r="BB304" s="22"/>
      <c r="BC304" s="22"/>
      <c r="BD304" s="22"/>
      <c r="BE304" s="27"/>
      <c r="BF304" s="22"/>
      <c r="BG304" s="27"/>
      <c r="BH304" s="27"/>
      <c r="BI304" s="12" t="str">
        <f>IFERROR(__xludf.DUMMYFUNCTION("IFERROR(TEXTJOIN("", "", TRUE, FILTER(SRD!$A$2:$A$1000, EXACT(SRD!$A$2:$A$1000, J304))), """")"),"")</f>
        <v/>
      </c>
      <c r="BJ304" s="29"/>
      <c r="BK304" s="29"/>
    </row>
    <row r="305" ht="15.75" customHeight="1">
      <c r="A305" s="30" t="s">
        <v>1459</v>
      </c>
      <c r="B305" s="22"/>
      <c r="C305" s="31"/>
      <c r="D305" s="31" t="s">
        <v>74</v>
      </c>
      <c r="E305" s="31"/>
      <c r="F305" s="40" t="s">
        <v>515</v>
      </c>
      <c r="G305" s="50" t="s">
        <v>1452</v>
      </c>
      <c r="H305" s="31" t="s">
        <v>85</v>
      </c>
      <c r="I305" s="16" t="str">
        <f t="array" ref="I305">INDEX(Validations!$C$2:$C$100, MATCH(TRUE, ISNUMBER(SEARCH(Validations!$B$2:$B$100, H305)), 0))</f>
        <v>T</v>
      </c>
      <c r="J305" s="17" t="s">
        <v>1460</v>
      </c>
      <c r="K305" s="18"/>
      <c r="L305" s="17"/>
      <c r="M305" s="17"/>
      <c r="N305" s="27"/>
      <c r="O305" s="17"/>
      <c r="P305" s="21"/>
      <c r="Q305" s="21"/>
      <c r="R305" s="22"/>
      <c r="S305" s="17" t="str">
        <f>IFERROR(__xludf.DUMMYFUNCTION("IFERROR(REGEXEXTRACT(J305, ""(\d{1,3}[dD]\d{1,3})""), """")"),"")</f>
        <v/>
      </c>
      <c r="T305" s="17" t="str">
        <f>IFERROR(__xludf.DUMMYFUNCTION("IF(COUNTIF(ARRAYFORMULA(LOWER(Validations!$O$2:$O$100)), LOWER(REGEXEXTRACT(J305, ""\d{1,3}[dD]\d{1,3}\s+(\w+)"")))&gt;0, REGEXEXTRACT(J305, ""\d{1,3}[dD]\d{1,3}\s+(\w+)""), """")"),"")</f>
        <v/>
      </c>
      <c r="U305" s="17" t="str">
        <f>IFERROR(__xludf.DUMMYFUNCTION("IF(COUNTIF(ARRAYFORMULA(LOWER(Validations!$P$2:$P$100)), LOWER(REGEXEXTRACT(J305, ""\d{1,3}[dD]\d{1,3}\s+(\w+)"")))&gt;0, REGEXEXTRACT(J305, ""\d{1,3}[dD]\d{1,3}\s+(\w+)""), """")"),"")</f>
        <v/>
      </c>
      <c r="V305" s="12" t="str">
        <f>IFERROR(__xludf.DUMMYFUNCTION("TEXTJOIN("", "", TRUE, FILTER(Validations!$L$2:$L$100, ISNUMBER(SEARCH(Validations!$L$2:$L$100, J305))))"),"")</f>
        <v/>
      </c>
      <c r="W305" s="12" t="str">
        <f>IFERROR(__xludf.DUMMYFUNCTION("IFERROR(TEXTJOIN("", "", TRUE, FILTER(Validations!$M$2:$M$100, ISNUMBER(SEARCH(Validations!$M$2:$M$100 &amp; "" saving throw"", J305)))), """")"),"")</f>
        <v/>
      </c>
      <c r="X305" s="12"/>
      <c r="Y305" s="12"/>
      <c r="Z305" s="12" t="str">
        <f>IFERROR(__xludf.DUMMYFUNCTION("IFERROR(TEXTJOIN("", "", TRUE, FILTER(Validations!$N$2:$N$100, ISNUMBER(SEARCH(Validations!$N$2:$N$100 &amp; "" check"", J305)))), """")"),"")</f>
        <v/>
      </c>
      <c r="AA305" s="12" t="str">
        <f>IFERROR(__xludf.DUMMYFUNCTION("IFERROR(TEXTJOIN("", "", TRUE, FILTER(Validations!$N$2:$N$100, ISNUMBER(SEARCH(Validations!$N$2:$N$100 &amp; "" check"", W305)))), """")"),"")</f>
        <v/>
      </c>
      <c r="AB305" s="23" t="str">
        <f>IFERROR(__xludf.DUMMYFUNCTION("IFERROR(CONCATENATE(IF(ISNUMBER(SEARCH(Validations!$M$2:$M$100 &amp; "" spell save"", J305)),""Spell Save"",""""), REGEXEXTRACT(J305, ""DC (\d+)"")), """")"),"")</f>
        <v/>
      </c>
      <c r="AC305" s="24" t="b">
        <v>0</v>
      </c>
      <c r="AD305" s="24" t="b">
        <v>0</v>
      </c>
      <c r="AE305" s="36" t="s">
        <v>69</v>
      </c>
      <c r="AF305" s="25">
        <f>IFERROR(__xludf.DUMMYFUNCTION("IFERROR(VALUE(REGEXEXTRACT(AE305, ""\d+"")), 1)"),1.0)</f>
        <v>1</v>
      </c>
      <c r="AG305" s="12" t="str">
        <f>IFERROR(__xludf.DUMMYFUNCTION("IF(
  ISNUMBER(SEARCH(""Bonus Action"", AE305)),
  ""Bonus Action"",
  IF(
    ISNUMBER(SEARCH(""Reaction"", AE305)),
    ""Reaction"",
    IF(
      ISNUMBER(SEARCH(""Action"", AE305)),
      ""Action"",
      TEXTJOIN("", "", TRUE, FILTER(Validations!$S"&amp;"$2:$S$100, ISNUMBER(SEARCH(Validations!$S$2:$S$100, AE305))))
    )
  )
)"),"Action")</f>
        <v>Action</v>
      </c>
      <c r="AH305" s="36"/>
      <c r="AI305" s="20" t="s">
        <v>92</v>
      </c>
      <c r="AJ305" s="26" t="str">
        <f>IFERROR(__xludf.DUMMYFUNCTION("TEXTJOIN("", "", TRUE, FILTER(Validations!$T$2:$T$100, ISNUMBER(SEARCH(Validations!$T$2:$T$100, AI305))))"),"")</f>
        <v/>
      </c>
      <c r="AK305" s="26">
        <f>IFERROR(__xludf.DUMMYFUNCTION("IFERROR(VALUE(REGEXEXTRACT(AI305, ""\d+"")), """")"),1.0)</f>
        <v>1</v>
      </c>
      <c r="AL305" s="26" t="str">
        <f>IFERROR(__xludf.DUMMYFUNCTION("TEXTJOIN("", "", TRUE, FILTER(Validations!$U$2:$U$100, ISNUMBER(SEARCH(Validations!$U$2:$U$100, AI305))))"),"Minutes")</f>
        <v>Minutes</v>
      </c>
      <c r="AM305" s="24" t="b">
        <f t="shared" si="1"/>
        <v>0</v>
      </c>
      <c r="AN305" s="24" t="b">
        <v>0</v>
      </c>
      <c r="AO305" s="22" t="s">
        <v>440</v>
      </c>
      <c r="AP305" s="12" t="str">
        <f>IFERROR(__xludf.DUMMYFUNCTION("IF(TEXTJOIN("", "", TRUE, FILTER(Validations!$Q$2:$Q$100, ISNUMBER(SEARCH(Validations!$Q$2:$Q$100, AO305)))) = """", Validations!$Q$2, TEXTJOIN("", "", TRUE, FILTER(Validations!$Q$2:$Q$100, ISNUMBER(SEARCH(Validations!$Q$2:$Q$100, AO305)))))"),"Point")</f>
        <v>Point</v>
      </c>
      <c r="AQ305" s="12">
        <f>IFERROR(__xludf.DUMMYFUNCTION("IFERROR(VALUE(REGEXEXTRACT(AO305, ""\d+"")), """")"),60.0)</f>
        <v>60</v>
      </c>
      <c r="AR305" s="12" t="str">
        <f>IFERROR(__xludf.DUMMYFUNCTION("TEXTJOIN("", "", TRUE, FILTER(Validations!$R$2:$R$100, ISNUMBER(SEARCH(Validations!$R$2:$R$100, AO305))))"),"Feet")</f>
        <v>Feet</v>
      </c>
      <c r="AS305" s="27"/>
      <c r="AT305" s="12" t="str">
        <f>IFERROR(__xludf.DUMMYFUNCTION("IFERROR(TEXTJOIN("", "", TRUE, FILTER(Validations!$I$2:$I$100, ISNUMBER(SEARCH(Validations!$I$2:$I$100, AS305)))), """")"),"")</f>
        <v/>
      </c>
      <c r="AU305" s="16" t="str">
        <f t="array" ref="AU305">IFERROR(INDEX(Validations!$J$2:$J$100, MATCH(TRUE, ISNUMBER(SEARCH(Validations!$I$2:$I$100, AT305)), 0)), "")</f>
        <v/>
      </c>
      <c r="AV305" s="12" t="str">
        <f>IFERROR(__xludf.DUMMYFUNCTION("IFERROR(VALUE(REGEXEXTRACT(AS305, ""\d+"")), """")"),"")</f>
        <v/>
      </c>
      <c r="AW305" s="12" t="str">
        <f>IFERROR(__xludf.DUMMYFUNCTION("IFERROR(TEXTJOIN("", "", TRUE, FILTER(Validations!$Q$2:$Q$100, ISNUMBER(SEARCH(Validations!$Q$2:$Q$100, AS305)))), """")"),"")</f>
        <v/>
      </c>
      <c r="AX305" s="28" t="s">
        <v>152</v>
      </c>
      <c r="AY305" s="28" t="str">
        <f>IFERROR(__xludf.DUMMYFUNCTION("TEXTJOIN("", "", TRUE, FILTER(Validations!$Y$2:$Y$100, ISNUMBER(SEARCH(Validations!$X$2:$X$100, AX305))))"),"V, S, R")</f>
        <v>V, S, R</v>
      </c>
      <c r="AZ305" s="20" t="s">
        <v>1461</v>
      </c>
      <c r="BA305" s="22"/>
      <c r="BB305" s="22"/>
      <c r="BC305" s="22"/>
      <c r="BD305" s="36" t="s">
        <v>1462</v>
      </c>
      <c r="BE305" s="27"/>
      <c r="BF305" s="22"/>
      <c r="BG305" s="27"/>
      <c r="BH305" s="20" t="s">
        <v>1463</v>
      </c>
      <c r="BI305" s="12" t="str">
        <f>IFERROR(__xludf.DUMMYFUNCTION("IFERROR(TEXTJOIN("", "", TRUE, FILTER(SRD!$A$2:$A$1000, EXACT(SRD!$A$2:$A$1000, J305))), """")"),"")</f>
        <v/>
      </c>
      <c r="BJ305" s="29"/>
      <c r="BK305" s="29"/>
    </row>
    <row r="306" ht="15.75" customHeight="1">
      <c r="A306" s="38" t="s">
        <v>1464</v>
      </c>
      <c r="B306" s="12"/>
      <c r="C306" s="16"/>
      <c r="D306" s="16" t="s">
        <v>753</v>
      </c>
      <c r="E306" s="16"/>
      <c r="F306" s="32" t="s">
        <v>980</v>
      </c>
      <c r="G306" s="50" t="s">
        <v>1452</v>
      </c>
      <c r="H306" s="31" t="s">
        <v>85</v>
      </c>
      <c r="I306" s="16" t="str">
        <f t="array" ref="I306">INDEX(Validations!$C$2:$C$100, MATCH(TRUE, ISNUMBER(SEARCH(Validations!$B$2:$B$100, H306)), 0))</f>
        <v>T</v>
      </c>
      <c r="J306" s="17" t="s">
        <v>1465</v>
      </c>
      <c r="K306" s="18"/>
      <c r="L306" s="17"/>
      <c r="M306" s="17"/>
      <c r="N306" s="27"/>
      <c r="O306" s="17"/>
      <c r="P306" s="21"/>
      <c r="Q306" s="21"/>
      <c r="R306" s="22"/>
      <c r="S306" s="17" t="str">
        <f>IFERROR(__xludf.DUMMYFUNCTION("IFERROR(REGEXEXTRACT(J306, ""(\d{1,3}[dD]\d{1,3})""), """")"),"")</f>
        <v/>
      </c>
      <c r="T306" s="17" t="str">
        <f>IFERROR(__xludf.DUMMYFUNCTION("IF(COUNTIF(ARRAYFORMULA(LOWER(Validations!$O$2:$O$100)), LOWER(REGEXEXTRACT(J306, ""\d{1,3}[dD]\d{1,3}\s+(\w+)"")))&gt;0, REGEXEXTRACT(J306, ""\d{1,3}[dD]\d{1,3}\s+(\w+)""), """")"),"")</f>
        <v/>
      </c>
      <c r="U306" s="17" t="str">
        <f>IFERROR(__xludf.DUMMYFUNCTION("IF(COUNTIF(ARRAYFORMULA(LOWER(Validations!$P$2:$P$100)), LOWER(REGEXEXTRACT(J306, ""\d{1,3}[dD]\d{1,3}\s+(\w+)"")))&gt;0, REGEXEXTRACT(J306, ""\d{1,3}[dD]\d{1,3}\s+(\w+)""), """")"),"")</f>
        <v/>
      </c>
      <c r="V306" s="12" t="str">
        <f>IFERROR(__xludf.DUMMYFUNCTION("TEXTJOIN("", "", TRUE, FILTER(Validations!$L$2:$L$100, ISNUMBER(SEARCH(Validations!$L$2:$L$100, J306))))"),"")</f>
        <v/>
      </c>
      <c r="W306" s="12" t="str">
        <f>IFERROR(__xludf.DUMMYFUNCTION("IFERROR(TEXTJOIN("", "", TRUE, FILTER(Validations!$M$2:$M$100, ISNUMBER(SEARCH(Validations!$M$2:$M$100 &amp; "" saving throw"", J306)))), """")"),"")</f>
        <v/>
      </c>
      <c r="X306" s="12"/>
      <c r="Y306" s="12"/>
      <c r="Z306" s="12" t="str">
        <f>IFERROR(__xludf.DUMMYFUNCTION("IFERROR(TEXTJOIN("", "", TRUE, FILTER(Validations!$N$2:$N$100, ISNUMBER(SEARCH(Validations!$N$2:$N$100 &amp; "" check"", J306)))), """")"),"")</f>
        <v/>
      </c>
      <c r="AA306" s="12" t="str">
        <f>IFERROR(__xludf.DUMMYFUNCTION("IFERROR(TEXTJOIN("", "", TRUE, FILTER(Validations!$N$2:$N$100, ISNUMBER(SEARCH(Validations!$N$2:$N$100 &amp; "" check"", W306)))), """")"),"")</f>
        <v/>
      </c>
      <c r="AB306" s="23" t="str">
        <f>IFERROR(__xludf.DUMMYFUNCTION("IFERROR(CONCATENATE(IF(ISNUMBER(SEARCH(Validations!$M$2:$M$100 &amp; "" spell save"", J306)),""Spell Save"",""""), REGEXEXTRACT(J306, ""DC (\d+)"")), """")"),"")</f>
        <v/>
      </c>
      <c r="AC306" s="24" t="b">
        <v>1</v>
      </c>
      <c r="AD306" s="24" t="b">
        <v>0</v>
      </c>
      <c r="AE306" s="36" t="s">
        <v>134</v>
      </c>
      <c r="AF306" s="25">
        <f>IFERROR(__xludf.DUMMYFUNCTION("IFERROR(VALUE(REGEXEXTRACT(AE306, ""\d+"")), 1)"),10.0)</f>
        <v>10</v>
      </c>
      <c r="AG306" s="12" t="str">
        <f>IFERROR(__xludf.DUMMYFUNCTION("IF(
  ISNUMBER(SEARCH(""Bonus Action"", AE306)),
  ""Bonus Action"",
  IF(
    ISNUMBER(SEARCH(""Reaction"", AE306)),
    ""Reaction"",
    IF(
      ISNUMBER(SEARCH(""Action"", AE306)),
      ""Action"",
      TEXTJOIN("", "", TRUE, FILTER(Validations!$S"&amp;"$2:$S$100, ISNUMBER(SEARCH(Validations!$S$2:$S$100, AE306))))
    )
  )
)"),"Minutes")</f>
        <v>Minutes</v>
      </c>
      <c r="AH306" s="22"/>
      <c r="AI306" s="27" t="s">
        <v>1466</v>
      </c>
      <c r="AJ306" s="26" t="str">
        <f>IFERROR(__xludf.DUMMYFUNCTION("TEXTJOIN("", "", TRUE, FILTER(Validations!$T$2:$T$100, ISNUMBER(SEARCH(Validations!$T$2:$T$100, AI306))))"),"")</f>
        <v/>
      </c>
      <c r="AK306" s="26" t="str">
        <f>IFERROR(__xludf.DUMMYFUNCTION("IFERROR(VALUE(REGEXEXTRACT(AI306, ""\d+"")), """")"),"")</f>
        <v/>
      </c>
      <c r="AL306" s="26" t="str">
        <f>IFERROR(__xludf.DUMMYFUNCTION("TEXTJOIN("", "", TRUE, FILTER(Validations!$U$2:$U$100, ISNUMBER(SEARCH(Validations!$U$2:$U$100, AI306))))"),"")</f>
        <v/>
      </c>
      <c r="AM306" s="24" t="b">
        <f t="shared" si="1"/>
        <v>0</v>
      </c>
      <c r="AN306" s="24" t="b">
        <v>0</v>
      </c>
      <c r="AO306" s="22" t="s">
        <v>78</v>
      </c>
      <c r="AP306" s="12" t="str">
        <f>IFERROR(__xludf.DUMMYFUNCTION("IF(TEXTJOIN("", "", TRUE, FILTER(Validations!$Q$2:$Q$100, ISNUMBER(SEARCH(Validations!$Q$2:$Q$100, AO306)))) = """", Validations!$Q$2, TEXTJOIN("", "", TRUE, FILTER(Validations!$Q$2:$Q$100, ISNUMBER(SEARCH(Validations!$Q$2:$Q$100, AO306)))))"),"Point")</f>
        <v>Point</v>
      </c>
      <c r="AQ306" s="12" t="str">
        <f>IFERROR(__xludf.DUMMYFUNCTION("IFERROR(VALUE(REGEXEXTRACT(AO306, ""\d+"")), """")"),"")</f>
        <v/>
      </c>
      <c r="AR306" s="12" t="str">
        <f>IFERROR(__xludf.DUMMYFUNCTION("TEXTJOIN("", "", TRUE, FILTER(Validations!$R$2:$R$100, ISNUMBER(SEARCH(Validations!$R$2:$R$100, AO306))))"),"Self")</f>
        <v>Self</v>
      </c>
      <c r="AS306" s="27"/>
      <c r="AT306" s="12" t="str">
        <f>IFERROR(__xludf.DUMMYFUNCTION("IFERROR(TEXTJOIN("", "", TRUE, FILTER(Validations!$I$2:$I$100, ISNUMBER(SEARCH(Validations!$I$2:$I$100, AS306)))), """")"),"")</f>
        <v/>
      </c>
      <c r="AU306" s="16" t="str">
        <f t="array" ref="AU306">IFERROR(INDEX(Validations!$J$2:$J$100, MATCH(TRUE, ISNUMBER(SEARCH(Validations!$I$2:$I$100, AT306)), 0)), "")</f>
        <v/>
      </c>
      <c r="AV306" s="12" t="str">
        <f>IFERROR(__xludf.DUMMYFUNCTION("IFERROR(VALUE(REGEXEXTRACT(AS306, ""\d+"")), """")"),"")</f>
        <v/>
      </c>
      <c r="AW306" s="12" t="str">
        <f>IFERROR(__xludf.DUMMYFUNCTION("IFERROR(TEXTJOIN("", "", TRUE, FILTER(Validations!$Q$2:$Q$100, ISNUMBER(SEARCH(Validations!$Q$2:$Q$100, AS306)))), """")"),"")</f>
        <v/>
      </c>
      <c r="AX306" s="28" t="s">
        <v>152</v>
      </c>
      <c r="AY306" s="28" t="str">
        <f>IFERROR(__xludf.DUMMYFUNCTION("TEXTJOIN("", "", TRUE, FILTER(Validations!$Y$2:$Y$100, ISNUMBER(SEARCH(Validations!$X$2:$X$100, AX306))))"),"V, S, R")</f>
        <v>V, S, R</v>
      </c>
      <c r="AZ306" s="20" t="s">
        <v>1467</v>
      </c>
      <c r="BA306" s="22"/>
      <c r="BB306" s="22"/>
      <c r="BC306" s="22"/>
      <c r="BD306" s="22"/>
      <c r="BE306" s="27"/>
      <c r="BF306" s="22"/>
      <c r="BG306" s="27"/>
      <c r="BH306" s="27"/>
      <c r="BI306" s="12" t="str">
        <f>IFERROR(__xludf.DUMMYFUNCTION("IFERROR(TEXTJOIN("", "", TRUE, FILTER(SRD!$A$2:$A$1000, EXACT(SRD!$A$2:$A$1000, J306))), """")"),"")</f>
        <v/>
      </c>
      <c r="BJ306" s="29"/>
      <c r="BK306" s="29"/>
    </row>
    <row r="307" ht="15.75" customHeight="1">
      <c r="A307" s="30" t="s">
        <v>1468</v>
      </c>
      <c r="B307" s="22"/>
      <c r="C307" s="16"/>
      <c r="D307" s="16" t="s">
        <v>538</v>
      </c>
      <c r="E307" s="16"/>
      <c r="F307" s="32" t="s">
        <v>1469</v>
      </c>
      <c r="G307" s="50" t="s">
        <v>1452</v>
      </c>
      <c r="H307" s="16" t="s">
        <v>76</v>
      </c>
      <c r="I307" s="16" t="str">
        <f t="array" ref="I307">INDEX(Validations!$C$2:$C$100, MATCH(TRUE, ISNUMBER(SEARCH(Validations!$B$2:$B$100, H307)), 0))</f>
        <v>V</v>
      </c>
      <c r="J307" s="17" t="s">
        <v>1470</v>
      </c>
      <c r="K307" s="18"/>
      <c r="L307" s="17"/>
      <c r="M307" s="17"/>
      <c r="N307" s="27"/>
      <c r="O307" s="17" t="s">
        <v>1471</v>
      </c>
      <c r="P307" s="21"/>
      <c r="Q307" s="21"/>
      <c r="R307" s="22"/>
      <c r="S307" s="17" t="str">
        <f>IFERROR(__xludf.DUMMYFUNCTION("IFERROR(REGEXEXTRACT(J307, ""(\d{1,3}[dD]\d{1,3})""), """")"),"6d10")</f>
        <v>6d10</v>
      </c>
      <c r="T307" s="17" t="str">
        <f>IFERROR(__xludf.DUMMYFUNCTION("IF(COUNTIF(ARRAYFORMULA(LOWER(Validations!$O$2:$O$100)), LOWER(REGEXEXTRACT(J307, ""\d{1,3}[dD]\d{1,3}\s+(\w+)"")))&gt;0, REGEXEXTRACT(J307, ""\d{1,3}[dD]\d{1,3}\s+(\w+)""), """")"),"cognitive")</f>
        <v>cognitive</v>
      </c>
      <c r="U307" s="17" t="str">
        <f>IFERROR(__xludf.DUMMYFUNCTION("IF(COUNTIF(ARRAYFORMULA(LOWER(Validations!$P$2:$P$100)), LOWER(REGEXEXTRACT(J307, ""\d{1,3}[dD]\d{1,3}\s+(\w+)"")))&gt;0, REGEXEXTRACT(J307, ""\d{1,3}[dD]\d{1,3}\s+(\w+)""), """")"),"")</f>
        <v/>
      </c>
      <c r="V307" s="12" t="str">
        <f>IFERROR(__xludf.DUMMYFUNCTION("TEXTJOIN("", "", TRUE, FILTER(Validations!$L$2:$L$100, ISNUMBER(SEARCH(Validations!$L$2:$L$100, J307))))"),"")</f>
        <v/>
      </c>
      <c r="W307" s="12" t="str">
        <f>IFERROR(__xludf.DUMMYFUNCTION("IFERROR(TEXTJOIN("", "", TRUE, FILTER(Validations!$M$2:$M$100, ISNUMBER(SEARCH(Validations!$M$2:$M$100 &amp; "" saving throw"", J307)))), """")"),"Intelligence")</f>
        <v>Intelligence</v>
      </c>
      <c r="X307" s="12"/>
      <c r="Y307" s="12"/>
      <c r="Z307" s="12" t="str">
        <f>IFERROR(__xludf.DUMMYFUNCTION("IFERROR(TEXTJOIN("", "", TRUE, FILTER(Validations!$N$2:$N$100, ISNUMBER(SEARCH(Validations!$N$2:$N$100 &amp; "" check"", J307)))), """")"),"")</f>
        <v/>
      </c>
      <c r="AA307" s="12" t="str">
        <f>IFERROR(__xludf.DUMMYFUNCTION("IFERROR(TEXTJOIN("", "", TRUE, FILTER(Validations!$N$2:$N$100, ISNUMBER(SEARCH(Validations!$N$2:$N$100 &amp; "" check"", W307)))), """")"),"")</f>
        <v/>
      </c>
      <c r="AB307" s="23" t="str">
        <f>IFERROR(__xludf.DUMMYFUNCTION("IFERROR(CONCATENATE(IF(ISNUMBER(SEARCH(Validations!$M$2:$M$100 &amp; "" spell save"", J307)),""Spell Save"",""""), REGEXEXTRACT(J307, ""DC (\d+)"")), """")"),"")</f>
        <v/>
      </c>
      <c r="AC307" s="24" t="b">
        <v>0</v>
      </c>
      <c r="AD307" s="24" t="b">
        <v>0</v>
      </c>
      <c r="AE307" s="36" t="s">
        <v>69</v>
      </c>
      <c r="AF307" s="25">
        <f>IFERROR(__xludf.DUMMYFUNCTION("IFERROR(VALUE(REGEXEXTRACT(AE307, ""\d+"")), 1)"),1.0)</f>
        <v>1</v>
      </c>
      <c r="AG307" s="12" t="str">
        <f>IFERROR(__xludf.DUMMYFUNCTION("IF(
  ISNUMBER(SEARCH(""Bonus Action"", AE307)),
  ""Bonus Action"",
  IF(
    ISNUMBER(SEARCH(""Reaction"", AE307)),
    ""Reaction"",
    IF(
      ISNUMBER(SEARCH(""Action"", AE307)),
      ""Action"",
      TEXTJOIN("", "", TRUE, FILTER(Validations!$S"&amp;"$2:$S$100, ISNUMBER(SEARCH(Validations!$S$2:$S$100, AE307))))
    )
  )
)"),"Action")</f>
        <v>Action</v>
      </c>
      <c r="AH307" s="36"/>
      <c r="AI307" s="27" t="s">
        <v>70</v>
      </c>
      <c r="AJ307" s="26" t="str">
        <f>IFERROR(__xludf.DUMMYFUNCTION("TEXTJOIN("", "", TRUE, FILTER(Validations!$T$2:$T$100, ISNUMBER(SEARCH(Validations!$T$2:$T$100, AI307))))"),"Instantaneous")</f>
        <v>Instantaneous</v>
      </c>
      <c r="AK307" s="26" t="str">
        <f>IFERROR(__xludf.DUMMYFUNCTION("IFERROR(VALUE(REGEXEXTRACT(AI307, ""\d+"")), """")"),"")</f>
        <v/>
      </c>
      <c r="AL307" s="26" t="str">
        <f>IFERROR(__xludf.DUMMYFUNCTION("TEXTJOIN("", "", TRUE, FILTER(Validations!$U$2:$U$100, ISNUMBER(SEARCH(Validations!$U$2:$U$100, AI307))))"),"")</f>
        <v/>
      </c>
      <c r="AM307" s="24" t="b">
        <f t="shared" si="1"/>
        <v>0</v>
      </c>
      <c r="AN307" s="24" t="b">
        <v>0</v>
      </c>
      <c r="AO307" s="22" t="s">
        <v>112</v>
      </c>
      <c r="AP307" s="12" t="str">
        <f>IFERROR(__xludf.DUMMYFUNCTION("IF(TEXTJOIN("", "", TRUE, FILTER(Validations!$Q$2:$Q$100, ISNUMBER(SEARCH(Validations!$Q$2:$Q$100, AO307)))) = """", Validations!$Q$2, TEXTJOIN("", "", TRUE, FILTER(Validations!$Q$2:$Q$100, ISNUMBER(SEARCH(Validations!$Q$2:$Q$100, AO307)))))"),"Point")</f>
        <v>Point</v>
      </c>
      <c r="AQ307" s="12">
        <f>IFERROR(__xludf.DUMMYFUNCTION("IFERROR(VALUE(REGEXEXTRACT(AO307, ""\d+"")), """")"),30.0)</f>
        <v>30</v>
      </c>
      <c r="AR307" s="12" t="str">
        <f>IFERROR(__xludf.DUMMYFUNCTION("TEXTJOIN("", "", TRUE, FILTER(Validations!$R$2:$R$100, ISNUMBER(SEARCH(Validations!$R$2:$R$100, AO307))))"),"Feet")</f>
        <v>Feet</v>
      </c>
      <c r="AS307" s="27"/>
      <c r="AT307" s="12" t="str">
        <f>IFERROR(__xludf.DUMMYFUNCTION("IFERROR(TEXTJOIN("", "", TRUE, FILTER(Validations!$I$2:$I$100, ISNUMBER(SEARCH(Validations!$I$2:$I$100, AS307)))), """")"),"")</f>
        <v/>
      </c>
      <c r="AU307" s="16" t="str">
        <f t="array" ref="AU307">IFERROR(INDEX(Validations!$J$2:$J$100, MATCH(TRUE, ISNUMBER(SEARCH(Validations!$I$2:$I$100, AT307)), 0)), "")</f>
        <v/>
      </c>
      <c r="AV307" s="12" t="str">
        <f>IFERROR(__xludf.DUMMYFUNCTION("IFERROR(VALUE(REGEXEXTRACT(AS307, ""\d+"")), """")"),"")</f>
        <v/>
      </c>
      <c r="AW307" s="12" t="str">
        <f>IFERROR(__xludf.DUMMYFUNCTION("IFERROR(TEXTJOIN("", "", TRUE, FILTER(Validations!$Q$2:$Q$100, ISNUMBER(SEARCH(Validations!$Q$2:$Q$100, AS307)))), """")"),"")</f>
        <v/>
      </c>
      <c r="AX307" s="28" t="s">
        <v>152</v>
      </c>
      <c r="AY307" s="28" t="str">
        <f>IFERROR(__xludf.DUMMYFUNCTION("TEXTJOIN("", "", TRUE, FILTER(Validations!$Y$2:$Y$100, ISNUMBER(SEARCH(Validations!$X$2:$X$100, AX307))))"),"V, S, R")</f>
        <v>V, S, R</v>
      </c>
      <c r="AZ307" s="20" t="s">
        <v>1472</v>
      </c>
      <c r="BA307" s="22"/>
      <c r="BB307" s="22"/>
      <c r="BC307" s="22"/>
      <c r="BD307" s="22"/>
      <c r="BE307" s="27"/>
      <c r="BF307" s="22"/>
      <c r="BG307" s="27"/>
      <c r="BH307" s="27"/>
      <c r="BI307" s="12" t="str">
        <f>IFERROR(__xludf.DUMMYFUNCTION("IFERROR(TEXTJOIN("", "", TRUE, FILTER(SRD!$A$2:$A$1000, EXACT(SRD!$A$2:$A$1000, J307))), """")"),"")</f>
        <v/>
      </c>
      <c r="BJ307" s="29"/>
      <c r="BK307" s="29"/>
    </row>
    <row r="308" ht="15.75" customHeight="1">
      <c r="A308" s="30" t="s">
        <v>1473</v>
      </c>
      <c r="B308" s="22"/>
      <c r="C308" s="31"/>
      <c r="D308" s="31" t="s">
        <v>74</v>
      </c>
      <c r="E308" s="31"/>
      <c r="F308" s="32" t="s">
        <v>97</v>
      </c>
      <c r="G308" s="50" t="s">
        <v>1452</v>
      </c>
      <c r="H308" s="31" t="s">
        <v>183</v>
      </c>
      <c r="I308" s="16" t="str">
        <f t="array" ref="I308">INDEX(Validations!$C$2:$C$100, MATCH(TRUE, ISNUMBER(SEARCH(Validations!$B$2:$B$100, H308)), 0))</f>
        <v>E</v>
      </c>
      <c r="J308" s="17" t="s">
        <v>1474</v>
      </c>
      <c r="K308" s="18"/>
      <c r="L308" s="17"/>
      <c r="M308" s="17"/>
      <c r="N308" s="27"/>
      <c r="O308" s="17"/>
      <c r="P308" s="21"/>
      <c r="Q308" s="21"/>
      <c r="R308" s="22"/>
      <c r="S308" s="17" t="str">
        <f>IFERROR(__xludf.DUMMYFUNCTION("IFERROR(REGEXEXTRACT(J308, ""(\d{1,3}[dD]\d{1,3})""), """")"),"")</f>
        <v/>
      </c>
      <c r="T308" s="17" t="str">
        <f>IFERROR(__xludf.DUMMYFUNCTION("IF(COUNTIF(ARRAYFORMULA(LOWER(Validations!$O$2:$O$100)), LOWER(REGEXEXTRACT(J308, ""\d{1,3}[dD]\d{1,3}\s+(\w+)"")))&gt;0, REGEXEXTRACT(J308, ""\d{1,3}[dD]\d{1,3}\s+(\w+)""), """")"),"")</f>
        <v/>
      </c>
      <c r="U308" s="17" t="str">
        <f>IFERROR(__xludf.DUMMYFUNCTION("IF(COUNTIF(ARRAYFORMULA(LOWER(Validations!$P$2:$P$100)), LOWER(REGEXEXTRACT(J308, ""\d{1,3}[dD]\d{1,3}\s+(\w+)"")))&gt;0, REGEXEXTRACT(J308, ""\d{1,3}[dD]\d{1,3}\s+(\w+)""), """")"),"")</f>
        <v/>
      </c>
      <c r="V308" s="12" t="str">
        <f>IFERROR(__xludf.DUMMYFUNCTION("TEXTJOIN("", "", TRUE, FILTER(Validations!$L$2:$L$100, ISNUMBER(SEARCH(Validations!$L$2:$L$100, J308))))"),"")</f>
        <v/>
      </c>
      <c r="W308" s="12" t="str">
        <f>IFERROR(__xludf.DUMMYFUNCTION("IFERROR(TEXTJOIN("", "", TRUE, FILTER(Validations!$M$2:$M$100, ISNUMBER(SEARCH(Validations!$M$2:$M$100 &amp; "" saving throw"", J308)))), """")"),"Wisdom")</f>
        <v>Wisdom</v>
      </c>
      <c r="X308" s="12"/>
      <c r="Y308" s="12"/>
      <c r="Z308" s="12" t="str">
        <f>IFERROR(__xludf.DUMMYFUNCTION("IFERROR(TEXTJOIN("", "", TRUE, FILTER(Validations!$N$2:$N$100, ISNUMBER(SEARCH(Validations!$N$2:$N$100 &amp; "" check"", J308)))), """")"),"")</f>
        <v/>
      </c>
      <c r="AA308" s="12" t="str">
        <f>IFERROR(__xludf.DUMMYFUNCTION("IFERROR(TEXTJOIN("", "", TRUE, FILTER(Validations!$N$2:$N$100, ISNUMBER(SEARCH(Validations!$N$2:$N$100 &amp; "" check"", W308)))), """")"),"")</f>
        <v/>
      </c>
      <c r="AB308" s="23" t="str">
        <f>IFERROR(__xludf.DUMMYFUNCTION("IFERROR(CONCATENATE(IF(ISNUMBER(SEARCH(Validations!$M$2:$M$100 &amp; "" spell save"", J308)),""Spell Save"",""""), REGEXEXTRACT(J308, ""DC (\d+)"")), """")"),"")</f>
        <v/>
      </c>
      <c r="AC308" s="24" t="b">
        <v>0</v>
      </c>
      <c r="AD308" s="24" t="b">
        <v>0</v>
      </c>
      <c r="AE308" s="36" t="s">
        <v>208</v>
      </c>
      <c r="AF308" s="25">
        <f>IFERROR(__xludf.DUMMYFUNCTION("IFERROR(VALUE(REGEXEXTRACT(AE308, ""\d+"")), 1)"),1.0)</f>
        <v>1</v>
      </c>
      <c r="AG308" s="12" t="str">
        <f>IFERROR(__xludf.DUMMYFUNCTION("IF(
  ISNUMBER(SEARCH(""Bonus Action"", AE308)),
  ""Bonus Action"",
  IF(
    ISNUMBER(SEARCH(""Reaction"", AE308)),
    ""Reaction"",
    IF(
      ISNUMBER(SEARCH(""Action"", AE308)),
      ""Action"",
      TEXTJOIN("", "", TRUE, FILTER(Validations!$S"&amp;"$2:$S$100, ISNUMBER(SEARCH(Validations!$S$2:$S$100, AE308))))
    )
  )
)"),"Reaction")</f>
        <v>Reaction</v>
      </c>
      <c r="AH308" s="36" t="s">
        <v>1475</v>
      </c>
      <c r="AI308" s="20" t="s">
        <v>87</v>
      </c>
      <c r="AJ308" s="26" t="str">
        <f>IFERROR(__xludf.DUMMYFUNCTION("TEXTJOIN("", "", TRUE, FILTER(Validations!$T$2:$T$100, ISNUMBER(SEARCH(Validations!$T$2:$T$100, AI308))))"),"")</f>
        <v/>
      </c>
      <c r="AK308" s="26">
        <f>IFERROR(__xludf.DUMMYFUNCTION("IFERROR(VALUE(REGEXEXTRACT(AI308, ""\d+"")), """")"),1.0)</f>
        <v>1</v>
      </c>
      <c r="AL308" s="26" t="str">
        <f>IFERROR(__xludf.DUMMYFUNCTION("TEXTJOIN("", "", TRUE, FILTER(Validations!$U$2:$U$100, ISNUMBER(SEARCH(Validations!$U$2:$U$100, AI308))))"),"Rounds")</f>
        <v>Rounds</v>
      </c>
      <c r="AM308" s="24" t="b">
        <f t="shared" si="1"/>
        <v>0</v>
      </c>
      <c r="AN308" s="24" t="b">
        <v>0</v>
      </c>
      <c r="AO308" s="22" t="s">
        <v>112</v>
      </c>
      <c r="AP308" s="12" t="str">
        <f>IFERROR(__xludf.DUMMYFUNCTION("IF(TEXTJOIN("", "", TRUE, FILTER(Validations!$Q$2:$Q$100, ISNUMBER(SEARCH(Validations!$Q$2:$Q$100, AO308)))) = """", Validations!$Q$2, TEXTJOIN("", "", TRUE, FILTER(Validations!$Q$2:$Q$100, ISNUMBER(SEARCH(Validations!$Q$2:$Q$100, AO308)))))"),"Point")</f>
        <v>Point</v>
      </c>
      <c r="AQ308" s="12">
        <f>IFERROR(__xludf.DUMMYFUNCTION("IFERROR(VALUE(REGEXEXTRACT(AO308, ""\d+"")), """")"),30.0)</f>
        <v>30</v>
      </c>
      <c r="AR308" s="12" t="str">
        <f>IFERROR(__xludf.DUMMYFUNCTION("TEXTJOIN("", "", TRUE, FILTER(Validations!$R$2:$R$100, ISNUMBER(SEARCH(Validations!$R$2:$R$100, AO308))))"),"Feet")</f>
        <v>Feet</v>
      </c>
      <c r="AS308" s="27"/>
      <c r="AT308" s="12" t="str">
        <f>IFERROR(__xludf.DUMMYFUNCTION("IFERROR(TEXTJOIN("", "", TRUE, FILTER(Validations!$I$2:$I$100, ISNUMBER(SEARCH(Validations!$I$2:$I$100, AS308)))), """")"),"")</f>
        <v/>
      </c>
      <c r="AU308" s="16" t="str">
        <f t="array" ref="AU308">IFERROR(INDEX(Validations!$J$2:$J$100, MATCH(TRUE, ISNUMBER(SEARCH(Validations!$I$2:$I$100, AT308)), 0)), "")</f>
        <v/>
      </c>
      <c r="AV308" s="12" t="str">
        <f>IFERROR(__xludf.DUMMYFUNCTION("IFERROR(VALUE(REGEXEXTRACT(AS308, ""\d+"")), """")"),"")</f>
        <v/>
      </c>
      <c r="AW308" s="12" t="str">
        <f>IFERROR(__xludf.DUMMYFUNCTION("IFERROR(TEXTJOIN("", "", TRUE, FILTER(Validations!$Q$2:$Q$100, ISNUMBER(SEARCH(Validations!$Q$2:$Q$100, AS308)))), """")"),"")</f>
        <v/>
      </c>
      <c r="AX308" s="28" t="s">
        <v>152</v>
      </c>
      <c r="AY308" s="28" t="str">
        <f>IFERROR(__xludf.DUMMYFUNCTION("TEXTJOIN("", "", TRUE, FILTER(Validations!$Y$2:$Y$100, ISNUMBER(SEARCH(Validations!$X$2:$X$100, AX308))))"),"V, S, R")</f>
        <v>V, S, R</v>
      </c>
      <c r="AZ308" s="20" t="s">
        <v>1476</v>
      </c>
      <c r="BA308" s="22"/>
      <c r="BB308" s="22"/>
      <c r="BC308" s="22"/>
      <c r="BD308" s="22"/>
      <c r="BE308" s="27"/>
      <c r="BF308" s="22"/>
      <c r="BG308" s="27"/>
      <c r="BH308" s="27"/>
      <c r="BI308" s="12" t="str">
        <f>IFERROR(__xludf.DUMMYFUNCTION("IFERROR(TEXTJOIN("", "", TRUE, FILTER(SRD!$A$2:$A$1000, EXACT(SRD!$A$2:$A$1000, J308))), """")"),"")</f>
        <v/>
      </c>
      <c r="BJ308" s="29"/>
      <c r="BK308" s="29"/>
    </row>
    <row r="309" ht="15.75" customHeight="1">
      <c r="A309" s="30" t="s">
        <v>1477</v>
      </c>
      <c r="B309" s="22"/>
      <c r="C309" s="31"/>
      <c r="D309" s="31" t="s">
        <v>1451</v>
      </c>
      <c r="E309" s="31"/>
      <c r="F309" s="32" t="s">
        <v>1247</v>
      </c>
      <c r="G309" s="50" t="s">
        <v>1452</v>
      </c>
      <c r="H309" s="31" t="s">
        <v>178</v>
      </c>
      <c r="I309" s="16" t="str">
        <f t="array" ref="I309">INDEX(Validations!$C$2:$C$100, MATCH(TRUE, ISNUMBER(SEARCH(Validations!$B$2:$B$100, H309)), 0))</f>
        <v>A</v>
      </c>
      <c r="J309" s="17" t="s">
        <v>1478</v>
      </c>
      <c r="K309" s="18"/>
      <c r="L309" s="17"/>
      <c r="M309" s="17"/>
      <c r="N309" s="20" t="s">
        <v>1479</v>
      </c>
      <c r="O309" s="17"/>
      <c r="P309" s="21"/>
      <c r="Q309" s="21"/>
      <c r="R309" s="22"/>
      <c r="S309" s="17" t="str">
        <f>IFERROR(__xludf.DUMMYFUNCTION("IFERROR(REGEXEXTRACT(J309, ""(\d{1,3}[dD]\d{1,3})""), """")"),"")</f>
        <v/>
      </c>
      <c r="T309" s="17" t="str">
        <f>IFERROR(__xludf.DUMMYFUNCTION("IF(COUNTIF(ARRAYFORMULA(LOWER(Validations!$O$2:$O$100)), LOWER(REGEXEXTRACT(J309, ""\d{1,3}[dD]\d{1,3}\s+(\w+)"")))&gt;0, REGEXEXTRACT(J309, ""\d{1,3}[dD]\d{1,3}\s+(\w+)""), """")"),"")</f>
        <v/>
      </c>
      <c r="U309" s="17" t="str">
        <f>IFERROR(__xludf.DUMMYFUNCTION("IF(COUNTIF(ARRAYFORMULA(LOWER(Validations!$P$2:$P$100)), LOWER(REGEXEXTRACT(J309, ""\d{1,3}[dD]\d{1,3}\s+(\w+)"")))&gt;0, REGEXEXTRACT(J309, ""\d{1,3}[dD]\d{1,3}\s+(\w+)""), """")"),"")</f>
        <v/>
      </c>
      <c r="V309" s="12" t="str">
        <f>IFERROR(__xludf.DUMMYFUNCTION("TEXTJOIN("", "", TRUE, FILTER(Validations!$L$2:$L$100, ISNUMBER(SEARCH(Validations!$L$2:$L$100, J309))))"),"")</f>
        <v/>
      </c>
      <c r="W309" s="12" t="str">
        <f>IFERROR(__xludf.DUMMYFUNCTION("IFERROR(TEXTJOIN("", "", TRUE, FILTER(Validations!$M$2:$M$100, ISNUMBER(SEARCH(Validations!$M$2:$M$100 &amp; "" saving throw"", J309)))), """")"),"")</f>
        <v/>
      </c>
      <c r="X309" s="12"/>
      <c r="Y309" s="12"/>
      <c r="Z309" s="12" t="str">
        <f>IFERROR(__xludf.DUMMYFUNCTION("IFERROR(TEXTJOIN("", "", TRUE, FILTER(Validations!$N$2:$N$100, ISNUMBER(SEARCH(Validations!$N$2:$N$100 &amp; "" check"", J309)))), """")"),"")</f>
        <v/>
      </c>
      <c r="AA309" s="12" t="str">
        <f>IFERROR(__xludf.DUMMYFUNCTION("IFERROR(TEXTJOIN("", "", TRUE, FILTER(Validations!$N$2:$N$100, ISNUMBER(SEARCH(Validations!$N$2:$N$100 &amp; "" check"", W309)))), """")"),"")</f>
        <v/>
      </c>
      <c r="AB309" s="23" t="str">
        <f>IFERROR(__xludf.DUMMYFUNCTION("IFERROR(CONCATENATE(IF(ISNUMBER(SEARCH(Validations!$M$2:$M$100 &amp; "" spell save"", J309)),""Spell Save"",""""), REGEXEXTRACT(J309, ""DC (\d+)"")), """")"),"")</f>
        <v/>
      </c>
      <c r="AC309" s="24" t="b">
        <v>0</v>
      </c>
      <c r="AD309" s="24" t="b">
        <v>0</v>
      </c>
      <c r="AE309" s="36" t="s">
        <v>69</v>
      </c>
      <c r="AF309" s="25">
        <f>IFERROR(__xludf.DUMMYFUNCTION("IFERROR(VALUE(REGEXEXTRACT(AE309, ""\d+"")), 1)"),1.0)</f>
        <v>1</v>
      </c>
      <c r="AG309" s="12" t="str">
        <f>IFERROR(__xludf.DUMMYFUNCTION("IF(
  ISNUMBER(SEARCH(""Bonus Action"", AE309)),
  ""Bonus Action"",
  IF(
    ISNUMBER(SEARCH(""Reaction"", AE309)),
    ""Reaction"",
    IF(
      ISNUMBER(SEARCH(""Action"", AE309)),
      ""Action"",
      TEXTJOIN("", "", TRUE, FILTER(Validations!$S"&amp;"$2:$S$100, ISNUMBER(SEARCH(Validations!$S$2:$S$100, AE309))))
    )
  )
)"),"Action")</f>
        <v>Action</v>
      </c>
      <c r="AH309" s="36"/>
      <c r="AI309" s="27" t="s">
        <v>70</v>
      </c>
      <c r="AJ309" s="26" t="str">
        <f>IFERROR(__xludf.DUMMYFUNCTION("TEXTJOIN("", "", TRUE, FILTER(Validations!$T$2:$T$100, ISNUMBER(SEARCH(Validations!$T$2:$T$100, AI309))))"),"Instantaneous")</f>
        <v>Instantaneous</v>
      </c>
      <c r="AK309" s="26" t="str">
        <f>IFERROR(__xludf.DUMMYFUNCTION("IFERROR(VALUE(REGEXEXTRACT(AI309, ""\d+"")), """")"),"")</f>
        <v/>
      </c>
      <c r="AL309" s="26" t="str">
        <f>IFERROR(__xludf.DUMMYFUNCTION("TEXTJOIN("", "", TRUE, FILTER(Validations!$U$2:$U$100, ISNUMBER(SEARCH(Validations!$U$2:$U$100, AI309))))"),"")</f>
        <v/>
      </c>
      <c r="AM309" s="24" t="b">
        <f t="shared" si="1"/>
        <v>0</v>
      </c>
      <c r="AN309" s="24" t="b">
        <v>0</v>
      </c>
      <c r="AO309" s="22" t="s">
        <v>71</v>
      </c>
      <c r="AP309" s="12" t="str">
        <f>IFERROR(__xludf.DUMMYFUNCTION("IF(TEXTJOIN("", "", TRUE, FILTER(Validations!$Q$2:$Q$100, ISNUMBER(SEARCH(Validations!$Q$2:$Q$100, AO309)))) = """", Validations!$Q$2, TEXTJOIN("", "", TRUE, FILTER(Validations!$Q$2:$Q$100, ISNUMBER(SEARCH(Validations!$Q$2:$Q$100, AO309)))))"),"Point")</f>
        <v>Point</v>
      </c>
      <c r="AQ309" s="12" t="str">
        <f>IFERROR(__xludf.DUMMYFUNCTION("IFERROR(VALUE(REGEXEXTRACT(AO309, ""\d+"")), """")"),"")</f>
        <v/>
      </c>
      <c r="AR309" s="12" t="str">
        <f>IFERROR(__xludf.DUMMYFUNCTION("TEXTJOIN("", "", TRUE, FILTER(Validations!$R$2:$R$100, ISNUMBER(SEARCH(Validations!$R$2:$R$100, AO309))))"),"Touch")</f>
        <v>Touch</v>
      </c>
      <c r="AS309" s="27"/>
      <c r="AT309" s="12" t="str">
        <f>IFERROR(__xludf.DUMMYFUNCTION("IFERROR(TEXTJOIN("", "", TRUE, FILTER(Validations!$I$2:$I$100, ISNUMBER(SEARCH(Validations!$I$2:$I$100, AS309)))), """")"),"")</f>
        <v/>
      </c>
      <c r="AU309" s="16" t="str">
        <f t="array" ref="AU309">IFERROR(INDEX(Validations!$J$2:$J$100, MATCH(TRUE, ISNUMBER(SEARCH(Validations!$I$2:$I$100, AT309)), 0)), "")</f>
        <v/>
      </c>
      <c r="AV309" s="12" t="str">
        <f>IFERROR(__xludf.DUMMYFUNCTION("IFERROR(VALUE(REGEXEXTRACT(AS309, ""\d+"")), """")"),"")</f>
        <v/>
      </c>
      <c r="AW309" s="12" t="str">
        <f>IFERROR(__xludf.DUMMYFUNCTION("IFERROR(TEXTJOIN("", "", TRUE, FILTER(Validations!$Q$2:$Q$100, ISNUMBER(SEARCH(Validations!$Q$2:$Q$100, AS309)))), """")"),"")</f>
        <v/>
      </c>
      <c r="AX309" s="28" t="s">
        <v>152</v>
      </c>
      <c r="AY309" s="28" t="str">
        <f>IFERROR(__xludf.DUMMYFUNCTION("TEXTJOIN("", "", TRUE, FILTER(Validations!$Y$2:$Y$100, ISNUMBER(SEARCH(Validations!$X$2:$X$100, AX309))))"),"V, S, R")</f>
        <v>V, S, R</v>
      </c>
      <c r="AZ309" s="20" t="s">
        <v>1480</v>
      </c>
      <c r="BA309" s="22"/>
      <c r="BB309" s="22"/>
      <c r="BC309" s="22"/>
      <c r="BD309" s="22"/>
      <c r="BE309" s="27"/>
      <c r="BF309" s="22"/>
      <c r="BG309" s="27"/>
      <c r="BH309" s="27"/>
      <c r="BI309" s="12" t="str">
        <f>IFERROR(__xludf.DUMMYFUNCTION("IFERROR(TEXTJOIN("", "", TRUE, FILTER(SRD!$A$2:$A$1000, EXACT(SRD!$A$2:$A$1000, J309))), """")"),"")</f>
        <v/>
      </c>
      <c r="BJ309" s="29"/>
      <c r="BK309" s="29"/>
    </row>
    <row r="310" ht="15.75" customHeight="1">
      <c r="A310" s="30" t="s">
        <v>1481</v>
      </c>
      <c r="B310" s="22"/>
      <c r="C310" s="16"/>
      <c r="D310" s="16" t="s">
        <v>1482</v>
      </c>
      <c r="E310" s="16"/>
      <c r="F310" s="32" t="s">
        <v>108</v>
      </c>
      <c r="G310" s="50" t="s">
        <v>1452</v>
      </c>
      <c r="H310" s="31" t="s">
        <v>178</v>
      </c>
      <c r="I310" s="16" t="str">
        <f t="array" ref="I310">INDEX(Validations!$C$2:$C$100, MATCH(TRUE, ISNUMBER(SEARCH(Validations!$B$2:$B$100, H310)), 0))</f>
        <v>A</v>
      </c>
      <c r="J310" s="17" t="s">
        <v>1483</v>
      </c>
      <c r="K310" s="18"/>
      <c r="L310" s="17"/>
      <c r="M310" s="17"/>
      <c r="N310" s="27"/>
      <c r="O310" s="17"/>
      <c r="P310" s="21"/>
      <c r="Q310" s="21"/>
      <c r="R310" s="22"/>
      <c r="S310" s="17" t="str">
        <f>IFERROR(__xludf.DUMMYFUNCTION("IFERROR(REGEXEXTRACT(J310, ""(\d{1,3}[dD]\d{1,3})""), """")"),"")</f>
        <v/>
      </c>
      <c r="T310" s="17" t="str">
        <f>IFERROR(__xludf.DUMMYFUNCTION("IF(COUNTIF(ARRAYFORMULA(LOWER(Validations!$O$2:$O$100)), LOWER(REGEXEXTRACT(J310, ""\d{1,3}[dD]\d{1,3}\s+(\w+)"")))&gt;0, REGEXEXTRACT(J310, ""\d{1,3}[dD]\d{1,3}\s+(\w+)""), """")"),"")</f>
        <v/>
      </c>
      <c r="U310" s="17" t="str">
        <f>IFERROR(__xludf.DUMMYFUNCTION("IF(COUNTIF(ARRAYFORMULA(LOWER(Validations!$P$2:$P$100)), LOWER(REGEXEXTRACT(J310, ""\d{1,3}[dD]\d{1,3}\s+(\w+)"")))&gt;0, REGEXEXTRACT(J310, ""\d{1,3}[dD]\d{1,3}\s+(\w+)""), """")"),"")</f>
        <v/>
      </c>
      <c r="V310" s="12" t="str">
        <f>IFERROR(__xludf.DUMMYFUNCTION("TEXTJOIN("", "", TRUE, FILTER(Validations!$L$2:$L$100, ISNUMBER(SEARCH(Validations!$L$2:$L$100, J310))))"),"")</f>
        <v/>
      </c>
      <c r="W310" s="12" t="str">
        <f>IFERROR(__xludf.DUMMYFUNCTION("IFERROR(TEXTJOIN("", "", TRUE, FILTER(Validations!$M$2:$M$100, ISNUMBER(SEARCH(Validations!$M$2:$M$100 &amp; "" saving throw"", J310)))), """")"),"")</f>
        <v/>
      </c>
      <c r="X310" s="12"/>
      <c r="Y310" s="12"/>
      <c r="Z310" s="12" t="str">
        <f>IFERROR(__xludf.DUMMYFUNCTION("IFERROR(TEXTJOIN("", "", TRUE, FILTER(Validations!$N$2:$N$100, ISNUMBER(SEARCH(Validations!$N$2:$N$100 &amp; "" check"", J310)))), """")"),"")</f>
        <v/>
      </c>
      <c r="AA310" s="12" t="str">
        <f>IFERROR(__xludf.DUMMYFUNCTION("IFERROR(TEXTJOIN("", "", TRUE, FILTER(Validations!$N$2:$N$100, ISNUMBER(SEARCH(Validations!$N$2:$N$100 &amp; "" check"", W310)))), """")"),"")</f>
        <v/>
      </c>
      <c r="AB310" s="23" t="str">
        <f>IFERROR(__xludf.DUMMYFUNCTION("IFERROR(CONCATENATE(IF(ISNUMBER(SEARCH(Validations!$M$2:$M$100 &amp; "" spell save"", J310)),""Spell Save"",""""), REGEXEXTRACT(J310, ""DC (\d+)"")), """")"),"")</f>
        <v/>
      </c>
      <c r="AC310" s="24" t="b">
        <v>0</v>
      </c>
      <c r="AD310" s="24" t="b">
        <v>0</v>
      </c>
      <c r="AE310" s="36" t="s">
        <v>69</v>
      </c>
      <c r="AF310" s="25">
        <f>IFERROR(__xludf.DUMMYFUNCTION("IFERROR(VALUE(REGEXEXTRACT(AE310, ""\d+"")), 1)"),1.0)</f>
        <v>1</v>
      </c>
      <c r="AG310" s="12" t="str">
        <f>IFERROR(__xludf.DUMMYFUNCTION("IF(
  ISNUMBER(SEARCH(""Bonus Action"", AE310)),
  ""Bonus Action"",
  IF(
    ISNUMBER(SEARCH(""Reaction"", AE310)),
    ""Reaction"",
    IF(
      ISNUMBER(SEARCH(""Action"", AE310)),
      ""Action"",
      TEXTJOIN("", "", TRUE, FILTER(Validations!$S"&amp;"$2:$S$100, ISNUMBER(SEARCH(Validations!$S$2:$S$100, AE310))))
    )
  )
)"),"Action")</f>
        <v>Action</v>
      </c>
      <c r="AH310" s="36"/>
      <c r="AI310" s="20" t="s">
        <v>347</v>
      </c>
      <c r="AJ310" s="26" t="str">
        <f>IFERROR(__xludf.DUMMYFUNCTION("TEXTJOIN("", "", TRUE, FILTER(Validations!$T$2:$T$100, ISNUMBER(SEARCH(Validations!$T$2:$T$100, AI310))))"),"")</f>
        <v/>
      </c>
      <c r="AK310" s="26">
        <f>IFERROR(__xludf.DUMMYFUNCTION("IFERROR(VALUE(REGEXEXTRACT(AI310, ""\d+"")), """")"),24.0)</f>
        <v>24</v>
      </c>
      <c r="AL310" s="26" t="str">
        <f>IFERROR(__xludf.DUMMYFUNCTION("TEXTJOIN("", "", TRUE, FILTER(Validations!$U$2:$U$100, ISNUMBER(SEARCH(Validations!$U$2:$U$100, AI310))))"),"Hours")</f>
        <v>Hours</v>
      </c>
      <c r="AM310" s="24" t="b">
        <f t="shared" si="1"/>
        <v>0</v>
      </c>
      <c r="AN310" s="24" t="b">
        <v>0</v>
      </c>
      <c r="AO310" s="22" t="s">
        <v>71</v>
      </c>
      <c r="AP310" s="12" t="str">
        <f>IFERROR(__xludf.DUMMYFUNCTION("IF(TEXTJOIN("", "", TRUE, FILTER(Validations!$Q$2:$Q$100, ISNUMBER(SEARCH(Validations!$Q$2:$Q$100, AO310)))) = """", Validations!$Q$2, TEXTJOIN("", "", TRUE, FILTER(Validations!$Q$2:$Q$100, ISNUMBER(SEARCH(Validations!$Q$2:$Q$100, AO310)))))"),"Point")</f>
        <v>Point</v>
      </c>
      <c r="AQ310" s="12" t="str">
        <f>IFERROR(__xludf.DUMMYFUNCTION("IFERROR(VALUE(REGEXEXTRACT(AO310, ""\d+"")), """")"),"")</f>
        <v/>
      </c>
      <c r="AR310" s="12" t="str">
        <f>IFERROR(__xludf.DUMMYFUNCTION("TEXTJOIN("", "", TRUE, FILTER(Validations!$R$2:$R$100, ISNUMBER(SEARCH(Validations!$R$2:$R$100, AO310))))"),"Touch")</f>
        <v>Touch</v>
      </c>
      <c r="AS310" s="27"/>
      <c r="AT310" s="12" t="str">
        <f>IFERROR(__xludf.DUMMYFUNCTION("IFERROR(TEXTJOIN("", "", TRUE, FILTER(Validations!$I$2:$I$100, ISNUMBER(SEARCH(Validations!$I$2:$I$100, AS310)))), """")"),"")</f>
        <v/>
      </c>
      <c r="AU310" s="16" t="str">
        <f t="array" ref="AU310">IFERROR(INDEX(Validations!$J$2:$J$100, MATCH(TRUE, ISNUMBER(SEARCH(Validations!$I$2:$I$100, AT310)), 0)), "")</f>
        <v/>
      </c>
      <c r="AV310" s="12" t="str">
        <f>IFERROR(__xludf.DUMMYFUNCTION("IFERROR(VALUE(REGEXEXTRACT(AS310, ""\d+"")), """")"),"")</f>
        <v/>
      </c>
      <c r="AW310" s="12" t="str">
        <f>IFERROR(__xludf.DUMMYFUNCTION("IFERROR(TEXTJOIN("", "", TRUE, FILTER(Validations!$Q$2:$Q$100, ISNUMBER(SEARCH(Validations!$Q$2:$Q$100, AS310)))), """")"),"")</f>
        <v/>
      </c>
      <c r="AX310" s="28" t="s">
        <v>152</v>
      </c>
      <c r="AY310" s="28" t="str">
        <f>IFERROR(__xludf.DUMMYFUNCTION("TEXTJOIN("", "", TRUE, FILTER(Validations!$Y$2:$Y$100, ISNUMBER(SEARCH(Validations!$X$2:$X$100, AX310))))"),"V, S, R")</f>
        <v>V, S, R</v>
      </c>
      <c r="AZ310" s="20" t="s">
        <v>1484</v>
      </c>
      <c r="BA310" s="22"/>
      <c r="BB310" s="22"/>
      <c r="BC310" s="22"/>
      <c r="BD310" s="22"/>
      <c r="BE310" s="27"/>
      <c r="BF310" s="22"/>
      <c r="BG310" s="27"/>
      <c r="BH310" s="27"/>
      <c r="BI310" s="12" t="str">
        <f>IFERROR(__xludf.DUMMYFUNCTION("IFERROR(TEXTJOIN("", "", TRUE, FILTER(SRD!$A$2:$A$1000, EXACT(SRD!$A$2:$A$1000, J310))), """")"),"")</f>
        <v/>
      </c>
      <c r="BJ310" s="29"/>
      <c r="BK310" s="29"/>
    </row>
    <row r="311" ht="15.75" customHeight="1">
      <c r="A311" s="30" t="s">
        <v>1485</v>
      </c>
      <c r="B311" s="22"/>
      <c r="C311" s="31"/>
      <c r="D311" s="31" t="s">
        <v>74</v>
      </c>
      <c r="E311" s="31"/>
      <c r="F311" s="32" t="s">
        <v>1486</v>
      </c>
      <c r="G311" s="50" t="s">
        <v>1452</v>
      </c>
      <c r="H311" s="31" t="s">
        <v>140</v>
      </c>
      <c r="I311" s="16" t="str">
        <f t="array" ref="I311">INDEX(Validations!$C$2:$C$100, MATCH(TRUE, ISNUMBER(SEARCH(Validations!$B$2:$B$100, H311)), 0))</f>
        <v>N</v>
      </c>
      <c r="J311" s="17" t="s">
        <v>1487</v>
      </c>
      <c r="K311" s="18"/>
      <c r="L311" s="17"/>
      <c r="M311" s="17"/>
      <c r="N311" s="27"/>
      <c r="O311" s="17"/>
      <c r="P311" s="21"/>
      <c r="Q311" s="21"/>
      <c r="R311" s="22"/>
      <c r="S311" s="17" t="str">
        <f>IFERROR(__xludf.DUMMYFUNCTION("IFERROR(REGEXEXTRACT(J311, ""(\d{1,3}[dD]\d{1,3})""), """")"),"")</f>
        <v/>
      </c>
      <c r="T311" s="17" t="str">
        <f>IFERROR(__xludf.DUMMYFUNCTION("IF(COUNTIF(ARRAYFORMULA(LOWER(Validations!$O$2:$O$100)), LOWER(REGEXEXTRACT(J311, ""\d{1,3}[dD]\d{1,3}\s+(\w+)"")))&gt;0, REGEXEXTRACT(J311, ""\d{1,3}[dD]\d{1,3}\s+(\w+)""), """")"),"")</f>
        <v/>
      </c>
      <c r="U311" s="17" t="str">
        <f>IFERROR(__xludf.DUMMYFUNCTION("IF(COUNTIF(ARRAYFORMULA(LOWER(Validations!$P$2:$P$100)), LOWER(REGEXEXTRACT(J311, ""\d{1,3}[dD]\d{1,3}\s+(\w+)"")))&gt;0, REGEXEXTRACT(J311, ""\d{1,3}[dD]\d{1,3}\s+(\w+)""), """")"),"")</f>
        <v/>
      </c>
      <c r="V311" s="12" t="str">
        <f>IFERROR(__xludf.DUMMYFUNCTION("TEXTJOIN("", "", TRUE, FILTER(Validations!$L$2:$L$100, ISNUMBER(SEARCH(Validations!$L$2:$L$100, J311))))"),"")</f>
        <v/>
      </c>
      <c r="W311" s="12" t="str">
        <f>IFERROR(__xludf.DUMMYFUNCTION("IFERROR(TEXTJOIN("", "", TRUE, FILTER(Validations!$M$2:$M$100, ISNUMBER(SEARCH(Validations!$M$2:$M$100 &amp; "" saving throw"", J311)))), """")"),"")</f>
        <v/>
      </c>
      <c r="X311" s="12"/>
      <c r="Y311" s="12"/>
      <c r="Z311" s="12" t="str">
        <f>IFERROR(__xludf.DUMMYFUNCTION("IFERROR(TEXTJOIN("", "", TRUE, FILTER(Validations!$N$2:$N$100, ISNUMBER(SEARCH(Validations!$N$2:$N$100 &amp; "" check"", J311)))), """")"),"")</f>
        <v/>
      </c>
      <c r="AA311" s="12" t="str">
        <f>IFERROR(__xludf.DUMMYFUNCTION("IFERROR(TEXTJOIN("", "", TRUE, FILTER(Validations!$N$2:$N$100, ISNUMBER(SEARCH(Validations!$N$2:$N$100 &amp; "" check"", W311)))), """")"),"")</f>
        <v/>
      </c>
      <c r="AB311" s="23" t="str">
        <f>IFERROR(__xludf.DUMMYFUNCTION("IFERROR(CONCATENATE(IF(ISNUMBER(SEARCH(Validations!$M$2:$M$100 &amp; "" spell save"", J311)),""Spell Save"",""""), REGEXEXTRACT(J311, ""DC (\d+)"")), """")"),"")</f>
        <v/>
      </c>
      <c r="AC311" s="24" t="b">
        <v>0</v>
      </c>
      <c r="AD311" s="24" t="b">
        <v>0</v>
      </c>
      <c r="AE311" s="36" t="s">
        <v>69</v>
      </c>
      <c r="AF311" s="25">
        <f>IFERROR(__xludf.DUMMYFUNCTION("IFERROR(VALUE(REGEXEXTRACT(AE311, ""\d+"")), 1)"),1.0)</f>
        <v>1</v>
      </c>
      <c r="AG311" s="12" t="str">
        <f>IFERROR(__xludf.DUMMYFUNCTION("IF(
  ISNUMBER(SEARCH(""Bonus Action"", AE311)),
  ""Bonus Action"",
  IF(
    ISNUMBER(SEARCH(""Reaction"", AE311)),
    ""Reaction"",
    IF(
      ISNUMBER(SEARCH(""Action"", AE311)),
      ""Action"",
      TEXTJOIN("", "", TRUE, FILTER(Validations!$S"&amp;"$2:$S$100, ISNUMBER(SEARCH(Validations!$S$2:$S$100, AE311))))
    )
  )
)"),"Action")</f>
        <v>Action</v>
      </c>
      <c r="AH311" s="36"/>
      <c r="AI311" s="20" t="s">
        <v>296</v>
      </c>
      <c r="AJ311" s="26" t="str">
        <f>IFERROR(__xludf.DUMMYFUNCTION("TEXTJOIN("", "", TRUE, FILTER(Validations!$T$2:$T$100, ISNUMBER(SEARCH(Validations!$T$2:$T$100, AI311))))"),"")</f>
        <v/>
      </c>
      <c r="AK311" s="26">
        <f>IFERROR(__xludf.DUMMYFUNCTION("IFERROR(VALUE(REGEXEXTRACT(AI311, ""\d+"")), """")"),1.0)</f>
        <v>1</v>
      </c>
      <c r="AL311" s="26" t="str">
        <f>IFERROR(__xludf.DUMMYFUNCTION("TEXTJOIN("", "", TRUE, FILTER(Validations!$U$2:$U$100, ISNUMBER(SEARCH(Validations!$U$2:$U$100, AI311))))"),"Hours")</f>
        <v>Hours</v>
      </c>
      <c r="AM311" s="24" t="b">
        <f t="shared" si="1"/>
        <v>0</v>
      </c>
      <c r="AN311" s="24" t="b">
        <v>0</v>
      </c>
      <c r="AO311" s="22" t="s">
        <v>71</v>
      </c>
      <c r="AP311" s="12" t="str">
        <f>IFERROR(__xludf.DUMMYFUNCTION("IF(TEXTJOIN("", "", TRUE, FILTER(Validations!$Q$2:$Q$100, ISNUMBER(SEARCH(Validations!$Q$2:$Q$100, AO311)))) = """", Validations!$Q$2, TEXTJOIN("", "", TRUE, FILTER(Validations!$Q$2:$Q$100, ISNUMBER(SEARCH(Validations!$Q$2:$Q$100, AO311)))))"),"Point")</f>
        <v>Point</v>
      </c>
      <c r="AQ311" s="12" t="str">
        <f>IFERROR(__xludf.DUMMYFUNCTION("IFERROR(VALUE(REGEXEXTRACT(AO311, ""\d+"")), """")"),"")</f>
        <v/>
      </c>
      <c r="AR311" s="12" t="str">
        <f>IFERROR(__xludf.DUMMYFUNCTION("TEXTJOIN("", "", TRUE, FILTER(Validations!$R$2:$R$100, ISNUMBER(SEARCH(Validations!$R$2:$R$100, AO311))))"),"Touch")</f>
        <v>Touch</v>
      </c>
      <c r="AS311" s="27"/>
      <c r="AT311" s="12" t="str">
        <f>IFERROR(__xludf.DUMMYFUNCTION("IFERROR(TEXTJOIN("", "", TRUE, FILTER(Validations!$I$2:$I$100, ISNUMBER(SEARCH(Validations!$I$2:$I$100, AS311)))), """")"),"")</f>
        <v/>
      </c>
      <c r="AU311" s="16" t="str">
        <f t="array" ref="AU311">IFERROR(INDEX(Validations!$J$2:$J$100, MATCH(TRUE, ISNUMBER(SEARCH(Validations!$I$2:$I$100, AT311)), 0)), "")</f>
        <v/>
      </c>
      <c r="AV311" s="12" t="str">
        <f>IFERROR(__xludf.DUMMYFUNCTION("IFERROR(VALUE(REGEXEXTRACT(AS311, ""\d+"")), """")"),"")</f>
        <v/>
      </c>
      <c r="AW311" s="12" t="str">
        <f>IFERROR(__xludf.DUMMYFUNCTION("IFERROR(TEXTJOIN("", "", TRUE, FILTER(Validations!$Q$2:$Q$100, ISNUMBER(SEARCH(Validations!$Q$2:$Q$100, AS311)))), """")"),"")</f>
        <v/>
      </c>
      <c r="AX311" s="28" t="s">
        <v>152</v>
      </c>
      <c r="AY311" s="28" t="str">
        <f>IFERROR(__xludf.DUMMYFUNCTION("TEXTJOIN("", "", TRUE, FILTER(Validations!$Y$2:$Y$100, ISNUMBER(SEARCH(Validations!$X$2:$X$100, AX311))))"),"V, S, R")</f>
        <v>V, S, R</v>
      </c>
      <c r="AZ311" s="20" t="s">
        <v>1488</v>
      </c>
      <c r="BA311" s="22"/>
      <c r="BB311" s="22"/>
      <c r="BC311" s="22"/>
      <c r="BD311" s="22"/>
      <c r="BE311" s="27"/>
      <c r="BF311" s="22"/>
      <c r="BG311" s="27"/>
      <c r="BH311" s="20" t="s">
        <v>1489</v>
      </c>
      <c r="BI311" s="12" t="str">
        <f>IFERROR(__xludf.DUMMYFUNCTION("IFERROR(TEXTJOIN("", "", TRUE, FILTER(SRD!$A$2:$A$1000, EXACT(SRD!$A$2:$A$1000, J311))), """")"),"")</f>
        <v/>
      </c>
      <c r="BJ311" s="29"/>
      <c r="BK311" s="29"/>
    </row>
    <row r="312" ht="15.75" customHeight="1">
      <c r="A312" s="38" t="s">
        <v>1490</v>
      </c>
      <c r="B312" s="12"/>
      <c r="C312" s="13"/>
      <c r="D312" s="13" t="s">
        <v>1491</v>
      </c>
      <c r="E312" s="13"/>
      <c r="F312" s="14" t="s">
        <v>1492</v>
      </c>
      <c r="G312" s="50" t="s">
        <v>1452</v>
      </c>
      <c r="H312" s="31" t="s">
        <v>140</v>
      </c>
      <c r="I312" s="16" t="str">
        <f t="array" ref="I312">INDEX(Validations!$C$2:$C$100, MATCH(TRUE, ISNUMBER(SEARCH(Validations!$B$2:$B$100, H312)), 0))</f>
        <v>N</v>
      </c>
      <c r="J312" s="17" t="s">
        <v>1493</v>
      </c>
      <c r="K312" s="51"/>
      <c r="L312" s="52"/>
      <c r="M312" s="52"/>
      <c r="N312" s="20" t="s">
        <v>1494</v>
      </c>
      <c r="O312" s="17" t="s">
        <v>1495</v>
      </c>
      <c r="P312" s="21"/>
      <c r="Q312" s="21"/>
      <c r="R312" s="36" t="s">
        <v>1277</v>
      </c>
      <c r="S312" s="17" t="str">
        <f>IFERROR(__xludf.DUMMYFUNCTION("IFERROR(REGEXEXTRACT(J312, ""(\d{1,3}[dD]\d{1,3})""), """")"),"")</f>
        <v/>
      </c>
      <c r="T312" s="17" t="str">
        <f>IFERROR(__xludf.DUMMYFUNCTION("IF(COUNTIF(ARRAYFORMULA(LOWER(Validations!$O$2:$O$100)), LOWER(REGEXEXTRACT(J312, ""\d{1,3}[dD]\d{1,3}\s+(\w+)"")))&gt;0, REGEXEXTRACT(J312, ""\d{1,3}[dD]\d{1,3}\s+(\w+)""), """")"),"")</f>
        <v/>
      </c>
      <c r="U312" s="17" t="str">
        <f>IFERROR(__xludf.DUMMYFUNCTION("IF(COUNTIF(ARRAYFORMULA(LOWER(Validations!$P$2:$P$100)), LOWER(REGEXEXTRACT(J312, ""\d{1,3}[dD]\d{1,3}\s+(\w+)"")))&gt;0, REGEXEXTRACT(J312, ""\d{1,3}[dD]\d{1,3}\s+(\w+)""), """")"),"")</f>
        <v/>
      </c>
      <c r="V312" s="12" t="str">
        <f>IFERROR(__xludf.DUMMYFUNCTION("TEXTJOIN("", "", TRUE, FILTER(Validations!$L$2:$L$100, ISNUMBER(SEARCH(Validations!$L$2:$L$100, J312))))"),"Erased, Deafened, Frightened")</f>
        <v>Erased, Deafened, Frightened</v>
      </c>
      <c r="W312" s="12" t="str">
        <f>IFERROR(__xludf.DUMMYFUNCTION("IFERROR(TEXTJOIN("", "", TRUE, FILTER(Validations!$M$2:$M$100, ISNUMBER(SEARCH(Validations!$M$2:$M$100 &amp; "" saving throw"", J312)))), """")"),"Wisdom")</f>
        <v>Wisdom</v>
      </c>
      <c r="X312" s="12"/>
      <c r="Y312" s="12"/>
      <c r="Z312" s="12" t="str">
        <f>IFERROR(__xludf.DUMMYFUNCTION("IFERROR(TEXTJOIN("", "", TRUE, FILTER(Validations!$N$2:$N$100, ISNUMBER(SEARCH(Validations!$N$2:$N$100 &amp; "" check"", J312)))), """")"),"")</f>
        <v/>
      </c>
      <c r="AA312" s="12" t="str">
        <f>IFERROR(__xludf.DUMMYFUNCTION("IFERROR(TEXTJOIN("", "", TRUE, FILTER(Validations!$N$2:$N$100, ISNUMBER(SEARCH(Validations!$N$2:$N$100 &amp; "" check"", W312)))), """")"),"")</f>
        <v/>
      </c>
      <c r="AB312" s="23" t="str">
        <f>IFERROR(__xludf.DUMMYFUNCTION("IFERROR(CONCATENATE(IF(ISNUMBER(SEARCH(Validations!$M$2:$M$100 &amp; "" spell save"", J312)),""Spell Save"",""""), REGEXEXTRACT(J312, ""DC (\d+)"")), """")"),"")</f>
        <v/>
      </c>
      <c r="AC312" s="24" t="b">
        <v>0</v>
      </c>
      <c r="AD312" s="24" t="b">
        <v>0</v>
      </c>
      <c r="AE312" s="12" t="s">
        <v>69</v>
      </c>
      <c r="AF312" s="25">
        <f>IFERROR(__xludf.DUMMYFUNCTION("IFERROR(VALUE(REGEXEXTRACT(AE312, ""\d+"")), 1)"),1.0)</f>
        <v>1</v>
      </c>
      <c r="AG312" s="12" t="str">
        <f>IFERROR(__xludf.DUMMYFUNCTION("IF(
  ISNUMBER(SEARCH(""Bonus Action"", AE312)),
  ""Bonus Action"",
  IF(
    ISNUMBER(SEARCH(""Reaction"", AE312)),
    ""Reaction"",
    IF(
      ISNUMBER(SEARCH(""Action"", AE312)),
      ""Action"",
      TEXTJOIN("", "", TRUE, FILTER(Validations!$S"&amp;"$2:$S$100, ISNUMBER(SEARCH(Validations!$S$2:$S$100, AE312))))
    )
  )
)"),"Action")</f>
        <v>Action</v>
      </c>
      <c r="AH312" s="12"/>
      <c r="AI312" s="20" t="s">
        <v>92</v>
      </c>
      <c r="AJ312" s="26" t="str">
        <f>IFERROR(__xludf.DUMMYFUNCTION("TEXTJOIN("", "", TRUE, FILTER(Validations!$T$2:$T$100, ISNUMBER(SEARCH(Validations!$T$2:$T$100, AI312))))"),"")</f>
        <v/>
      </c>
      <c r="AK312" s="26">
        <f>IFERROR(__xludf.DUMMYFUNCTION("IFERROR(VALUE(REGEXEXTRACT(AI312, ""\d+"")), """")"),1.0)</f>
        <v>1</v>
      </c>
      <c r="AL312" s="26" t="str">
        <f>IFERROR(__xludf.DUMMYFUNCTION("TEXTJOIN("", "", TRUE, FILTER(Validations!$U$2:$U$100, ISNUMBER(SEARCH(Validations!$U$2:$U$100, AI312))))"),"Minutes")</f>
        <v>Minutes</v>
      </c>
      <c r="AM312" s="24" t="b">
        <f t="shared" si="1"/>
        <v>0</v>
      </c>
      <c r="AN312" s="24" t="b">
        <v>1</v>
      </c>
      <c r="AO312" s="12" t="s">
        <v>440</v>
      </c>
      <c r="AP312" s="12" t="str">
        <f>IFERROR(__xludf.DUMMYFUNCTION("IF(TEXTJOIN("", "", TRUE, FILTER(Validations!$Q$2:$Q$100, ISNUMBER(SEARCH(Validations!$Q$2:$Q$100, AO312)))) = """", Validations!$Q$2, TEXTJOIN("", "", TRUE, FILTER(Validations!$Q$2:$Q$100, ISNUMBER(SEARCH(Validations!$Q$2:$Q$100, AO312)))))"),"Point")</f>
        <v>Point</v>
      </c>
      <c r="AQ312" s="12">
        <f>IFERROR(__xludf.DUMMYFUNCTION("IFERROR(VALUE(REGEXEXTRACT(AO312, ""\d+"")), """")"),60.0)</f>
        <v>60</v>
      </c>
      <c r="AR312" s="12" t="str">
        <f>IFERROR(__xludf.DUMMYFUNCTION("TEXTJOIN("", "", TRUE, FILTER(Validations!$R$2:$R$100, ISNUMBER(SEARCH(Validations!$R$2:$R$100, AO312))))"),"Feet")</f>
        <v>Feet</v>
      </c>
      <c r="AS312" s="26" t="s">
        <v>584</v>
      </c>
      <c r="AT312" s="12" t="str">
        <f>IFERROR(__xludf.DUMMYFUNCTION("IFERROR(TEXTJOIN("", "", TRUE, FILTER(Validations!$I$2:$I$100, ISNUMBER(SEARCH(Validations!$I$2:$I$100, AS312)))), """")"),"Sphere")</f>
        <v>Sphere</v>
      </c>
      <c r="AU312" s="16" t="str">
        <f t="array" ref="AU312">IFERROR(INDEX(Validations!$J$2:$J$100, MATCH(TRUE, ISNUMBER(SEARCH(Validations!$I$2:$I$100, AT312)), 0)), "")</f>
        <v>S</v>
      </c>
      <c r="AV312" s="12">
        <f>IFERROR(__xludf.DUMMYFUNCTION("IFERROR(VALUE(REGEXEXTRACT(AS312, ""\d+"")), """")"),20.0)</f>
        <v>20</v>
      </c>
      <c r="AW312" s="12" t="str">
        <f>IFERROR(__xludf.DUMMYFUNCTION("IFERROR(TEXTJOIN("", "", TRUE, FILTER(Validations!$Q$2:$Q$100, ISNUMBER(SEARCH(Validations!$Q$2:$Q$100, AS312)))), """")"),"Radius, Sphere")</f>
        <v>Radius, Sphere</v>
      </c>
      <c r="AX312" s="28" t="s">
        <v>152</v>
      </c>
      <c r="AY312" s="28" t="str">
        <f>IFERROR(__xludf.DUMMYFUNCTION("TEXTJOIN("", "", TRUE, FILTER(Validations!$Y$2:$Y$100, ISNUMBER(SEARCH(Validations!$X$2:$X$100, AX312))))"),"V, S, R")</f>
        <v>V, S, R</v>
      </c>
      <c r="AZ312" s="26" t="s">
        <v>1496</v>
      </c>
      <c r="BA312" s="12"/>
      <c r="BB312" s="22"/>
      <c r="BC312" s="22"/>
      <c r="BD312" s="22"/>
      <c r="BE312" s="27"/>
      <c r="BF312" s="22"/>
      <c r="BG312" s="27"/>
      <c r="BH312" s="27"/>
      <c r="BI312" s="12" t="str">
        <f>IFERROR(__xludf.DUMMYFUNCTION("IFERROR(TEXTJOIN("", "", TRUE, FILTER(SRD!$A$2:$A$1000, EXACT(SRD!$A$2:$A$1000, J312))), """")"),"")</f>
        <v/>
      </c>
      <c r="BJ312" s="29"/>
      <c r="BK312" s="29"/>
    </row>
    <row r="313" ht="15.75" customHeight="1">
      <c r="A313" s="30" t="s">
        <v>1497</v>
      </c>
      <c r="B313" s="22"/>
      <c r="C313" s="16"/>
      <c r="D313" s="16" t="s">
        <v>1498</v>
      </c>
      <c r="E313" s="16"/>
      <c r="F313" s="32" t="s">
        <v>1247</v>
      </c>
      <c r="G313" s="50" t="s">
        <v>1452</v>
      </c>
      <c r="H313" s="31" t="s">
        <v>183</v>
      </c>
      <c r="I313" s="16" t="str">
        <f t="array" ref="I313">INDEX(Validations!$C$2:$C$100, MATCH(TRUE, ISNUMBER(SEARCH(Validations!$B$2:$B$100, H313)), 0))</f>
        <v>E</v>
      </c>
      <c r="J313" s="17" t="s">
        <v>1499</v>
      </c>
      <c r="K313" s="18"/>
      <c r="L313" s="17"/>
      <c r="M313" s="17"/>
      <c r="N313" s="27"/>
      <c r="O313" s="17"/>
      <c r="P313" s="21"/>
      <c r="Q313" s="21"/>
      <c r="R313" s="22"/>
      <c r="S313" s="17" t="str">
        <f>IFERROR(__xludf.DUMMYFUNCTION("IFERROR(REGEXEXTRACT(J313, ""(\d{1,3}[dD]\d{1,3})""), """")"),"2d10")</f>
        <v>2d10</v>
      </c>
      <c r="T313" s="17" t="str">
        <f>IFERROR(__xludf.DUMMYFUNCTION("IF(COUNTIF(ARRAYFORMULA(LOWER(Validations!$O$2:$O$100)), LOWER(REGEXEXTRACT(J313, ""\d{1,3}[dD]\d{1,3}\s+(\w+)"")))&gt;0, REGEXEXTRACT(J313, ""\d{1,3}[dD]\d{1,3}\s+(\w+)""), """")"),"cognitive")</f>
        <v>cognitive</v>
      </c>
      <c r="U313" s="17" t="str">
        <f>IFERROR(__xludf.DUMMYFUNCTION("IF(COUNTIF(ARRAYFORMULA(LOWER(Validations!$P$2:$P$100)), LOWER(REGEXEXTRACT(J313, ""\d{1,3}[dD]\d{1,3}\s+(\w+)"")))&gt;0, REGEXEXTRACT(J313, ""\d{1,3}[dD]\d{1,3}\s+(\w+)""), """")"),"")</f>
        <v/>
      </c>
      <c r="V313" s="12" t="str">
        <f>IFERROR(__xludf.DUMMYFUNCTION("TEXTJOIN("", "", TRUE, FILTER(Validations!$L$2:$L$100, ISNUMBER(SEARCH(Validations!$L$2:$L$100, J313))))"),"Compelled")</f>
        <v>Compelled</v>
      </c>
      <c r="W313" s="12" t="str">
        <f>IFERROR(__xludf.DUMMYFUNCTION("IFERROR(TEXTJOIN("", "", TRUE, FILTER(Validations!$M$2:$M$100, ISNUMBER(SEARCH(Validations!$M$2:$M$100 &amp; "" saving throw"", J313)))), """")"),"Charisma")</f>
        <v>Charisma</v>
      </c>
      <c r="X313" s="12"/>
      <c r="Y313" s="12"/>
      <c r="Z313" s="12" t="str">
        <f>IFERROR(__xludf.DUMMYFUNCTION("IFERROR(TEXTJOIN("", "", TRUE, FILTER(Validations!$N$2:$N$100, ISNUMBER(SEARCH(Validations!$N$2:$N$100 &amp; "" check"", J313)))), """")"),"")</f>
        <v/>
      </c>
      <c r="AA313" s="12" t="str">
        <f>IFERROR(__xludf.DUMMYFUNCTION("IFERROR(TEXTJOIN("", "", TRUE, FILTER(Validations!$N$2:$N$100, ISNUMBER(SEARCH(Validations!$N$2:$N$100 &amp; "" check"", W313)))), """")"),"")</f>
        <v/>
      </c>
      <c r="AB313" s="23" t="str">
        <f>IFERROR(__xludf.DUMMYFUNCTION("IFERROR(CONCATENATE(IF(ISNUMBER(SEARCH(Validations!$M$2:$M$100 &amp; "" spell save"", J313)),""Spell Save"",""""), REGEXEXTRACT(J313, ""DC (\d+)"")), """")"),"")</f>
        <v/>
      </c>
      <c r="AC313" s="24" t="b">
        <v>0</v>
      </c>
      <c r="AD313" s="24" t="b">
        <v>0</v>
      </c>
      <c r="AE313" s="36" t="s">
        <v>69</v>
      </c>
      <c r="AF313" s="25">
        <f>IFERROR(__xludf.DUMMYFUNCTION("IFERROR(VALUE(REGEXEXTRACT(AE313, ""\d+"")), 1)"),1.0)</f>
        <v>1</v>
      </c>
      <c r="AG313" s="12" t="str">
        <f>IFERROR(__xludf.DUMMYFUNCTION("IF(
  ISNUMBER(SEARCH(""Bonus Action"", AE313)),
  ""Bonus Action"",
  IF(
    ISNUMBER(SEARCH(""Reaction"", AE313)),
    ""Reaction"",
    IF(
      ISNUMBER(SEARCH(""Action"", AE313)),
      ""Action"",
      TEXTJOIN("", "", TRUE, FILTER(Validations!$S"&amp;"$2:$S$100, ISNUMBER(SEARCH(Validations!$S$2:$S$100, AE313))))
    )
  )
)"),"Action")</f>
        <v>Action</v>
      </c>
      <c r="AH313" s="36"/>
      <c r="AI313" s="20" t="s">
        <v>296</v>
      </c>
      <c r="AJ313" s="26" t="str">
        <f>IFERROR(__xludf.DUMMYFUNCTION("TEXTJOIN("", "", TRUE, FILTER(Validations!$T$2:$T$100, ISNUMBER(SEARCH(Validations!$T$2:$T$100, AI313))))"),"")</f>
        <v/>
      </c>
      <c r="AK313" s="26">
        <f>IFERROR(__xludf.DUMMYFUNCTION("IFERROR(VALUE(REGEXEXTRACT(AI313, ""\d+"")), """")"),1.0)</f>
        <v>1</v>
      </c>
      <c r="AL313" s="26" t="str">
        <f>IFERROR(__xludf.DUMMYFUNCTION("TEXTJOIN("", "", TRUE, FILTER(Validations!$U$2:$U$100, ISNUMBER(SEARCH(Validations!$U$2:$U$100, AI313))))"),"Hours")</f>
        <v>Hours</v>
      </c>
      <c r="AM313" s="24" t="b">
        <f t="shared" si="1"/>
        <v>0</v>
      </c>
      <c r="AN313" s="24" t="b">
        <v>1</v>
      </c>
      <c r="AO313" s="22" t="s">
        <v>112</v>
      </c>
      <c r="AP313" s="12" t="str">
        <f>IFERROR(__xludf.DUMMYFUNCTION("IF(TEXTJOIN("", "", TRUE, FILTER(Validations!$Q$2:$Q$100, ISNUMBER(SEARCH(Validations!$Q$2:$Q$100, AO313)))) = """", Validations!$Q$2, TEXTJOIN("", "", TRUE, FILTER(Validations!$Q$2:$Q$100, ISNUMBER(SEARCH(Validations!$Q$2:$Q$100, AO313)))))"),"Point")</f>
        <v>Point</v>
      </c>
      <c r="AQ313" s="12">
        <f>IFERROR(__xludf.DUMMYFUNCTION("IFERROR(VALUE(REGEXEXTRACT(AO313, ""\d+"")), """")"),30.0)</f>
        <v>30</v>
      </c>
      <c r="AR313" s="12" t="str">
        <f>IFERROR(__xludf.DUMMYFUNCTION("TEXTJOIN("", "", TRUE, FILTER(Validations!$R$2:$R$100, ISNUMBER(SEARCH(Validations!$R$2:$R$100, AO313))))"),"Feet")</f>
        <v>Feet</v>
      </c>
      <c r="AS313" s="27"/>
      <c r="AT313" s="12" t="str">
        <f>IFERROR(__xludf.DUMMYFUNCTION("IFERROR(TEXTJOIN("", "", TRUE, FILTER(Validations!$I$2:$I$100, ISNUMBER(SEARCH(Validations!$I$2:$I$100, AS313)))), """")"),"")</f>
        <v/>
      </c>
      <c r="AU313" s="16" t="str">
        <f t="array" ref="AU313">IFERROR(INDEX(Validations!$J$2:$J$100, MATCH(TRUE, ISNUMBER(SEARCH(Validations!$I$2:$I$100, AT313)), 0)), "")</f>
        <v/>
      </c>
      <c r="AV313" s="12" t="str">
        <f>IFERROR(__xludf.DUMMYFUNCTION("IFERROR(VALUE(REGEXEXTRACT(AS313, ""\d+"")), """")"),"")</f>
        <v/>
      </c>
      <c r="AW313" s="12" t="str">
        <f>IFERROR(__xludf.DUMMYFUNCTION("IFERROR(TEXTJOIN("", "", TRUE, FILTER(Validations!$Q$2:$Q$100, ISNUMBER(SEARCH(Validations!$Q$2:$Q$100, AS313)))), """")"),"")</f>
        <v/>
      </c>
      <c r="AX313" s="28" t="s">
        <v>152</v>
      </c>
      <c r="AY313" s="28" t="str">
        <f>IFERROR(__xludf.DUMMYFUNCTION("TEXTJOIN("", "", TRUE, FILTER(Validations!$Y$2:$Y$100, ISNUMBER(SEARCH(Validations!$X$2:$X$100, AX313))))"),"V, S, R")</f>
        <v>V, S, R</v>
      </c>
      <c r="AZ313" s="20" t="s">
        <v>1500</v>
      </c>
      <c r="BA313" s="22"/>
      <c r="BB313" s="22"/>
      <c r="BC313" s="22"/>
      <c r="BD313" s="22"/>
      <c r="BE313" s="27"/>
      <c r="BF313" s="22"/>
      <c r="BG313" s="27"/>
      <c r="BH313" s="27"/>
      <c r="BI313" s="12" t="str">
        <f>IFERROR(__xludf.DUMMYFUNCTION("IFERROR(TEXTJOIN("", "", TRUE, FILTER(SRD!$A$2:$A$1000, EXACT(SRD!$A$2:$A$1000, J313))), """")"),"")</f>
        <v/>
      </c>
      <c r="BJ313" s="29"/>
      <c r="BK313" s="29"/>
    </row>
    <row r="314" ht="15.75" customHeight="1">
      <c r="A314" s="30" t="s">
        <v>1501</v>
      </c>
      <c r="B314" s="22"/>
      <c r="C314" s="16"/>
      <c r="D314" s="16" t="s">
        <v>1502</v>
      </c>
      <c r="E314" s="16"/>
      <c r="F314" s="32" t="s">
        <v>1503</v>
      </c>
      <c r="G314" s="50" t="s">
        <v>1452</v>
      </c>
      <c r="H314" s="31" t="s">
        <v>85</v>
      </c>
      <c r="I314" s="16" t="str">
        <f t="array" ref="I314">INDEX(Validations!$C$2:$C$100, MATCH(TRUE, ISNUMBER(SEARCH(Validations!$B$2:$B$100, H314)), 0))</f>
        <v>T</v>
      </c>
      <c r="J314" s="17" t="s">
        <v>1504</v>
      </c>
      <c r="K314" s="18"/>
      <c r="L314" s="17"/>
      <c r="M314" s="17"/>
      <c r="N314" s="27"/>
      <c r="O314" s="17"/>
      <c r="P314" s="21"/>
      <c r="Q314" s="21"/>
      <c r="R314" s="36" t="s">
        <v>1505</v>
      </c>
      <c r="S314" s="17" t="str">
        <f>IFERROR(__xludf.DUMMYFUNCTION("IFERROR(REGEXEXTRACT(J314, ""(\d{1,3}[dD]\d{1,3})""), """")"),"")</f>
        <v/>
      </c>
      <c r="T314" s="17" t="str">
        <f>IFERROR(__xludf.DUMMYFUNCTION("IF(COUNTIF(ARRAYFORMULA(LOWER(Validations!$O$2:$O$100)), LOWER(REGEXEXTRACT(J314, ""\d{1,3}[dD]\d{1,3}\s+(\w+)"")))&gt;0, REGEXEXTRACT(J314, ""\d{1,3}[dD]\d{1,3}\s+(\w+)""), """")"),"")</f>
        <v/>
      </c>
      <c r="U314" s="17" t="str">
        <f>IFERROR(__xludf.DUMMYFUNCTION("IF(COUNTIF(ARRAYFORMULA(LOWER(Validations!$P$2:$P$100)), LOWER(REGEXEXTRACT(J314, ""\d{1,3}[dD]\d{1,3}\s+(\w+)"")))&gt;0, REGEXEXTRACT(J314, ""\d{1,3}[dD]\d{1,3}\s+(\w+)""), """")"),"")</f>
        <v/>
      </c>
      <c r="V314" s="12" t="str">
        <f>IFERROR(__xludf.DUMMYFUNCTION("TEXTJOIN("", "", TRUE, FILTER(Validations!$L$2:$L$100, ISNUMBER(SEARCH(Validations!$L$2:$L$100, J314))))"),"")</f>
        <v/>
      </c>
      <c r="W314" s="12" t="str">
        <f>IFERROR(__xludf.DUMMYFUNCTION("IFERROR(TEXTJOIN("", "", TRUE, FILTER(Validations!$M$2:$M$100, ISNUMBER(SEARCH(Validations!$M$2:$M$100 &amp; "" saving throw"", J314)))), """")"),"")</f>
        <v/>
      </c>
      <c r="X314" s="12"/>
      <c r="Y314" s="12"/>
      <c r="Z314" s="12" t="str">
        <f>IFERROR(__xludf.DUMMYFUNCTION("IFERROR(TEXTJOIN("", "", TRUE, FILTER(Validations!$N$2:$N$100, ISNUMBER(SEARCH(Validations!$N$2:$N$100 &amp; "" check"", J314)))), """")"),"")</f>
        <v/>
      </c>
      <c r="AA314" s="12" t="str">
        <f>IFERROR(__xludf.DUMMYFUNCTION("IFERROR(TEXTJOIN("", "", TRUE, FILTER(Validations!$N$2:$N$100, ISNUMBER(SEARCH(Validations!$N$2:$N$100 &amp; "" check"", W314)))), """")"),"")</f>
        <v/>
      </c>
      <c r="AB314" s="23" t="str">
        <f>IFERROR(__xludf.DUMMYFUNCTION("IFERROR(CONCATENATE(IF(ISNUMBER(SEARCH(Validations!$M$2:$M$100 &amp; "" spell save"", J314)),""Spell Save"",""""), REGEXEXTRACT(J314, ""DC (\d+)"")), """")"),"")</f>
        <v/>
      </c>
      <c r="AC314" s="24" t="b">
        <v>0</v>
      </c>
      <c r="AD314" s="24" t="b">
        <v>0</v>
      </c>
      <c r="AE314" s="36" t="s">
        <v>296</v>
      </c>
      <c r="AF314" s="25">
        <f>IFERROR(__xludf.DUMMYFUNCTION("IFERROR(VALUE(REGEXEXTRACT(AE314, ""\d+"")), 1)"),1.0)</f>
        <v>1</v>
      </c>
      <c r="AG314" s="12" t="str">
        <f>IFERROR(__xludf.DUMMYFUNCTION("IF(
  ISNUMBER(SEARCH(""Bonus Action"", AE314)),
  ""Bonus Action"",
  IF(
    ISNUMBER(SEARCH(""Reaction"", AE314)),
    ""Reaction"",
    IF(
      ISNUMBER(SEARCH(""Action"", AE314)),
      ""Action"",
      TEXTJOIN("", "", TRUE, FILTER(Validations!$S"&amp;"$2:$S$100, ISNUMBER(SEARCH(Validations!$S$2:$S$100, AE314))))
    )
  )
)"),"Hours")</f>
        <v>Hours</v>
      </c>
      <c r="AH314" s="22"/>
      <c r="AI314" s="27" t="s">
        <v>255</v>
      </c>
      <c r="AJ314" s="26" t="str">
        <f>IFERROR(__xludf.DUMMYFUNCTION("TEXTJOIN("", "", TRUE, FILTER(Validations!$T$2:$T$100, ISNUMBER(SEARCH(Validations!$T$2:$T$100, AI314))))"),"Permanent")</f>
        <v>Permanent</v>
      </c>
      <c r="AK314" s="26" t="str">
        <f>IFERROR(__xludf.DUMMYFUNCTION("IFERROR(VALUE(REGEXEXTRACT(AI314, ""\d+"")), """")"),"")</f>
        <v/>
      </c>
      <c r="AL314" s="26" t="str">
        <f>IFERROR(__xludf.DUMMYFUNCTION("TEXTJOIN("", "", TRUE, FILTER(Validations!$U$2:$U$100, ISNUMBER(SEARCH(Validations!$U$2:$U$100, AI314))))"),"")</f>
        <v/>
      </c>
      <c r="AM314" s="24" t="b">
        <f t="shared" si="1"/>
        <v>0</v>
      </c>
      <c r="AN314" s="24" t="b">
        <v>0</v>
      </c>
      <c r="AO314" s="22" t="s">
        <v>71</v>
      </c>
      <c r="AP314" s="12" t="str">
        <f>IFERROR(__xludf.DUMMYFUNCTION("IF(TEXTJOIN("", "", TRUE, FILTER(Validations!$Q$2:$Q$100, ISNUMBER(SEARCH(Validations!$Q$2:$Q$100, AO314)))) = """", Validations!$Q$2, TEXTJOIN("", "", TRUE, FILTER(Validations!$Q$2:$Q$100, ISNUMBER(SEARCH(Validations!$Q$2:$Q$100, AO314)))))"),"Point")</f>
        <v>Point</v>
      </c>
      <c r="AQ314" s="12" t="str">
        <f>IFERROR(__xludf.DUMMYFUNCTION("IFERROR(VALUE(REGEXEXTRACT(AO314, ""\d+"")), """")"),"")</f>
        <v/>
      </c>
      <c r="AR314" s="12" t="str">
        <f>IFERROR(__xludf.DUMMYFUNCTION("TEXTJOIN("", "", TRUE, FILTER(Validations!$R$2:$R$100, ISNUMBER(SEARCH(Validations!$R$2:$R$100, AO314))))"),"Touch")</f>
        <v>Touch</v>
      </c>
      <c r="AS314" s="27"/>
      <c r="AT314" s="12" t="str">
        <f>IFERROR(__xludf.DUMMYFUNCTION("IFERROR(TEXTJOIN("", "", TRUE, FILTER(Validations!$I$2:$I$100, ISNUMBER(SEARCH(Validations!$I$2:$I$100, AS314)))), """")"),"")</f>
        <v/>
      </c>
      <c r="AU314" s="16" t="str">
        <f t="array" ref="AU314">IFERROR(INDEX(Validations!$J$2:$J$100, MATCH(TRUE, ISNUMBER(SEARCH(Validations!$I$2:$I$100, AT314)), 0)), "")</f>
        <v/>
      </c>
      <c r="AV314" s="12" t="str">
        <f>IFERROR(__xludf.DUMMYFUNCTION("IFERROR(VALUE(REGEXEXTRACT(AS314, ""\d+"")), """")"),"")</f>
        <v/>
      </c>
      <c r="AW314" s="12" t="str">
        <f>IFERROR(__xludf.DUMMYFUNCTION("IFERROR(TEXTJOIN("", "", TRUE, FILTER(Validations!$Q$2:$Q$100, ISNUMBER(SEARCH(Validations!$Q$2:$Q$100, AS314)))), """")"),"")</f>
        <v/>
      </c>
      <c r="AX314" s="28" t="s">
        <v>152</v>
      </c>
      <c r="AY314" s="28" t="str">
        <f>IFERROR(__xludf.DUMMYFUNCTION("TEXTJOIN("", "", TRUE, FILTER(Validations!$Y$2:$Y$100, ISNUMBER(SEARCH(Validations!$X$2:$X$100, AX314))))"),"V, S, R")</f>
        <v>V, S, R</v>
      </c>
      <c r="AZ314" s="20" t="s">
        <v>1506</v>
      </c>
      <c r="BA314" s="22"/>
      <c r="BB314" s="22"/>
      <c r="BC314" s="22"/>
      <c r="BD314" s="22"/>
      <c r="BE314" s="27"/>
      <c r="BF314" s="22"/>
      <c r="BG314" s="27"/>
      <c r="BH314" s="27"/>
      <c r="BI314" s="12" t="str">
        <f>IFERROR(__xludf.DUMMYFUNCTION("IFERROR(TEXTJOIN("", "", TRUE, FILTER(SRD!$A$2:$A$1000, EXACT(SRD!$A$2:$A$1000, J314))), """")"),"")</f>
        <v/>
      </c>
      <c r="BJ314" s="29"/>
      <c r="BK314" s="29"/>
    </row>
    <row r="315" ht="15.75" customHeight="1">
      <c r="A315" s="30" t="s">
        <v>1507</v>
      </c>
      <c r="B315" s="22"/>
      <c r="C315" s="31"/>
      <c r="D315" s="31" t="s">
        <v>74</v>
      </c>
      <c r="E315" s="31"/>
      <c r="F315" s="32" t="s">
        <v>844</v>
      </c>
      <c r="G315" s="50" t="s">
        <v>1452</v>
      </c>
      <c r="H315" s="31" t="s">
        <v>144</v>
      </c>
      <c r="I315" s="16" t="str">
        <f t="array" ref="I315">INDEX(Validations!$C$2:$C$100, MATCH(TRUE, ISNUMBER(SEARCH(Validations!$B$2:$B$100, H315)), 0))</f>
        <v>D</v>
      </c>
      <c r="J315" s="17" t="s">
        <v>1508</v>
      </c>
      <c r="K315" s="18"/>
      <c r="L315" s="17"/>
      <c r="M315" s="17"/>
      <c r="N315" s="27"/>
      <c r="O315" s="17"/>
      <c r="P315" s="21"/>
      <c r="Q315" s="21"/>
      <c r="R315" s="22"/>
      <c r="S315" s="17" t="str">
        <f>IFERROR(__xludf.DUMMYFUNCTION("IFERROR(REGEXEXTRACT(J315, ""(\d{1,3}[dD]\d{1,3})""), """")"),"")</f>
        <v/>
      </c>
      <c r="T315" s="17" t="str">
        <f>IFERROR(__xludf.DUMMYFUNCTION("IF(COUNTIF(ARRAYFORMULA(LOWER(Validations!$O$2:$O$100)), LOWER(REGEXEXTRACT(J315, ""\d{1,3}[dD]\d{1,3}\s+(\w+)"")))&gt;0, REGEXEXTRACT(J315, ""\d{1,3}[dD]\d{1,3}\s+(\w+)""), """")"),"")</f>
        <v/>
      </c>
      <c r="U315" s="17" t="str">
        <f>IFERROR(__xludf.DUMMYFUNCTION("IF(COUNTIF(ARRAYFORMULA(LOWER(Validations!$P$2:$P$100)), LOWER(REGEXEXTRACT(J315, ""\d{1,3}[dD]\d{1,3}\s+(\w+)"")))&gt;0, REGEXEXTRACT(J315, ""\d{1,3}[dD]\d{1,3}\s+(\w+)""), """")"),"")</f>
        <v/>
      </c>
      <c r="V315" s="12" t="str">
        <f>IFERROR(__xludf.DUMMYFUNCTION("TEXTJOIN("", "", TRUE, FILTER(Validations!$L$2:$L$100, ISNUMBER(SEARCH(Validations!$L$2:$L$100, J315))))"),"")</f>
        <v/>
      </c>
      <c r="W315" s="12" t="str">
        <f>IFERROR(__xludf.DUMMYFUNCTION("IFERROR(TEXTJOIN("", "", TRUE, FILTER(Validations!$M$2:$M$100, ISNUMBER(SEARCH(Validations!$M$2:$M$100 &amp; "" saving throw"", J315)))), """")"),"Charisma")</f>
        <v>Charisma</v>
      </c>
      <c r="X315" s="12"/>
      <c r="Y315" s="12"/>
      <c r="Z315" s="12" t="str">
        <f>IFERROR(__xludf.DUMMYFUNCTION("IFERROR(TEXTJOIN("", "", TRUE, FILTER(Validations!$N$2:$N$100, ISNUMBER(SEARCH(Validations!$N$2:$N$100 &amp; "" check"", J315)))), """")"),"")</f>
        <v/>
      </c>
      <c r="AA315" s="12" t="str">
        <f>IFERROR(__xludf.DUMMYFUNCTION("IFERROR(TEXTJOIN("", "", TRUE, FILTER(Validations!$N$2:$N$100, ISNUMBER(SEARCH(Validations!$N$2:$N$100 &amp; "" check"", W315)))), """")"),"")</f>
        <v/>
      </c>
      <c r="AB315" s="23" t="str">
        <f>IFERROR(__xludf.DUMMYFUNCTION("IFERROR(CONCATENATE(IF(ISNUMBER(SEARCH(Validations!$M$2:$M$100 &amp; "" spell save"", J315)),""Spell Save"",""""), REGEXEXTRACT(J315, ""DC (\d+)"")), """")"),"")</f>
        <v/>
      </c>
      <c r="AC315" s="24" t="b">
        <v>0</v>
      </c>
      <c r="AD315" s="24" t="b">
        <v>0</v>
      </c>
      <c r="AE315" s="36" t="s">
        <v>69</v>
      </c>
      <c r="AF315" s="25">
        <f>IFERROR(__xludf.DUMMYFUNCTION("IFERROR(VALUE(REGEXEXTRACT(AE315, ""\d+"")), 1)"),1.0)</f>
        <v>1</v>
      </c>
      <c r="AG315" s="12" t="str">
        <f>IFERROR(__xludf.DUMMYFUNCTION("IF(
  ISNUMBER(SEARCH(""Bonus Action"", AE315)),
  ""Bonus Action"",
  IF(
    ISNUMBER(SEARCH(""Reaction"", AE315)),
    ""Reaction"",
    IF(
      ISNUMBER(SEARCH(""Action"", AE315)),
      ""Action"",
      TEXTJOIN("", "", TRUE, FILTER(Validations!$S"&amp;"$2:$S$100, ISNUMBER(SEARCH(Validations!$S$2:$S$100, AE315))))
    )
  )
)"),"Action")</f>
        <v>Action</v>
      </c>
      <c r="AH315" s="36"/>
      <c r="AI315" s="27" t="s">
        <v>70</v>
      </c>
      <c r="AJ315" s="26" t="str">
        <f>IFERROR(__xludf.DUMMYFUNCTION("TEXTJOIN("", "", TRUE, FILTER(Validations!$T$2:$T$100, ISNUMBER(SEARCH(Validations!$T$2:$T$100, AI315))))"),"Instantaneous")</f>
        <v>Instantaneous</v>
      </c>
      <c r="AK315" s="26" t="str">
        <f>IFERROR(__xludf.DUMMYFUNCTION("IFERROR(VALUE(REGEXEXTRACT(AI315, ""\d+"")), """")"),"")</f>
        <v/>
      </c>
      <c r="AL315" s="26" t="str">
        <f>IFERROR(__xludf.DUMMYFUNCTION("TEXTJOIN("", "", TRUE, FILTER(Validations!$U$2:$U$100, ISNUMBER(SEARCH(Validations!$U$2:$U$100, AI315))))"),"")</f>
        <v/>
      </c>
      <c r="AM315" s="24" t="b">
        <f t="shared" si="1"/>
        <v>0</v>
      </c>
      <c r="AN315" s="24" t="b">
        <v>0</v>
      </c>
      <c r="AO315" s="22" t="s">
        <v>112</v>
      </c>
      <c r="AP315" s="12" t="str">
        <f>IFERROR(__xludf.DUMMYFUNCTION("IF(TEXTJOIN("", "", TRUE, FILTER(Validations!$Q$2:$Q$100, ISNUMBER(SEARCH(Validations!$Q$2:$Q$100, AO315)))) = """", Validations!$Q$2, TEXTJOIN("", "", TRUE, FILTER(Validations!$Q$2:$Q$100, ISNUMBER(SEARCH(Validations!$Q$2:$Q$100, AO315)))))"),"Point")</f>
        <v>Point</v>
      </c>
      <c r="AQ315" s="12">
        <f>IFERROR(__xludf.DUMMYFUNCTION("IFERROR(VALUE(REGEXEXTRACT(AO315, ""\d+"")), """")"),30.0)</f>
        <v>30</v>
      </c>
      <c r="AR315" s="12" t="str">
        <f>IFERROR(__xludf.DUMMYFUNCTION("TEXTJOIN("", "", TRUE, FILTER(Validations!$R$2:$R$100, ISNUMBER(SEARCH(Validations!$R$2:$R$100, AO315))))"),"Feet")</f>
        <v>Feet</v>
      </c>
      <c r="AS315" s="27"/>
      <c r="AT315" s="12" t="str">
        <f>IFERROR(__xludf.DUMMYFUNCTION("IFERROR(TEXTJOIN("", "", TRUE, FILTER(Validations!$I$2:$I$100, ISNUMBER(SEARCH(Validations!$I$2:$I$100, AS315)))), """")"),"")</f>
        <v/>
      </c>
      <c r="AU315" s="16" t="str">
        <f t="array" ref="AU315">IFERROR(INDEX(Validations!$J$2:$J$100, MATCH(TRUE, ISNUMBER(SEARCH(Validations!$I$2:$I$100, AT315)), 0)), "")</f>
        <v/>
      </c>
      <c r="AV315" s="12" t="str">
        <f>IFERROR(__xludf.DUMMYFUNCTION("IFERROR(VALUE(REGEXEXTRACT(AS315, ""\d+"")), """")"),"")</f>
        <v/>
      </c>
      <c r="AW315" s="12" t="str">
        <f>IFERROR(__xludf.DUMMYFUNCTION("IFERROR(TEXTJOIN("", "", TRUE, FILTER(Validations!$Q$2:$Q$100, ISNUMBER(SEARCH(Validations!$Q$2:$Q$100, AS315)))), """")"),"")</f>
        <v/>
      </c>
      <c r="AX315" s="28" t="s">
        <v>152</v>
      </c>
      <c r="AY315" s="28" t="str">
        <f>IFERROR(__xludf.DUMMYFUNCTION("TEXTJOIN("", "", TRUE, FILTER(Validations!$Y$2:$Y$100, ISNUMBER(SEARCH(Validations!$X$2:$X$100, AX315))))"),"V, S, R")</f>
        <v>V, S, R</v>
      </c>
      <c r="AZ315" s="20" t="s">
        <v>1509</v>
      </c>
      <c r="BA315" s="22"/>
      <c r="BB315" s="22"/>
      <c r="BC315" s="22"/>
      <c r="BD315" s="22"/>
      <c r="BE315" s="27"/>
      <c r="BF315" s="22"/>
      <c r="BG315" s="27"/>
      <c r="BH315" s="27"/>
      <c r="BI315" s="12" t="str">
        <f>IFERROR(__xludf.DUMMYFUNCTION("IFERROR(TEXTJOIN("", "", TRUE, FILTER(SRD!$A$2:$A$1000, EXACT(SRD!$A$2:$A$1000, J315))), """")"),"")</f>
        <v/>
      </c>
      <c r="BJ315" s="29"/>
      <c r="BK315" s="29"/>
    </row>
    <row r="316" ht="15.75" customHeight="1">
      <c r="A316" s="30" t="s">
        <v>1510</v>
      </c>
      <c r="B316" s="22"/>
      <c r="C316" s="31"/>
      <c r="D316" s="31" t="s">
        <v>74</v>
      </c>
      <c r="E316" s="31"/>
      <c r="F316" s="32" t="s">
        <v>1267</v>
      </c>
      <c r="G316" s="50" t="s">
        <v>1452</v>
      </c>
      <c r="H316" s="31" t="s">
        <v>144</v>
      </c>
      <c r="I316" s="16" t="str">
        <f t="array" ref="I316">INDEX(Validations!$C$2:$C$100, MATCH(TRUE, ISNUMBER(SEARCH(Validations!$B$2:$B$100, H316)), 0))</f>
        <v>D</v>
      </c>
      <c r="J316" s="17" t="s">
        <v>1511</v>
      </c>
      <c r="K316" s="18" t="s">
        <v>1512</v>
      </c>
      <c r="L316" s="17"/>
      <c r="M316" s="17"/>
      <c r="N316" s="27"/>
      <c r="O316" s="17"/>
      <c r="P316" s="21"/>
      <c r="Q316" s="21"/>
      <c r="R316" s="22"/>
      <c r="S316" s="17" t="str">
        <f>IFERROR(__xludf.DUMMYFUNCTION("IFERROR(REGEXEXTRACT(J316, ""(\d{1,3}[dD]\d{1,3})""), """")"),"")</f>
        <v/>
      </c>
      <c r="T316" s="17" t="str">
        <f>IFERROR(__xludf.DUMMYFUNCTION("IF(COUNTIF(ARRAYFORMULA(LOWER(Validations!$O$2:$O$100)), LOWER(REGEXEXTRACT(J316, ""\d{1,3}[dD]\d{1,3}\s+(\w+)"")))&gt;0, REGEXEXTRACT(J316, ""\d{1,3}[dD]\d{1,3}\s+(\w+)""), """")"),"")</f>
        <v/>
      </c>
      <c r="U316" s="17" t="str">
        <f>IFERROR(__xludf.DUMMYFUNCTION("IF(COUNTIF(ARRAYFORMULA(LOWER(Validations!$P$2:$P$100)), LOWER(REGEXEXTRACT(J316, ""\d{1,3}[dD]\d{1,3}\s+(\w+)"")))&gt;0, REGEXEXTRACT(J316, ""\d{1,3}[dD]\d{1,3}\s+(\w+)""), """")"),"")</f>
        <v/>
      </c>
      <c r="V316" s="12" t="str">
        <f>IFERROR(__xludf.DUMMYFUNCTION("TEXTJOIN("", "", TRUE, FILTER(Validations!$L$2:$L$100, ISNUMBER(SEARCH(Validations!$L$2:$L$100, J316))))"),"Altered, Restrained, Unconscious")</f>
        <v>Altered, Restrained, Unconscious</v>
      </c>
      <c r="W316" s="12" t="str">
        <f>IFERROR(__xludf.DUMMYFUNCTION("IFERROR(TEXTJOIN("", "", TRUE, FILTER(Validations!$M$2:$M$100, ISNUMBER(SEARCH(Validations!$M$2:$M$100 &amp; "" saving throw"", J316)))), """")"),"")</f>
        <v/>
      </c>
      <c r="X316" s="12"/>
      <c r="Y316" s="12"/>
      <c r="Z316" s="12" t="str">
        <f>IFERROR(__xludf.DUMMYFUNCTION("IFERROR(TEXTJOIN("", "", TRUE, FILTER(Validations!$N$2:$N$100, ISNUMBER(SEARCH(Validations!$N$2:$N$100 &amp; "" check"", J316)))), """")"),"")</f>
        <v/>
      </c>
      <c r="AA316" s="12" t="str">
        <f>IFERROR(__xludf.DUMMYFUNCTION("IFERROR(TEXTJOIN("", "", TRUE, FILTER(Validations!$N$2:$N$100, ISNUMBER(SEARCH(Validations!$N$2:$N$100 &amp; "" check"", W316)))), """")"),"")</f>
        <v/>
      </c>
      <c r="AB316" s="23" t="str">
        <f>IFERROR(__xludf.DUMMYFUNCTION("IFERROR(CONCATENATE(IF(ISNUMBER(SEARCH(Validations!$M$2:$M$100 &amp; "" spell save"", J316)),""Spell Save"",""""), REGEXEXTRACT(J316, ""DC (\d+)"")), """")"),"")</f>
        <v/>
      </c>
      <c r="AC316" s="24" t="b">
        <v>0</v>
      </c>
      <c r="AD316" s="24" t="b">
        <v>0</v>
      </c>
      <c r="AE316" s="36" t="s">
        <v>69</v>
      </c>
      <c r="AF316" s="25">
        <f>IFERROR(__xludf.DUMMYFUNCTION("IFERROR(VALUE(REGEXEXTRACT(AE316, ""\d+"")), 1)"),1.0)</f>
        <v>1</v>
      </c>
      <c r="AG316" s="12" t="str">
        <f>IFERROR(__xludf.DUMMYFUNCTION("IF(
  ISNUMBER(SEARCH(""Bonus Action"", AE316)),
  ""Bonus Action"",
  IF(
    ISNUMBER(SEARCH(""Reaction"", AE316)),
    ""Reaction"",
    IF(
      ISNUMBER(SEARCH(""Action"", AE316)),
      ""Action"",
      TEXTJOIN("", "", TRUE, FILTER(Validations!$S"&amp;"$2:$S$100, ISNUMBER(SEARCH(Validations!$S$2:$S$100, AE316))))
    )
  )
)"),"Action")</f>
        <v>Action</v>
      </c>
      <c r="AH316" s="36"/>
      <c r="AI316" s="27" t="s">
        <v>255</v>
      </c>
      <c r="AJ316" s="26" t="str">
        <f>IFERROR(__xludf.DUMMYFUNCTION("TEXTJOIN("", "", TRUE, FILTER(Validations!$T$2:$T$100, ISNUMBER(SEARCH(Validations!$T$2:$T$100, AI316))))"),"Permanent")</f>
        <v>Permanent</v>
      </c>
      <c r="AK316" s="26" t="str">
        <f>IFERROR(__xludf.DUMMYFUNCTION("IFERROR(VALUE(REGEXEXTRACT(AI316, ""\d+"")), """")"),"")</f>
        <v/>
      </c>
      <c r="AL316" s="26" t="str">
        <f>IFERROR(__xludf.DUMMYFUNCTION("TEXTJOIN("", "", TRUE, FILTER(Validations!$U$2:$U$100, ISNUMBER(SEARCH(Validations!$U$2:$U$100, AI316))))"),"")</f>
        <v/>
      </c>
      <c r="AM316" s="24" t="b">
        <f t="shared" si="1"/>
        <v>0</v>
      </c>
      <c r="AN316" s="24" t="b">
        <v>0</v>
      </c>
      <c r="AO316" s="22" t="s">
        <v>71</v>
      </c>
      <c r="AP316" s="12" t="str">
        <f>IFERROR(__xludf.DUMMYFUNCTION("IF(TEXTJOIN("", "", TRUE, FILTER(Validations!$Q$2:$Q$100, ISNUMBER(SEARCH(Validations!$Q$2:$Q$100, AO316)))) = """", Validations!$Q$2, TEXTJOIN("", "", TRUE, FILTER(Validations!$Q$2:$Q$100, ISNUMBER(SEARCH(Validations!$Q$2:$Q$100, AO316)))))"),"Point")</f>
        <v>Point</v>
      </c>
      <c r="AQ316" s="12" t="str">
        <f>IFERROR(__xludf.DUMMYFUNCTION("IFERROR(VALUE(REGEXEXTRACT(AO316, ""\d+"")), """")"),"")</f>
        <v/>
      </c>
      <c r="AR316" s="12" t="str">
        <f>IFERROR(__xludf.DUMMYFUNCTION("TEXTJOIN("", "", TRUE, FILTER(Validations!$R$2:$R$100, ISNUMBER(SEARCH(Validations!$R$2:$R$100, AO316))))"),"Touch")</f>
        <v>Touch</v>
      </c>
      <c r="AS316" s="27"/>
      <c r="AT316" s="12" t="str">
        <f>IFERROR(__xludf.DUMMYFUNCTION("IFERROR(TEXTJOIN("", "", TRUE, FILTER(Validations!$I$2:$I$100, ISNUMBER(SEARCH(Validations!$I$2:$I$100, AS316)))), """")"),"")</f>
        <v/>
      </c>
      <c r="AU316" s="16" t="str">
        <f t="array" ref="AU316">IFERROR(INDEX(Validations!$J$2:$J$100, MATCH(TRUE, ISNUMBER(SEARCH(Validations!$I$2:$I$100, AT316)), 0)), "")</f>
        <v/>
      </c>
      <c r="AV316" s="12" t="str">
        <f>IFERROR(__xludf.DUMMYFUNCTION("IFERROR(VALUE(REGEXEXTRACT(AS316, ""\d+"")), """")"),"")</f>
        <v/>
      </c>
      <c r="AW316" s="12" t="str">
        <f>IFERROR(__xludf.DUMMYFUNCTION("IFERROR(TEXTJOIN("", "", TRUE, FILTER(Validations!$Q$2:$Q$100, ISNUMBER(SEARCH(Validations!$Q$2:$Q$100, AS316)))), """")"),"")</f>
        <v/>
      </c>
      <c r="AX316" s="28" t="s">
        <v>152</v>
      </c>
      <c r="AY316" s="28" t="str">
        <f>IFERROR(__xludf.DUMMYFUNCTION("TEXTJOIN("", "", TRUE, FILTER(Validations!$Y$2:$Y$100, ISNUMBER(SEARCH(Validations!$X$2:$X$100, AX316))))"),"V, S, R")</f>
        <v>V, S, R</v>
      </c>
      <c r="AZ316" s="20" t="s">
        <v>1513</v>
      </c>
      <c r="BA316" s="22"/>
      <c r="BB316" s="22"/>
      <c r="BC316" s="22"/>
      <c r="BD316" s="22"/>
      <c r="BE316" s="27"/>
      <c r="BF316" s="22"/>
      <c r="BG316" s="27"/>
      <c r="BH316" s="27"/>
      <c r="BI316" s="12" t="str">
        <f>IFERROR(__xludf.DUMMYFUNCTION("IFERROR(TEXTJOIN("", "", TRUE, FILTER(SRD!$A$2:$A$1000, EXACT(SRD!$A$2:$A$1000, J316))), """")"),"")</f>
        <v/>
      </c>
      <c r="BJ316" s="29"/>
      <c r="BK316" s="29"/>
    </row>
    <row r="317" ht="15.75" customHeight="1">
      <c r="A317" s="55" t="s">
        <v>1514</v>
      </c>
      <c r="B317" s="12"/>
      <c r="C317" s="61"/>
      <c r="D317" s="61" t="s">
        <v>1515</v>
      </c>
      <c r="E317" s="61"/>
      <c r="F317" s="32" t="s">
        <v>443</v>
      </c>
      <c r="G317" s="57" t="s">
        <v>1452</v>
      </c>
      <c r="H317" s="58" t="s">
        <v>85</v>
      </c>
      <c r="I317" s="16" t="str">
        <f t="array" ref="I317">INDEX(Validations!$C$2:$C$100, MATCH(TRUE, ISNUMBER(SEARCH(Validations!$B$2:$B$100, H317)), 0))</f>
        <v>T</v>
      </c>
      <c r="J317" s="36" t="s">
        <v>1516</v>
      </c>
      <c r="K317" s="34"/>
      <c r="L317" s="36"/>
      <c r="M317" s="59"/>
      <c r="N317" s="27"/>
      <c r="O317" s="59"/>
      <c r="P317" s="60"/>
      <c r="Q317" s="60"/>
      <c r="R317" s="22"/>
      <c r="S317" s="17" t="str">
        <f>IFERROR(__xludf.DUMMYFUNCTION("IFERROR(REGEXEXTRACT(J317, ""(\d{1,3}[dD]\d{1,3})""), """")"),"")</f>
        <v/>
      </c>
      <c r="T317" s="17" t="str">
        <f>IFERROR(__xludf.DUMMYFUNCTION("IF(COUNTIF(ARRAYFORMULA(LOWER(Validations!$O$2:$O$100)), LOWER(REGEXEXTRACT(J317, ""\d{1,3}[dD]\d{1,3}\s+(\w+)"")))&gt;0, REGEXEXTRACT(J317, ""\d{1,3}[dD]\d{1,3}\s+(\w+)""), """")"),"")</f>
        <v/>
      </c>
      <c r="U317" s="17" t="str">
        <f>IFERROR(__xludf.DUMMYFUNCTION("IF(COUNTIF(ARRAYFORMULA(LOWER(Validations!$P$2:$P$100)), LOWER(REGEXEXTRACT(J317, ""\d{1,3}[dD]\d{1,3}\s+(\w+)"")))&gt;0, REGEXEXTRACT(J317, ""\d{1,3}[dD]\d{1,3}\s+(\w+)""), """")"),"")</f>
        <v/>
      </c>
      <c r="V317" s="12"/>
      <c r="W317" s="12" t="str">
        <f>IFERROR(__xludf.DUMMYFUNCTION("IFERROR(TEXTJOIN("", "", TRUE, FILTER(Validations!$M$2:$M$100, ISNUMBER(SEARCH(Validations!$M$2:$M$100 &amp; "" saving throw"", J317)))), """")"),"")</f>
        <v/>
      </c>
      <c r="X317" s="12"/>
      <c r="Y317" s="12"/>
      <c r="Z317" s="12" t="str">
        <f>IFERROR(__xludf.DUMMYFUNCTION("IFERROR(TEXTJOIN("", "", TRUE, FILTER(Validations!$N$2:$N$100, ISNUMBER(SEARCH(Validations!$N$2:$N$100 &amp; "" check"", J317)))), """")"),"")</f>
        <v/>
      </c>
      <c r="AA317" s="12" t="str">
        <f>IFERROR(__xludf.DUMMYFUNCTION("IFERROR(TEXTJOIN("", "", TRUE, FILTER(Validations!$N$2:$N$100, ISNUMBER(SEARCH(Validations!$N$2:$N$100 &amp; "" check"", W317)))), """")"),"")</f>
        <v/>
      </c>
      <c r="AB317" s="23" t="str">
        <f>IFERROR(__xludf.DUMMYFUNCTION("IFERROR(CONCATENATE(IF(ISNUMBER(SEARCH(Validations!$M$2:$M$100 &amp; "" spell save"", J317)),""Spell Save"",""""), REGEXEXTRACT(J317, ""DC (\d+)"")), """")"),"")</f>
        <v/>
      </c>
      <c r="AC317" s="24" t="b">
        <v>0</v>
      </c>
      <c r="AD317" s="24" t="b">
        <v>0</v>
      </c>
      <c r="AE317" s="36" t="s">
        <v>435</v>
      </c>
      <c r="AF317" s="25">
        <f>IFERROR(__xludf.DUMMYFUNCTION("IFERROR(VALUE(REGEXEXTRACT(AE317, ""\d+"")), 1)"),1.0)</f>
        <v>1</v>
      </c>
      <c r="AG317" s="12" t="str">
        <f>IFERROR(__xludf.DUMMYFUNCTION("IF(
  ISNUMBER(SEARCH(""Bonus Action"", AE317)),
  ""Bonus Action"",
  IF(
    ISNUMBER(SEARCH(""Reaction"", AE317)),
    ""Reaction"",
    IF(
      ISNUMBER(SEARCH(""Action"", AE317)),
      ""Action"",
      TEXTJOIN("", "", TRUE, FILTER(Validations!$S"&amp;"$2:$S$100, ISNUMBER(SEARCH(Validations!$S$2:$S$100, AE317))))
    )
  )
)"),"Bonus Action")</f>
        <v>Bonus Action</v>
      </c>
      <c r="AH317" s="36"/>
      <c r="AI317" s="20" t="s">
        <v>1517</v>
      </c>
      <c r="AJ317" s="26" t="str">
        <f>IFERROR(__xludf.DUMMYFUNCTION("TEXTJOIN("", "", TRUE, FILTER(Validations!$T$2:$T$100, ISNUMBER(SEARCH(Validations!$T$2:$T$100, AI317))))"),"")</f>
        <v/>
      </c>
      <c r="AK317" s="26">
        <f>IFERROR(__xludf.DUMMYFUNCTION("IFERROR(VALUE(REGEXEXTRACT(AI317, ""\d+"")), """")"),9.0)</f>
        <v>9</v>
      </c>
      <c r="AL317" s="26" t="str">
        <f>IFERROR(__xludf.DUMMYFUNCTION("TEXTJOIN("", "", TRUE, FILTER(Validations!$U$2:$U$100, ISNUMBER(SEARCH(Validations!$U$2:$U$100, AI317))))"),"Rounds")</f>
        <v>Rounds</v>
      </c>
      <c r="AM317" s="24" t="b">
        <f t="shared" si="1"/>
        <v>0</v>
      </c>
      <c r="AN317" s="41" t="b">
        <v>0</v>
      </c>
      <c r="AO317" s="36" t="s">
        <v>78</v>
      </c>
      <c r="AP317" s="12" t="str">
        <f>IFERROR(__xludf.DUMMYFUNCTION("IF(TEXTJOIN("", "", TRUE, FILTER(Validations!$Q$2:$Q$100, ISNUMBER(SEARCH(Validations!$Q$2:$Q$100, AO317)))) = """", Validations!$Q$2, TEXTJOIN("", "", TRUE, FILTER(Validations!$Q$2:$Q$100, ISNUMBER(SEARCH(Validations!$Q$2:$Q$100, AO317)))))"),"Point")</f>
        <v>Point</v>
      </c>
      <c r="AQ317" s="12" t="str">
        <f>IFERROR(__xludf.DUMMYFUNCTION("IFERROR(VALUE(REGEXEXTRACT(AO317, ""\d+"")), """")"),"")</f>
        <v/>
      </c>
      <c r="AR317" s="12" t="str">
        <f>IFERROR(__xludf.DUMMYFUNCTION("TEXTJOIN("", "", TRUE, FILTER(Validations!$R$2:$R$100, ISNUMBER(SEARCH(Validations!$R$2:$R$100, AO317))))"),"Self")</f>
        <v>Self</v>
      </c>
      <c r="AS317" s="27"/>
      <c r="AT317" s="12" t="str">
        <f>IFERROR(__xludf.DUMMYFUNCTION("IFERROR(TEXTJOIN("", "", TRUE, FILTER(Validations!$I$2:$I$100, ISNUMBER(SEARCH(Validations!$I$2:$I$100, AS317)))), """")"),"")</f>
        <v/>
      </c>
      <c r="AU317" s="16" t="str">
        <f t="array" ref="AU317">IFERROR(INDEX(Validations!$J$2:$J$100, MATCH(TRUE, ISNUMBER(SEARCH(Validations!$I$2:$I$100, AT317)), 0)), "")</f>
        <v/>
      </c>
      <c r="AV317" s="12" t="str">
        <f>IFERROR(__xludf.DUMMYFUNCTION("IFERROR(VALUE(REGEXEXTRACT(AS317, ""\d+"")), """")"),"")</f>
        <v/>
      </c>
      <c r="AW317" s="12" t="str">
        <f>IFERROR(__xludf.DUMMYFUNCTION("IFERROR(TEXTJOIN("", "", TRUE, FILTER(Validations!$Q$2:$Q$100, ISNUMBER(SEARCH(Validations!$Q$2:$Q$100, AS317)))), """")"),"")</f>
        <v/>
      </c>
      <c r="AX317" s="28" t="s">
        <v>142</v>
      </c>
      <c r="AY317" s="28" t="str">
        <f>IFERROR(__xludf.DUMMYFUNCTION("TEXTJOIN("", "", TRUE, FILTER(Validations!$Y$2:$Y$100, ISNUMBER(SEARCH(Validations!$X$2:$X$100, AX317))))"),"V, S")</f>
        <v>V, S</v>
      </c>
      <c r="AZ317" s="26"/>
      <c r="BA317" s="59"/>
      <c r="BB317" s="22"/>
      <c r="BC317" s="22"/>
      <c r="BD317" s="22"/>
      <c r="BE317" s="27"/>
      <c r="BF317" s="22"/>
      <c r="BG317" s="27"/>
      <c r="BH317" s="27"/>
      <c r="BI317" s="12" t="str">
        <f>IFERROR(__xludf.DUMMYFUNCTION("IFERROR(TEXTJOIN("", "", TRUE, FILTER(SRD!$A$2:$A$1000, EXACT(SRD!$A$2:$A$1000, J317))), """")"),"")</f>
        <v/>
      </c>
      <c r="BJ317" s="29"/>
      <c r="BK317" s="29"/>
    </row>
    <row r="318" ht="15.75" customHeight="1">
      <c r="A318" s="30" t="s">
        <v>1518</v>
      </c>
      <c r="B318" s="22"/>
      <c r="C318" s="31"/>
      <c r="D318" s="31" t="s">
        <v>74</v>
      </c>
      <c r="E318" s="31"/>
      <c r="F318" s="32" t="s">
        <v>1519</v>
      </c>
      <c r="G318" s="50" t="s">
        <v>1452</v>
      </c>
      <c r="H318" s="16" t="s">
        <v>76</v>
      </c>
      <c r="I318" s="16" t="str">
        <f t="array" ref="I318">INDEX(Validations!$C$2:$C$100, MATCH(TRUE, ISNUMBER(SEARCH(Validations!$B$2:$B$100, H318)), 0))</f>
        <v>V</v>
      </c>
      <c r="J318" s="17" t="s">
        <v>1520</v>
      </c>
      <c r="K318" s="18"/>
      <c r="L318" s="17"/>
      <c r="M318" s="17"/>
      <c r="N318" s="27"/>
      <c r="O318" s="17"/>
      <c r="P318" s="21"/>
      <c r="Q318" s="21"/>
      <c r="R318" s="22"/>
      <c r="S318" s="17" t="str">
        <f>IFERROR(__xludf.DUMMYFUNCTION("IFERROR(REGEXEXTRACT(J318, ""(\d{1,3}[dD]\d{1,3})""), """")"),"4d10")</f>
        <v>4d10</v>
      </c>
      <c r="T318" s="17" t="str">
        <f>IFERROR(__xludf.DUMMYFUNCTION("IF(COUNTIF(ARRAYFORMULA(LOWER(Validations!$O$2:$O$100)), LOWER(REGEXEXTRACT(J318, ""\d{1,3}[dD]\d{1,3}\s+(\w+)"")))&gt;0, REGEXEXTRACT(J318, ""\d{1,3}[dD]\d{1,3}\s+(\w+)""), """")"),"impact")</f>
        <v>impact</v>
      </c>
      <c r="U318" s="17" t="str">
        <f>IFERROR(__xludf.DUMMYFUNCTION("IF(COUNTIF(ARRAYFORMULA(LOWER(Validations!$P$2:$P$100)), LOWER(REGEXEXTRACT(J318, ""\d{1,3}[dD]\d{1,3}\s+(\w+)"")))&gt;0, REGEXEXTRACT(J318, ""\d{1,3}[dD]\d{1,3}\s+(\w+)""), """")"),"")</f>
        <v/>
      </c>
      <c r="V318" s="12" t="str">
        <f>IFERROR(__xludf.DUMMYFUNCTION("TEXTJOIN("", "", TRUE, FILTER(Validations!$L$2:$L$100, ISNUMBER(SEARCH(Validations!$L$2:$L$100, J318))))"),"")</f>
        <v/>
      </c>
      <c r="W318" s="12" t="str">
        <f>IFERROR(__xludf.DUMMYFUNCTION("IFERROR(TEXTJOIN("", "", TRUE, FILTER(Validations!$M$2:$M$100, ISNUMBER(SEARCH(Validations!$M$2:$M$100 &amp; "" saving throw"", J318)))), """")"),"Constitution")</f>
        <v>Constitution</v>
      </c>
      <c r="X318" s="12"/>
      <c r="Y318" s="12"/>
      <c r="Z318" s="12" t="str">
        <f>IFERROR(__xludf.DUMMYFUNCTION("IFERROR(TEXTJOIN("", "", TRUE, FILTER(Validations!$N$2:$N$100, ISNUMBER(SEARCH(Validations!$N$2:$N$100 &amp; "" check"", J318)))), """")"),"")</f>
        <v/>
      </c>
      <c r="AA318" s="12" t="str">
        <f>IFERROR(__xludf.DUMMYFUNCTION("IFERROR(TEXTJOIN("", "", TRUE, FILTER(Validations!$N$2:$N$100, ISNUMBER(SEARCH(Validations!$N$2:$N$100 &amp; "" check"", W318)))), """")"),"")</f>
        <v/>
      </c>
      <c r="AB318" s="23" t="str">
        <f>IFERROR(__xludf.DUMMYFUNCTION("IFERROR(CONCATENATE(IF(ISNUMBER(SEARCH(Validations!$M$2:$M$100 &amp; "" spell save"", J318)),""Spell Save"",""""), REGEXEXTRACT(J318, ""DC (\d+)"")), """")"),"")</f>
        <v/>
      </c>
      <c r="AC318" s="24" t="b">
        <v>0</v>
      </c>
      <c r="AD318" s="24" t="b">
        <v>0</v>
      </c>
      <c r="AE318" s="36" t="s">
        <v>69</v>
      </c>
      <c r="AF318" s="25">
        <f>IFERROR(__xludf.DUMMYFUNCTION("IFERROR(VALUE(REGEXEXTRACT(AE318, ""\d+"")), 1)"),1.0)</f>
        <v>1</v>
      </c>
      <c r="AG318" s="12" t="str">
        <f>IFERROR(__xludf.DUMMYFUNCTION("IF(
  ISNUMBER(SEARCH(""Bonus Action"", AE318)),
  ""Bonus Action"",
  IF(
    ISNUMBER(SEARCH(""Reaction"", AE318)),
    ""Reaction"",
    IF(
      ISNUMBER(SEARCH(""Action"", AE318)),
      ""Action"",
      TEXTJOIN("", "", TRUE, FILTER(Validations!$S"&amp;"$2:$S$100, ISNUMBER(SEARCH(Validations!$S$2:$S$100, AE318))))
    )
  )
)"),"Action")</f>
        <v>Action</v>
      </c>
      <c r="AH318" s="36"/>
      <c r="AI318" s="20" t="s">
        <v>92</v>
      </c>
      <c r="AJ318" s="26" t="str">
        <f>IFERROR(__xludf.DUMMYFUNCTION("TEXTJOIN("", "", TRUE, FILTER(Validations!$T$2:$T$100, ISNUMBER(SEARCH(Validations!$T$2:$T$100, AI318))))"),"")</f>
        <v/>
      </c>
      <c r="AK318" s="26">
        <f>IFERROR(__xludf.DUMMYFUNCTION("IFERROR(VALUE(REGEXEXTRACT(AI318, ""\d+"")), """")"),1.0)</f>
        <v>1</v>
      </c>
      <c r="AL318" s="26" t="str">
        <f>IFERROR(__xludf.DUMMYFUNCTION("TEXTJOIN("", "", TRUE, FILTER(Validations!$U$2:$U$100, ISNUMBER(SEARCH(Validations!$U$2:$U$100, AI318))))"),"Minutes")</f>
        <v>Minutes</v>
      </c>
      <c r="AM318" s="24" t="b">
        <f t="shared" si="1"/>
        <v>0</v>
      </c>
      <c r="AN318" s="24" t="b">
        <v>0</v>
      </c>
      <c r="AO318" s="22" t="s">
        <v>440</v>
      </c>
      <c r="AP318" s="12" t="str">
        <f>IFERROR(__xludf.DUMMYFUNCTION("IF(TEXTJOIN("", "", TRUE, FILTER(Validations!$Q$2:$Q$100, ISNUMBER(SEARCH(Validations!$Q$2:$Q$100, AO318)))) = """", Validations!$Q$2, TEXTJOIN("", "", TRUE, FILTER(Validations!$Q$2:$Q$100, ISNUMBER(SEARCH(Validations!$Q$2:$Q$100, AO318)))))"),"Point")</f>
        <v>Point</v>
      </c>
      <c r="AQ318" s="12">
        <f>IFERROR(__xludf.DUMMYFUNCTION("IFERROR(VALUE(REGEXEXTRACT(AO318, ""\d+"")), """")"),60.0)</f>
        <v>60</v>
      </c>
      <c r="AR318" s="12" t="str">
        <f>IFERROR(__xludf.DUMMYFUNCTION("TEXTJOIN("", "", TRUE, FILTER(Validations!$R$2:$R$100, ISNUMBER(SEARCH(Validations!$R$2:$R$100, AO318))))"),"Feet")</f>
        <v>Feet</v>
      </c>
      <c r="AS318" s="27"/>
      <c r="AT318" s="12" t="str">
        <f>IFERROR(__xludf.DUMMYFUNCTION("IFERROR(TEXTJOIN("", "", TRUE, FILTER(Validations!$I$2:$I$100, ISNUMBER(SEARCH(Validations!$I$2:$I$100, AS318)))), """")"),"")</f>
        <v/>
      </c>
      <c r="AU318" s="16" t="str">
        <f t="array" ref="AU318">IFERROR(INDEX(Validations!$J$2:$J$100, MATCH(TRUE, ISNUMBER(SEARCH(Validations!$I$2:$I$100, AT318)), 0)), "")</f>
        <v/>
      </c>
      <c r="AV318" s="12" t="str">
        <f>IFERROR(__xludf.DUMMYFUNCTION("IFERROR(VALUE(REGEXEXTRACT(AS318, ""\d+"")), """")"),"")</f>
        <v/>
      </c>
      <c r="AW318" s="12" t="str">
        <f>IFERROR(__xludf.DUMMYFUNCTION("IFERROR(TEXTJOIN("", "", TRUE, FILTER(Validations!$Q$2:$Q$100, ISNUMBER(SEARCH(Validations!$Q$2:$Q$100, AS318)))), """")"),"")</f>
        <v/>
      </c>
      <c r="AX318" s="28" t="s">
        <v>152</v>
      </c>
      <c r="AY318" s="28" t="str">
        <f>IFERROR(__xludf.DUMMYFUNCTION("TEXTJOIN("", "", TRUE, FILTER(Validations!$Y$2:$Y$100, ISNUMBER(SEARCH(Validations!$X$2:$X$100, AX318))))"),"V, S, R")</f>
        <v>V, S, R</v>
      </c>
      <c r="AZ318" s="20" t="s">
        <v>1521</v>
      </c>
      <c r="BA318" s="22"/>
      <c r="BB318" s="22"/>
      <c r="BC318" s="22"/>
      <c r="BD318" s="22"/>
      <c r="BE318" s="27"/>
      <c r="BF318" s="22"/>
      <c r="BG318" s="27"/>
      <c r="BH318" s="27"/>
      <c r="BI318" s="12" t="str">
        <f>IFERROR(__xludf.DUMMYFUNCTION("IFERROR(TEXTJOIN("", "", TRUE, FILTER(SRD!$A$2:$A$1000, EXACT(SRD!$A$2:$A$1000, J318))), """")"),"")</f>
        <v/>
      </c>
      <c r="BJ318" s="29"/>
      <c r="BK318" s="29"/>
    </row>
    <row r="319" ht="15.75" customHeight="1">
      <c r="A319" s="30" t="s">
        <v>1522</v>
      </c>
      <c r="B319" s="22"/>
      <c r="C319" s="31"/>
      <c r="D319" s="31" t="s">
        <v>74</v>
      </c>
      <c r="E319" s="31"/>
      <c r="F319" s="32" t="s">
        <v>1247</v>
      </c>
      <c r="G319" s="50" t="s">
        <v>1452</v>
      </c>
      <c r="H319" s="31" t="s">
        <v>178</v>
      </c>
      <c r="I319" s="16" t="str">
        <f t="array" ref="I319">INDEX(Validations!$C$2:$C$100, MATCH(TRUE, ISNUMBER(SEARCH(Validations!$B$2:$B$100, H319)), 0))</f>
        <v>A</v>
      </c>
      <c r="J319" s="17" t="s">
        <v>1523</v>
      </c>
      <c r="K319" s="18"/>
      <c r="L319" s="17"/>
      <c r="M319" s="17"/>
      <c r="N319" s="20" t="s">
        <v>1524</v>
      </c>
      <c r="O319" s="17"/>
      <c r="P319" s="21"/>
      <c r="Q319" s="21"/>
      <c r="R319" s="22"/>
      <c r="S319" s="17" t="str">
        <f>IFERROR(__xludf.DUMMYFUNCTION("IFERROR(REGEXEXTRACT(J319, ""(\d{1,3}[dD]\d{1,3})""), """")"),"")</f>
        <v/>
      </c>
      <c r="T319" s="17" t="str">
        <f>IFERROR(__xludf.DUMMYFUNCTION("IF(COUNTIF(ARRAYFORMULA(LOWER(Validations!$O$2:$O$100)), LOWER(REGEXEXTRACT(J319, ""\d{1,3}[dD]\d{1,3}\s+(\w+)"")))&gt;0, REGEXEXTRACT(J319, ""\d{1,3}[dD]\d{1,3}\s+(\w+)""), """")"),"")</f>
        <v/>
      </c>
      <c r="U319" s="17" t="str">
        <f>IFERROR(__xludf.DUMMYFUNCTION("IF(COUNTIF(ARRAYFORMULA(LOWER(Validations!$P$2:$P$100)), LOWER(REGEXEXTRACT(J319, ""\d{1,3}[dD]\d{1,3}\s+(\w+)"")))&gt;0, REGEXEXTRACT(J319, ""\d{1,3}[dD]\d{1,3}\s+(\w+)""), """")"),"")</f>
        <v/>
      </c>
      <c r="V319" s="12" t="str">
        <f>IFERROR(__xludf.DUMMYFUNCTION("TEXTJOIN("", "", TRUE, FILTER(Validations!$L$2:$L$100, ISNUMBER(SEARCH(Validations!$L$2:$L$100, J319))))"),"")</f>
        <v/>
      </c>
      <c r="W319" s="12" t="str">
        <f>IFERROR(__xludf.DUMMYFUNCTION("IFERROR(TEXTJOIN("", "", TRUE, FILTER(Validations!$M$2:$M$100, ISNUMBER(SEARCH(Validations!$M$2:$M$100 &amp; "" saving throw"", J319)))), """")"),"")</f>
        <v/>
      </c>
      <c r="X319" s="12"/>
      <c r="Y319" s="12"/>
      <c r="Z319" s="12" t="str">
        <f>IFERROR(__xludf.DUMMYFUNCTION("IFERROR(TEXTJOIN("", "", TRUE, FILTER(Validations!$N$2:$N$100, ISNUMBER(SEARCH(Validations!$N$2:$N$100 &amp; "" check"", J319)))), """")"),"")</f>
        <v/>
      </c>
      <c r="AA319" s="12" t="str">
        <f>IFERROR(__xludf.DUMMYFUNCTION("IFERROR(TEXTJOIN("", "", TRUE, FILTER(Validations!$N$2:$N$100, ISNUMBER(SEARCH(Validations!$N$2:$N$100 &amp; "" check"", W319)))), """")"),"")</f>
        <v/>
      </c>
      <c r="AB319" s="23" t="str">
        <f>IFERROR(__xludf.DUMMYFUNCTION("IFERROR(CONCATENATE(IF(ISNUMBER(SEARCH(Validations!$M$2:$M$100 &amp; "" spell save"", J319)),""Spell Save"",""""), REGEXEXTRACT(J319, ""DC (\d+)"")), """")"),"")</f>
        <v/>
      </c>
      <c r="AC319" s="24" t="b">
        <v>0</v>
      </c>
      <c r="AD319" s="24" t="b">
        <v>0</v>
      </c>
      <c r="AE319" s="36" t="s">
        <v>69</v>
      </c>
      <c r="AF319" s="25">
        <f>IFERROR(__xludf.DUMMYFUNCTION("IFERROR(VALUE(REGEXEXTRACT(AE319, ""\d+"")), 1)"),1.0)</f>
        <v>1</v>
      </c>
      <c r="AG319" s="12" t="str">
        <f>IFERROR(__xludf.DUMMYFUNCTION("IF(
  ISNUMBER(SEARCH(""Bonus Action"", AE319)),
  ""Bonus Action"",
  IF(
    ISNUMBER(SEARCH(""Reaction"", AE319)),
    ""Reaction"",
    IF(
      ISNUMBER(SEARCH(""Action"", AE319)),
      ""Action"",
      TEXTJOIN("", "", TRUE, FILTER(Validations!$S"&amp;"$2:$S$100, ISNUMBER(SEARCH(Validations!$S$2:$S$100, AE319))))
    )
  )
)"),"Action")</f>
        <v>Action</v>
      </c>
      <c r="AH319" s="36"/>
      <c r="AI319" s="20" t="s">
        <v>296</v>
      </c>
      <c r="AJ319" s="26" t="str">
        <f>IFERROR(__xludf.DUMMYFUNCTION("TEXTJOIN("", "", TRUE, FILTER(Validations!$T$2:$T$100, ISNUMBER(SEARCH(Validations!$T$2:$T$100, AI319))))"),"")</f>
        <v/>
      </c>
      <c r="AK319" s="26">
        <f>IFERROR(__xludf.DUMMYFUNCTION("IFERROR(VALUE(REGEXEXTRACT(AI319, ""\d+"")), """")"),1.0)</f>
        <v>1</v>
      </c>
      <c r="AL319" s="26" t="str">
        <f>IFERROR(__xludf.DUMMYFUNCTION("TEXTJOIN("", "", TRUE, FILTER(Validations!$U$2:$U$100, ISNUMBER(SEARCH(Validations!$U$2:$U$100, AI319))))"),"Hours")</f>
        <v>Hours</v>
      </c>
      <c r="AM319" s="24" t="b">
        <f t="shared" si="1"/>
        <v>0</v>
      </c>
      <c r="AN319" s="24" t="b">
        <v>1</v>
      </c>
      <c r="AO319" s="36" t="s">
        <v>1009</v>
      </c>
      <c r="AP319" s="12" t="str">
        <f>IFERROR(__xludf.DUMMYFUNCTION("IF(TEXTJOIN("", "", TRUE, FILTER(Validations!$Q$2:$Q$100, ISNUMBER(SEARCH(Validations!$Q$2:$Q$100, AO319)))) = """", Validations!$Q$2, TEXTJOIN("", "", TRUE, FILTER(Validations!$Q$2:$Q$100, ISNUMBER(SEARCH(Validations!$Q$2:$Q$100, AO319)))))"),"Radius")</f>
        <v>Radius</v>
      </c>
      <c r="AQ319" s="12">
        <f>IFERROR(__xludf.DUMMYFUNCTION("IFERROR(VALUE(REGEXEXTRACT(AO319, ""\d+"")), """")"),10.0)</f>
        <v>10</v>
      </c>
      <c r="AR319" s="12" t="str">
        <f>IFERROR(__xludf.DUMMYFUNCTION("TEXTJOIN("", "", TRUE, FILTER(Validations!$R$2:$R$100, ISNUMBER(SEARCH(Validations!$R$2:$R$100, AO319))))"),"Self, Feet")</f>
        <v>Self, Feet</v>
      </c>
      <c r="AS319" s="27"/>
      <c r="AT319" s="12" t="str">
        <f>IFERROR(__xludf.DUMMYFUNCTION("IFERROR(TEXTJOIN("", "", TRUE, FILTER(Validations!$I$2:$I$100, ISNUMBER(SEARCH(Validations!$I$2:$I$100, AS319)))), """")"),"")</f>
        <v/>
      </c>
      <c r="AU319" s="16" t="str">
        <f t="array" ref="AU319">IFERROR(INDEX(Validations!$J$2:$J$100, MATCH(TRUE, ISNUMBER(SEARCH(Validations!$I$2:$I$100, AT319)), 0)), "")</f>
        <v/>
      </c>
      <c r="AV319" s="12" t="str">
        <f>IFERROR(__xludf.DUMMYFUNCTION("IFERROR(VALUE(REGEXEXTRACT(AS319, ""\d+"")), """")"),"")</f>
        <v/>
      </c>
      <c r="AW319" s="12" t="str">
        <f>IFERROR(__xludf.DUMMYFUNCTION("IFERROR(TEXTJOIN("", "", TRUE, FILTER(Validations!$Q$2:$Q$100, ISNUMBER(SEARCH(Validations!$Q$2:$Q$100, AS319)))), """")"),"")</f>
        <v/>
      </c>
      <c r="AX319" s="28" t="s">
        <v>152</v>
      </c>
      <c r="AY319" s="28" t="str">
        <f>IFERROR(__xludf.DUMMYFUNCTION("TEXTJOIN("", "", TRUE, FILTER(Validations!$Y$2:$Y$100, ISNUMBER(SEARCH(Validations!$X$2:$X$100, AX319))))"),"V, S, R")</f>
        <v>V, S, R</v>
      </c>
      <c r="AZ319" s="20" t="s">
        <v>1525</v>
      </c>
      <c r="BA319" s="22"/>
      <c r="BB319" s="22"/>
      <c r="BC319" s="22"/>
      <c r="BD319" s="22"/>
      <c r="BE319" s="27"/>
      <c r="BF319" s="22"/>
      <c r="BG319" s="27"/>
      <c r="BH319" s="27"/>
      <c r="BI319" s="12" t="str">
        <f>IFERROR(__xludf.DUMMYFUNCTION("IFERROR(TEXTJOIN("", "", TRUE, FILTER(SRD!$A$2:$A$1000, EXACT(SRD!$A$2:$A$1000, J319))), """")"),"")</f>
        <v/>
      </c>
      <c r="BJ319" s="29"/>
      <c r="BK319" s="29"/>
    </row>
    <row r="320" ht="15.75" customHeight="1">
      <c r="A320" s="38" t="s">
        <v>1526</v>
      </c>
      <c r="B320" s="12"/>
      <c r="C320" s="13"/>
      <c r="D320" s="13" t="s">
        <v>1527</v>
      </c>
      <c r="E320" s="13"/>
      <c r="F320" s="14" t="s">
        <v>1418</v>
      </c>
      <c r="G320" s="50" t="s">
        <v>1452</v>
      </c>
      <c r="H320" s="31" t="s">
        <v>85</v>
      </c>
      <c r="I320" s="16" t="str">
        <f t="array" ref="I320">INDEX(Validations!$C$2:$C$100, MATCH(TRUE, ISNUMBER(SEARCH(Validations!$B$2:$B$100, H320)), 0))</f>
        <v>T</v>
      </c>
      <c r="J320" s="17" t="s">
        <v>1528</v>
      </c>
      <c r="K320" s="51"/>
      <c r="L320" s="52"/>
      <c r="M320" s="17" t="s">
        <v>1529</v>
      </c>
      <c r="N320" s="20" t="s">
        <v>1530</v>
      </c>
      <c r="O320" s="17" t="s">
        <v>1531</v>
      </c>
      <c r="P320" s="21"/>
      <c r="Q320" s="21"/>
      <c r="R320" s="36" t="s">
        <v>1532</v>
      </c>
      <c r="S320" s="17" t="str">
        <f>IFERROR(__xludf.DUMMYFUNCTION("IFERROR(REGEXEXTRACT(J320, ""(\d{1,3}[dD]\d{1,3})""), """")"),"2d6")</f>
        <v>2d6</v>
      </c>
      <c r="T320" s="17" t="str">
        <f>IFERROR(__xludf.DUMMYFUNCTION("IF(COUNTIF(ARRAYFORMULA(LOWER(Validations!$O$2:$O$100)), LOWER(REGEXEXTRACT(J320, ""\d{1,3}[dD]\d{1,3}\s+(\w+)"")))&gt;0, REGEXEXTRACT(J320, ""\d{1,3}[dD]\d{1,3}\s+(\w+)""), """")"),"")</f>
        <v/>
      </c>
      <c r="U320" s="17" t="str">
        <f>IFERROR(__xludf.DUMMYFUNCTION("IF(COUNTIF(ARRAYFORMULA(LOWER(Validations!$P$2:$P$100)), LOWER(REGEXEXTRACT(J320, ""\d{1,3}[dD]\d{1,3}\s+(\w+)"")))&gt;0, REGEXEXTRACT(J320, ""\d{1,3}[dD]\d{1,3}\s+(\w+)""), """")"),"")</f>
        <v/>
      </c>
      <c r="V320" s="12" t="str">
        <f>IFERROR(__xludf.DUMMYFUNCTION("TEXTJOIN("", "", TRUE, FILTER(Validations!$L$2:$L$100, ISNUMBER(SEARCH(Validations!$L$2:$L$100, J320))))"),"")</f>
        <v/>
      </c>
      <c r="W320" s="12" t="str">
        <f>IFERROR(__xludf.DUMMYFUNCTION("IFERROR(TEXTJOIN("", "", TRUE, FILTER(Validations!$M$2:$M$100, ISNUMBER(SEARCH(Validations!$M$2:$M$100 &amp; "" saving throw"", J320)))), """")"),"Dexterity")</f>
        <v>Dexterity</v>
      </c>
      <c r="X320" s="12"/>
      <c r="Y320" s="12"/>
      <c r="Z320" s="12" t="str">
        <f>IFERROR(__xludf.DUMMYFUNCTION("IFERROR(TEXTJOIN("", "", TRUE, FILTER(Validations!$N$2:$N$100, ISNUMBER(SEARCH(Validations!$N$2:$N$100 &amp; "" check"", J320)))), """")"),"")</f>
        <v/>
      </c>
      <c r="AA320" s="12" t="str">
        <f>IFERROR(__xludf.DUMMYFUNCTION("IFERROR(TEXTJOIN("", "", TRUE, FILTER(Validations!$N$2:$N$100, ISNUMBER(SEARCH(Validations!$N$2:$N$100 &amp; "" check"", W320)))), """")"),"")</f>
        <v/>
      </c>
      <c r="AB320" s="23" t="str">
        <f>IFERROR(__xludf.DUMMYFUNCTION("IFERROR(CONCATENATE(IF(ISNUMBER(SEARCH(Validations!$M$2:$M$100 &amp; "" spell save"", J320)),""Spell Save"",""""), REGEXEXTRACT(J320, ""DC (\d+)"")), """")"),"")</f>
        <v/>
      </c>
      <c r="AC320" s="24" t="b">
        <v>0</v>
      </c>
      <c r="AD320" s="24" t="b">
        <v>0</v>
      </c>
      <c r="AE320" s="12" t="s">
        <v>69</v>
      </c>
      <c r="AF320" s="25">
        <f>IFERROR(__xludf.DUMMYFUNCTION("IFERROR(VALUE(REGEXEXTRACT(AE320, ""\d+"")), 1)"),1.0)</f>
        <v>1</v>
      </c>
      <c r="AG320" s="12" t="str">
        <f>IFERROR(__xludf.DUMMYFUNCTION("IF(
  ISNUMBER(SEARCH(""Bonus Action"", AE320)),
  ""Bonus Action"",
  IF(
    ISNUMBER(SEARCH(""Reaction"", AE320)),
    ""Reaction"",
    IF(
      ISNUMBER(SEARCH(""Action"", AE320)),
      ""Action"",
      TEXTJOIN("", "", TRUE, FILTER(Validations!$S"&amp;"$2:$S$100, ISNUMBER(SEARCH(Validations!$S$2:$S$100, AE320))))
    )
  )
)"),"Action")</f>
        <v>Action</v>
      </c>
      <c r="AH320" s="12"/>
      <c r="AI320" s="20" t="s">
        <v>92</v>
      </c>
      <c r="AJ320" s="26" t="str">
        <f>IFERROR(__xludf.DUMMYFUNCTION("TEXTJOIN("", "", TRUE, FILTER(Validations!$T$2:$T$100, ISNUMBER(SEARCH(Validations!$T$2:$T$100, AI320))))"),"")</f>
        <v/>
      </c>
      <c r="AK320" s="26">
        <f>IFERROR(__xludf.DUMMYFUNCTION("IFERROR(VALUE(REGEXEXTRACT(AI320, ""\d+"")), """")"),1.0)</f>
        <v>1</v>
      </c>
      <c r="AL320" s="26" t="str">
        <f>IFERROR(__xludf.DUMMYFUNCTION("TEXTJOIN("", "", TRUE, FILTER(Validations!$U$2:$U$100, ISNUMBER(SEARCH(Validations!$U$2:$U$100, AI320))))"),"Minutes")</f>
        <v>Minutes</v>
      </c>
      <c r="AM320" s="24" t="b">
        <f t="shared" si="1"/>
        <v>0</v>
      </c>
      <c r="AN320" s="24" t="b">
        <v>1</v>
      </c>
      <c r="AO320" s="12" t="s">
        <v>112</v>
      </c>
      <c r="AP320" s="12" t="str">
        <f>IFERROR(__xludf.DUMMYFUNCTION("IF(TEXTJOIN("", "", TRUE, FILTER(Validations!$Q$2:$Q$100, ISNUMBER(SEARCH(Validations!$Q$2:$Q$100, AO320)))) = """", Validations!$Q$2, TEXTJOIN("", "", TRUE, FILTER(Validations!$Q$2:$Q$100, ISNUMBER(SEARCH(Validations!$Q$2:$Q$100, AO320)))))"),"Point")</f>
        <v>Point</v>
      </c>
      <c r="AQ320" s="12">
        <f>IFERROR(__xludf.DUMMYFUNCTION("IFERROR(VALUE(REGEXEXTRACT(AO320, ""\d+"")), """")"),30.0)</f>
        <v>30</v>
      </c>
      <c r="AR320" s="12" t="str">
        <f>IFERROR(__xludf.DUMMYFUNCTION("TEXTJOIN("", "", TRUE, FILTER(Validations!$R$2:$R$100, ISNUMBER(SEARCH(Validations!$R$2:$R$100, AO320))))"),"Feet")</f>
        <v>Feet</v>
      </c>
      <c r="AS320" s="26" t="s">
        <v>1533</v>
      </c>
      <c r="AT320" s="12" t="str">
        <f>IFERROR(__xludf.DUMMYFUNCTION("IFERROR(TEXTJOIN("", "", TRUE, FILTER(Validations!$I$2:$I$100, ISNUMBER(SEARCH(Validations!$I$2:$I$100, AS320)))), """")"),"Sphere")</f>
        <v>Sphere</v>
      </c>
      <c r="AU320" s="16" t="str">
        <f t="array" ref="AU320">IFERROR(INDEX(Validations!$J$2:$J$100, MATCH(TRUE, ISNUMBER(SEARCH(Validations!$I$2:$I$100, AT320)), 0)), "")</f>
        <v>S</v>
      </c>
      <c r="AV320" s="12">
        <f>IFERROR(__xludf.DUMMYFUNCTION("IFERROR(VALUE(REGEXEXTRACT(AS320, ""\d+"")), """")"),10.0)</f>
        <v>10</v>
      </c>
      <c r="AW320" s="12" t="str">
        <f>IFERROR(__xludf.DUMMYFUNCTION("IFERROR(TEXTJOIN("", "", TRUE, FILTER(Validations!$Q$2:$Q$100, ISNUMBER(SEARCH(Validations!$Q$2:$Q$100, AS320)))), """")"),"Radius, Sphere")</f>
        <v>Radius, Sphere</v>
      </c>
      <c r="AX320" s="28" t="s">
        <v>152</v>
      </c>
      <c r="AY320" s="28" t="str">
        <f>IFERROR(__xludf.DUMMYFUNCTION("TEXTJOIN("", "", TRUE, FILTER(Validations!$Y$2:$Y$100, ISNUMBER(SEARCH(Validations!$X$2:$X$100, AX320))))"),"V, S, R")</f>
        <v>V, S, R</v>
      </c>
      <c r="AZ320" s="26" t="s">
        <v>1534</v>
      </c>
      <c r="BA320" s="12"/>
      <c r="BB320" s="22"/>
      <c r="BC320" s="22"/>
      <c r="BD320" s="22"/>
      <c r="BE320" s="27"/>
      <c r="BF320" s="22"/>
      <c r="BG320" s="27"/>
      <c r="BH320" s="27"/>
      <c r="BI320" s="12" t="str">
        <f>IFERROR(__xludf.DUMMYFUNCTION("IFERROR(TEXTJOIN("", "", TRUE, FILTER(SRD!$A$2:$A$1000, EXACT(SRD!$A$2:$A$1000, J320))), """")"),"")</f>
        <v/>
      </c>
      <c r="BJ320" s="29"/>
      <c r="BK320" s="29"/>
    </row>
    <row r="321" ht="15.75" customHeight="1">
      <c r="A321" s="30" t="s">
        <v>1535</v>
      </c>
      <c r="B321" s="22"/>
      <c r="C321" s="16"/>
      <c r="D321" s="16" t="s">
        <v>1536</v>
      </c>
      <c r="E321" s="16"/>
      <c r="F321" s="32" t="s">
        <v>1537</v>
      </c>
      <c r="G321" s="50" t="s">
        <v>1452</v>
      </c>
      <c r="H321" s="16" t="s">
        <v>178</v>
      </c>
      <c r="I321" s="16" t="str">
        <f t="array" ref="I321">INDEX(Validations!$C$2:$C$100, MATCH(TRUE, ISNUMBER(SEARCH(Validations!$B$2:$B$100, H321)), 0))</f>
        <v>A</v>
      </c>
      <c r="J321" s="17" t="s">
        <v>1538</v>
      </c>
      <c r="K321" s="18"/>
      <c r="L321" s="17"/>
      <c r="M321" s="17"/>
      <c r="N321" s="27"/>
      <c r="O321" s="17"/>
      <c r="P321" s="21"/>
      <c r="Q321" s="21"/>
      <c r="R321" s="22"/>
      <c r="S321" s="17" t="str">
        <f>IFERROR(__xludf.DUMMYFUNCTION("IFERROR(REGEXEXTRACT(J321, ""(\d{1,3}[dD]\d{1,3})""), """")"),"")</f>
        <v/>
      </c>
      <c r="T321" s="17" t="str">
        <f>IFERROR(__xludf.DUMMYFUNCTION("IF(COUNTIF(ARRAYFORMULA(LOWER(Validations!$O$2:$O$100)), LOWER(REGEXEXTRACT(J321, ""\d{1,3}[dD]\d{1,3}\s+(\w+)"")))&gt;0, REGEXEXTRACT(J321, ""\d{1,3}[dD]\d{1,3}\s+(\w+)""), """")"),"")</f>
        <v/>
      </c>
      <c r="U321" s="17" t="str">
        <f>IFERROR(__xludf.DUMMYFUNCTION("IF(COUNTIF(ARRAYFORMULA(LOWER(Validations!$P$2:$P$100)), LOWER(REGEXEXTRACT(J321, ""\d{1,3}[dD]\d{1,3}\s+(\w+)"")))&gt;0, REGEXEXTRACT(J321, ""\d{1,3}[dD]\d{1,3}\s+(\w+)""), """")"),"")</f>
        <v/>
      </c>
      <c r="V321" s="12" t="str">
        <f>IFERROR(__xludf.DUMMYFUNCTION("TEXTJOIN("", "", TRUE, FILTER(Validations!$L$2:$L$100, ISNUMBER(SEARCH(Validations!$L$2:$L$100, J321))))"),"Stunned")</f>
        <v>Stunned</v>
      </c>
      <c r="W321" s="12" t="str">
        <f>IFERROR(__xludf.DUMMYFUNCTION("IFERROR(TEXTJOIN("", "", TRUE, FILTER(Validations!$M$2:$M$100, ISNUMBER(SEARCH(Validations!$M$2:$M$100 &amp; "" saving throw"", J321)))), """")"),"Constitution")</f>
        <v>Constitution</v>
      </c>
      <c r="X321" s="12"/>
      <c r="Y321" s="12"/>
      <c r="Z321" s="12" t="str">
        <f>IFERROR(__xludf.DUMMYFUNCTION("IFERROR(TEXTJOIN("", "", TRUE, FILTER(Validations!$N$2:$N$100, ISNUMBER(SEARCH(Validations!$N$2:$N$100 &amp; "" check"", J321)))), """")"),"")</f>
        <v/>
      </c>
      <c r="AA321" s="12" t="str">
        <f>IFERROR(__xludf.DUMMYFUNCTION("IFERROR(TEXTJOIN("", "", TRUE, FILTER(Validations!$N$2:$N$100, ISNUMBER(SEARCH(Validations!$N$2:$N$100 &amp; "" check"", W321)))), """")"),"")</f>
        <v/>
      </c>
      <c r="AB321" s="23" t="str">
        <f>IFERROR(__xludf.DUMMYFUNCTION("IFERROR(CONCATENATE(IF(ISNUMBER(SEARCH(Validations!$M$2:$M$100 &amp; "" spell save"", J321)),""Spell Save"",""""), REGEXEXTRACT(J321, ""DC (\d+)"")), """")"),"")</f>
        <v/>
      </c>
      <c r="AC321" s="24" t="b">
        <v>0</v>
      </c>
      <c r="AD321" s="24" t="b">
        <v>0</v>
      </c>
      <c r="AE321" s="36" t="s">
        <v>69</v>
      </c>
      <c r="AF321" s="25">
        <f>IFERROR(__xludf.DUMMYFUNCTION("IFERROR(VALUE(REGEXEXTRACT(AE321, ""\d+"")), 1)"),1.0)</f>
        <v>1</v>
      </c>
      <c r="AG321" s="12" t="str">
        <f>IFERROR(__xludf.DUMMYFUNCTION("IF(
  ISNUMBER(SEARCH(""Bonus Action"", AE321)),
  ""Bonus Action"",
  IF(
    ISNUMBER(SEARCH(""Reaction"", AE321)),
    ""Reaction"",
    IF(
      ISNUMBER(SEARCH(""Action"", AE321)),
      ""Action"",
      TEXTJOIN("", "", TRUE, FILTER(Validations!$S"&amp;"$2:$S$100, ISNUMBER(SEARCH(Validations!$S$2:$S$100, AE321))))
    )
  )
)"),"Action")</f>
        <v>Action</v>
      </c>
      <c r="AH321" s="36"/>
      <c r="AI321" s="20" t="s">
        <v>92</v>
      </c>
      <c r="AJ321" s="26" t="str">
        <f>IFERROR(__xludf.DUMMYFUNCTION("TEXTJOIN("", "", TRUE, FILTER(Validations!$T$2:$T$100, ISNUMBER(SEARCH(Validations!$T$2:$T$100, AI321))))"),"")</f>
        <v/>
      </c>
      <c r="AK321" s="26">
        <f>IFERROR(__xludf.DUMMYFUNCTION("IFERROR(VALUE(REGEXEXTRACT(AI321, ""\d+"")), """")"),1.0)</f>
        <v>1</v>
      </c>
      <c r="AL321" s="26" t="str">
        <f>IFERROR(__xludf.DUMMYFUNCTION("TEXTJOIN("", "", TRUE, FILTER(Validations!$U$2:$U$100, ISNUMBER(SEARCH(Validations!$U$2:$U$100, AI321))))"),"Minutes")</f>
        <v>Minutes</v>
      </c>
      <c r="AM321" s="24" t="b">
        <f t="shared" si="1"/>
        <v>0</v>
      </c>
      <c r="AN321" s="24" t="b">
        <v>1</v>
      </c>
      <c r="AO321" s="36" t="s">
        <v>1539</v>
      </c>
      <c r="AP321" s="12" t="str">
        <f>IFERROR(__xludf.DUMMYFUNCTION("IF(TEXTJOIN("", "", TRUE, FILTER(Validations!$Q$2:$Q$100, ISNUMBER(SEARCH(Validations!$Q$2:$Q$100, AO321)))) = """", Validations!$Q$2, TEXTJOIN("", "", TRUE, FILTER(Validations!$Q$2:$Q$100, ISNUMBER(SEARCH(Validations!$Q$2:$Q$100, AO321)))))"),"Radius")</f>
        <v>Radius</v>
      </c>
      <c r="AQ321" s="12">
        <f>IFERROR(__xludf.DUMMYFUNCTION("IFERROR(VALUE(REGEXEXTRACT(AO321, ""\d+"")), """")"),30.0)</f>
        <v>30</v>
      </c>
      <c r="AR321" s="12" t="str">
        <f>IFERROR(__xludf.DUMMYFUNCTION("TEXTJOIN("", "", TRUE, FILTER(Validations!$R$2:$R$100, ISNUMBER(SEARCH(Validations!$R$2:$R$100, AO321))))"),"Feet")</f>
        <v>Feet</v>
      </c>
      <c r="AS321" s="27"/>
      <c r="AT321" s="12" t="str">
        <f>IFERROR(__xludf.DUMMYFUNCTION("IFERROR(TEXTJOIN("", "", TRUE, FILTER(Validations!$I$2:$I$100, ISNUMBER(SEARCH(Validations!$I$2:$I$100, AS321)))), """")"),"")</f>
        <v/>
      </c>
      <c r="AU321" s="16" t="str">
        <f t="array" ref="AU321">IFERROR(INDEX(Validations!$J$2:$J$100, MATCH(TRUE, ISNUMBER(SEARCH(Validations!$I$2:$I$100, AT321)), 0)), "")</f>
        <v/>
      </c>
      <c r="AV321" s="12" t="str">
        <f>IFERROR(__xludf.DUMMYFUNCTION("IFERROR(VALUE(REGEXEXTRACT(AS321, ""\d+"")), """")"),"")</f>
        <v/>
      </c>
      <c r="AW321" s="12" t="str">
        <f>IFERROR(__xludf.DUMMYFUNCTION("IFERROR(TEXTJOIN("", "", TRUE, FILTER(Validations!$Q$2:$Q$100, ISNUMBER(SEARCH(Validations!$Q$2:$Q$100, AS321)))), """")"),"")</f>
        <v/>
      </c>
      <c r="AX321" s="28" t="s">
        <v>152</v>
      </c>
      <c r="AY321" s="28" t="str">
        <f>IFERROR(__xludf.DUMMYFUNCTION("TEXTJOIN("", "", TRUE, FILTER(Validations!$Y$2:$Y$100, ISNUMBER(SEARCH(Validations!$X$2:$X$100, AX321))))"),"V, S, R")</f>
        <v>V, S, R</v>
      </c>
      <c r="AZ321" s="20" t="s">
        <v>1540</v>
      </c>
      <c r="BA321" s="22"/>
      <c r="BB321" s="22"/>
      <c r="BC321" s="22"/>
      <c r="BD321" s="22"/>
      <c r="BE321" s="27"/>
      <c r="BF321" s="22"/>
      <c r="BG321" s="27"/>
      <c r="BH321" s="27"/>
      <c r="BI321" s="12" t="str">
        <f>IFERROR(__xludf.DUMMYFUNCTION("IFERROR(TEXTJOIN("", "", TRUE, FILTER(SRD!$A$2:$A$1000, EXACT(SRD!$A$2:$A$1000, J321))), """")"),"")</f>
        <v/>
      </c>
      <c r="BJ321" s="29"/>
      <c r="BK321" s="29"/>
    </row>
    <row r="322" ht="15.75" customHeight="1">
      <c r="A322" s="30" t="s">
        <v>1541</v>
      </c>
      <c r="B322" s="22"/>
      <c r="C322" s="16"/>
      <c r="D322" s="16" t="s">
        <v>1542</v>
      </c>
      <c r="E322" s="16"/>
      <c r="F322" s="32" t="s">
        <v>479</v>
      </c>
      <c r="G322" s="50" t="s">
        <v>1452</v>
      </c>
      <c r="H322" s="16" t="s">
        <v>76</v>
      </c>
      <c r="I322" s="16" t="str">
        <f t="array" ref="I322">INDEX(Validations!$C$2:$C$100, MATCH(TRUE, ISNUMBER(SEARCH(Validations!$B$2:$B$100, H322)), 0))</f>
        <v>V</v>
      </c>
      <c r="J322" s="17" t="s">
        <v>1543</v>
      </c>
      <c r="K322" s="18"/>
      <c r="L322" s="17"/>
      <c r="M322" s="17"/>
      <c r="N322" s="27"/>
      <c r="O322" s="17"/>
      <c r="P322" s="21"/>
      <c r="Q322" s="21"/>
      <c r="R322" s="22"/>
      <c r="S322" s="17" t="str">
        <f>IFERROR(__xludf.DUMMYFUNCTION("IFERROR(REGEXEXTRACT(J322, ""(\d{1,3}[dD]\d{1,3})""), """")"),"6d12")</f>
        <v>6d12</v>
      </c>
      <c r="T322" s="17" t="str">
        <f>IFERROR(__xludf.DUMMYFUNCTION("IF(COUNTIF(ARRAYFORMULA(LOWER(Validations!$O$2:$O$100)), LOWER(REGEXEXTRACT(J322, ""\d{1,3}[dD]\d{1,3}\s+(\w+)"")))&gt;0, REGEXEXTRACT(J322, ""\d{1,3}[dD]\d{1,3}\s+(\w+)""), """")"),"void")</f>
        <v>void</v>
      </c>
      <c r="U322" s="17" t="str">
        <f>IFERROR(__xludf.DUMMYFUNCTION("IF(COUNTIF(ARRAYFORMULA(LOWER(Validations!$P$2:$P$100)), LOWER(REGEXEXTRACT(J322, ""\d{1,3}[dD]\d{1,3}\s+(\w+)"")))&gt;0, REGEXEXTRACT(J322, ""\d{1,3}[dD]\d{1,3}\s+(\w+)""), """")"),"")</f>
        <v/>
      </c>
      <c r="V322" s="12" t="str">
        <f>IFERROR(__xludf.DUMMYFUNCTION("TEXTJOIN("", "", TRUE, FILTER(Validations!$L$2:$L$100, ISNUMBER(SEARCH(Validations!$L$2:$L$100, J322))))"),"Invisible")</f>
        <v>Invisible</v>
      </c>
      <c r="W322" s="12" t="str">
        <f>IFERROR(__xludf.DUMMYFUNCTION("IFERROR(TEXTJOIN("", "", TRUE, FILTER(Validations!$M$2:$M$100, ISNUMBER(SEARCH(Validations!$M$2:$M$100 &amp; "" saving throw"", J322)))), """")"),"Strength")</f>
        <v>Strength</v>
      </c>
      <c r="X322" s="12"/>
      <c r="Y322" s="12"/>
      <c r="Z322" s="12" t="str">
        <f>IFERROR(__xludf.DUMMYFUNCTION("IFERROR(TEXTJOIN("", "", TRUE, FILTER(Validations!$N$2:$N$100, ISNUMBER(SEARCH(Validations!$N$2:$N$100 &amp; "" check"", J322)))), """")"),"")</f>
        <v/>
      </c>
      <c r="AA322" s="12" t="str">
        <f>IFERROR(__xludf.DUMMYFUNCTION("IFERROR(TEXTJOIN("", "", TRUE, FILTER(Validations!$N$2:$N$100, ISNUMBER(SEARCH(Validations!$N$2:$N$100 &amp; "" check"", W322)))), """")"),"")</f>
        <v/>
      </c>
      <c r="AB322" s="23" t="str">
        <f>IFERROR(__xludf.DUMMYFUNCTION("IFERROR(CONCATENATE(IF(ISNUMBER(SEARCH(Validations!$M$2:$M$100 &amp; "" spell save"", J322)),""Spell Save"",""""), REGEXEXTRACT(J322, ""DC (\d+)"")), """")"),"")</f>
        <v/>
      </c>
      <c r="AC322" s="24" t="b">
        <v>0</v>
      </c>
      <c r="AD322" s="24" t="b">
        <v>0</v>
      </c>
      <c r="AE322" s="36" t="s">
        <v>69</v>
      </c>
      <c r="AF322" s="25">
        <f>IFERROR(__xludf.DUMMYFUNCTION("IFERROR(VALUE(REGEXEXTRACT(AE322, ""\d+"")), 1)"),1.0)</f>
        <v>1</v>
      </c>
      <c r="AG322" s="12" t="str">
        <f>IFERROR(__xludf.DUMMYFUNCTION("IF(
  ISNUMBER(SEARCH(""Bonus Action"", AE322)),
  ""Bonus Action"",
  IF(
    ISNUMBER(SEARCH(""Reaction"", AE322)),
    ""Reaction"",
    IF(
      ISNUMBER(SEARCH(""Action"", AE322)),
      ""Action"",
      TEXTJOIN("", "", TRUE, FILTER(Validations!$S"&amp;"$2:$S$100, ISNUMBER(SEARCH(Validations!$S$2:$S$100, AE322))))
    )
  )
)"),"Action")</f>
        <v>Action</v>
      </c>
      <c r="AH322" s="36"/>
      <c r="AI322" s="20" t="s">
        <v>92</v>
      </c>
      <c r="AJ322" s="26" t="str">
        <f>IFERROR(__xludf.DUMMYFUNCTION("TEXTJOIN("", "", TRUE, FILTER(Validations!$T$2:$T$100, ISNUMBER(SEARCH(Validations!$T$2:$T$100, AI322))))"),"")</f>
        <v/>
      </c>
      <c r="AK322" s="26">
        <f>IFERROR(__xludf.DUMMYFUNCTION("IFERROR(VALUE(REGEXEXTRACT(AI322, ""\d+"")), """")"),1.0)</f>
        <v>1</v>
      </c>
      <c r="AL322" s="26" t="str">
        <f>IFERROR(__xludf.DUMMYFUNCTION("TEXTJOIN("", "", TRUE, FILTER(Validations!$U$2:$U$100, ISNUMBER(SEARCH(Validations!$U$2:$U$100, AI322))))"),"Minutes")</f>
        <v>Minutes</v>
      </c>
      <c r="AM322" s="24" t="b">
        <f t="shared" si="1"/>
        <v>0</v>
      </c>
      <c r="AN322" s="24" t="b">
        <v>1</v>
      </c>
      <c r="AO322" s="22" t="s">
        <v>1447</v>
      </c>
      <c r="AP322" s="12" t="str">
        <f>IFERROR(__xludf.DUMMYFUNCTION("IF(TEXTJOIN("", "", TRUE, FILTER(Validations!$Q$2:$Q$100, ISNUMBER(SEARCH(Validations!$Q$2:$Q$100, AO322)))) = """", Validations!$Q$2, TEXTJOIN("", "", TRUE, FILTER(Validations!$Q$2:$Q$100, ISNUMBER(SEARCH(Validations!$Q$2:$Q$100, AO322)))))"),"Point")</f>
        <v>Point</v>
      </c>
      <c r="AQ322" s="12">
        <f>IFERROR(__xludf.DUMMYFUNCTION("IFERROR(VALUE(REGEXEXTRACT(AO322, ""\d+"")), """")"),90.0)</f>
        <v>90</v>
      </c>
      <c r="AR322" s="12" t="str">
        <f>IFERROR(__xludf.DUMMYFUNCTION("TEXTJOIN("", "", TRUE, FILTER(Validations!$R$2:$R$100, ISNUMBER(SEARCH(Validations!$R$2:$R$100, AO322))))"),"Feet")</f>
        <v>Feet</v>
      </c>
      <c r="AS322" s="27"/>
      <c r="AT322" s="12" t="str">
        <f>IFERROR(__xludf.DUMMYFUNCTION("IFERROR(TEXTJOIN("", "", TRUE, FILTER(Validations!$I$2:$I$100, ISNUMBER(SEARCH(Validations!$I$2:$I$100, AS322)))), """")"),"")</f>
        <v/>
      </c>
      <c r="AU322" s="16" t="str">
        <f t="array" ref="AU322">IFERROR(INDEX(Validations!$J$2:$J$100, MATCH(TRUE, ISNUMBER(SEARCH(Validations!$I$2:$I$100, AT322)), 0)), "")</f>
        <v/>
      </c>
      <c r="AV322" s="12" t="str">
        <f>IFERROR(__xludf.DUMMYFUNCTION("IFERROR(VALUE(REGEXEXTRACT(AS322, ""\d+"")), """")"),"")</f>
        <v/>
      </c>
      <c r="AW322" s="12" t="str">
        <f>IFERROR(__xludf.DUMMYFUNCTION("IFERROR(TEXTJOIN("", "", TRUE, FILTER(Validations!$Q$2:$Q$100, ISNUMBER(SEARCH(Validations!$Q$2:$Q$100, AS322)))), """")"),"")</f>
        <v/>
      </c>
      <c r="AX322" s="28" t="s">
        <v>142</v>
      </c>
      <c r="AY322" s="28" t="str">
        <f>IFERROR(__xludf.DUMMYFUNCTION("TEXTJOIN("", "", TRUE, FILTER(Validations!$Y$2:$Y$100, ISNUMBER(SEARCH(Validations!$X$2:$X$100, AX322))))"),"V, S")</f>
        <v>V, S</v>
      </c>
      <c r="AZ322" s="27"/>
      <c r="BA322" s="22"/>
      <c r="BB322" s="22"/>
      <c r="BC322" s="22"/>
      <c r="BD322" s="22"/>
      <c r="BE322" s="27"/>
      <c r="BF322" s="22"/>
      <c r="BG322" s="27"/>
      <c r="BH322" s="27"/>
      <c r="BI322" s="12" t="str">
        <f>IFERROR(__xludf.DUMMYFUNCTION("IFERROR(TEXTJOIN("", "", TRUE, FILTER(SRD!$A$2:$A$1000, EXACT(SRD!$A$2:$A$1000, J322))), """")"),"")</f>
        <v/>
      </c>
      <c r="BJ322" s="29"/>
      <c r="BK322" s="29"/>
    </row>
    <row r="323" ht="15.75" customHeight="1">
      <c r="A323" s="30" t="s">
        <v>1544</v>
      </c>
      <c r="B323" s="22"/>
      <c r="C323" s="31"/>
      <c r="D323" s="31" t="s">
        <v>74</v>
      </c>
      <c r="E323" s="31"/>
      <c r="F323" s="32" t="s">
        <v>1545</v>
      </c>
      <c r="G323" s="50" t="s">
        <v>1452</v>
      </c>
      <c r="H323" s="16" t="s">
        <v>85</v>
      </c>
      <c r="I323" s="16" t="str">
        <f t="array" ref="I323">INDEX(Validations!$C$2:$C$100, MATCH(TRUE, ISNUMBER(SEARCH(Validations!$B$2:$B$100, H323)), 0))</f>
        <v>T</v>
      </c>
      <c r="J323" s="17" t="s">
        <v>1546</v>
      </c>
      <c r="K323" s="18"/>
      <c r="L323" s="17"/>
      <c r="M323" s="17"/>
      <c r="N323" s="20" t="s">
        <v>1547</v>
      </c>
      <c r="O323" s="17"/>
      <c r="P323" s="21"/>
      <c r="Q323" s="21"/>
      <c r="R323" s="22"/>
      <c r="S323" s="17" t="str">
        <f>IFERROR(__xludf.DUMMYFUNCTION("IFERROR(REGEXEXTRACT(J323, ""(\d{1,3}[dD]\d{1,3})""), """")"),"")</f>
        <v/>
      </c>
      <c r="T323" s="17" t="str">
        <f>IFERROR(__xludf.DUMMYFUNCTION("IF(COUNTIF(ARRAYFORMULA(LOWER(Validations!$O$2:$O$100)), LOWER(REGEXEXTRACT(J323, ""\d{1,3}[dD]\d{1,3}\s+(\w+)"")))&gt;0, REGEXEXTRACT(J323, ""\d{1,3}[dD]\d{1,3}\s+(\w+)""), """")"),"")</f>
        <v/>
      </c>
      <c r="U323" s="17" t="str">
        <f>IFERROR(__xludf.DUMMYFUNCTION("IF(COUNTIF(ARRAYFORMULA(LOWER(Validations!$P$2:$P$100)), LOWER(REGEXEXTRACT(J323, ""\d{1,3}[dD]\d{1,3}\s+(\w+)"")))&gt;0, REGEXEXTRACT(J323, ""\d{1,3}[dD]\d{1,3}\s+(\w+)""), """")"),"")</f>
        <v/>
      </c>
      <c r="V323" s="12" t="str">
        <f>IFERROR(__xludf.DUMMYFUNCTION("TEXTJOIN("", "", TRUE, FILTER(Validations!$L$2:$L$100, ISNUMBER(SEARCH(Validations!$L$2:$L$100, J323))))"),"")</f>
        <v/>
      </c>
      <c r="W323" s="12" t="str">
        <f>IFERROR(__xludf.DUMMYFUNCTION("IFERROR(TEXTJOIN("", "", TRUE, FILTER(Validations!$M$2:$M$100, ISNUMBER(SEARCH(Validations!$M$2:$M$100 &amp; "" saving throw"", J323)))), """")"),"")</f>
        <v/>
      </c>
      <c r="X323" s="12"/>
      <c r="Y323" s="12"/>
      <c r="Z323" s="12" t="str">
        <f>IFERROR(__xludf.DUMMYFUNCTION("IFERROR(TEXTJOIN("", "", TRUE, FILTER(Validations!$N$2:$N$100, ISNUMBER(SEARCH(Validations!$N$2:$N$100 &amp; "" check"", J323)))), """")"),"Arcana")</f>
        <v>Arcana</v>
      </c>
      <c r="AA323" s="12" t="str">
        <f>IFERROR(__xludf.DUMMYFUNCTION("IFERROR(TEXTJOIN("", "", TRUE, FILTER(Validations!$N$2:$N$100, ISNUMBER(SEARCH(Validations!$N$2:$N$100 &amp; "" check"", W323)))), """")"),"")</f>
        <v/>
      </c>
      <c r="AB323" s="23" t="str">
        <f>IFERROR(__xludf.DUMMYFUNCTION("IFERROR(CONCATENATE(IF(ISNUMBER(SEARCH(Validations!$M$2:$M$100 &amp; "" spell save"", J323)),""Spell Save"",""""), REGEXEXTRACT(J323, ""DC (\d+)"")), """")"),"")</f>
        <v/>
      </c>
      <c r="AC323" s="24" t="b">
        <v>0</v>
      </c>
      <c r="AD323" s="24" t="b">
        <v>0</v>
      </c>
      <c r="AE323" s="36" t="s">
        <v>69</v>
      </c>
      <c r="AF323" s="25">
        <f>IFERROR(__xludf.DUMMYFUNCTION("IFERROR(VALUE(REGEXEXTRACT(AE323, ""\d+"")), 1)"),1.0)</f>
        <v>1</v>
      </c>
      <c r="AG323" s="12" t="str">
        <f>IFERROR(__xludf.DUMMYFUNCTION("IF(
  ISNUMBER(SEARCH(""Bonus Action"", AE323)),
  ""Bonus Action"",
  IF(
    ISNUMBER(SEARCH(""Reaction"", AE323)),
    ""Reaction"",
    IF(
      ISNUMBER(SEARCH(""Action"", AE323)),
      ""Action"",
      TEXTJOIN("", "", TRUE, FILTER(Validations!$S"&amp;"$2:$S$100, ISNUMBER(SEARCH(Validations!$S$2:$S$100, AE323))))
    )
  )
)"),"Action")</f>
        <v>Action</v>
      </c>
      <c r="AH323" s="36"/>
      <c r="AI323" s="20" t="s">
        <v>92</v>
      </c>
      <c r="AJ323" s="26" t="str">
        <f>IFERROR(__xludf.DUMMYFUNCTION("TEXTJOIN("", "", TRUE, FILTER(Validations!$T$2:$T$100, ISNUMBER(SEARCH(Validations!$T$2:$T$100, AI323))))"),"")</f>
        <v/>
      </c>
      <c r="AK323" s="26">
        <f>IFERROR(__xludf.DUMMYFUNCTION("IFERROR(VALUE(REGEXEXTRACT(AI323, ""\d+"")), """")"),1.0)</f>
        <v>1</v>
      </c>
      <c r="AL323" s="26" t="str">
        <f>IFERROR(__xludf.DUMMYFUNCTION("TEXTJOIN("", "", TRUE, FILTER(Validations!$U$2:$U$100, ISNUMBER(SEARCH(Validations!$U$2:$U$100, AI323))))"),"Minutes")</f>
        <v>Minutes</v>
      </c>
      <c r="AM323" s="24" t="b">
        <f t="shared" si="1"/>
        <v>0</v>
      </c>
      <c r="AN323" s="24" t="b">
        <v>1</v>
      </c>
      <c r="AO323" s="22" t="s">
        <v>71</v>
      </c>
      <c r="AP323" s="12" t="str">
        <f>IFERROR(__xludf.DUMMYFUNCTION("IF(TEXTJOIN("", "", TRUE, FILTER(Validations!$Q$2:$Q$100, ISNUMBER(SEARCH(Validations!$Q$2:$Q$100, AO323)))) = """", Validations!$Q$2, TEXTJOIN("", "", TRUE, FILTER(Validations!$Q$2:$Q$100, ISNUMBER(SEARCH(Validations!$Q$2:$Q$100, AO323)))))"),"Point")</f>
        <v>Point</v>
      </c>
      <c r="AQ323" s="12" t="str">
        <f>IFERROR(__xludf.DUMMYFUNCTION("IFERROR(VALUE(REGEXEXTRACT(AO323, ""\d+"")), """")"),"")</f>
        <v/>
      </c>
      <c r="AR323" s="12" t="str">
        <f>IFERROR(__xludf.DUMMYFUNCTION("TEXTJOIN("", "", TRUE, FILTER(Validations!$R$2:$R$100, ISNUMBER(SEARCH(Validations!$R$2:$R$100, AO323))))"),"Touch")</f>
        <v>Touch</v>
      </c>
      <c r="AS323" s="27"/>
      <c r="AT323" s="12" t="str">
        <f>IFERROR(__xludf.DUMMYFUNCTION("IFERROR(TEXTJOIN("", "", TRUE, FILTER(Validations!$I$2:$I$100, ISNUMBER(SEARCH(Validations!$I$2:$I$100, AS323)))), """")"),"")</f>
        <v/>
      </c>
      <c r="AU323" s="16" t="str">
        <f t="array" ref="AU323">IFERROR(INDEX(Validations!$J$2:$J$100, MATCH(TRUE, ISNUMBER(SEARCH(Validations!$I$2:$I$100, AT323)), 0)), "")</f>
        <v/>
      </c>
      <c r="AV323" s="12" t="str">
        <f>IFERROR(__xludf.DUMMYFUNCTION("IFERROR(VALUE(REGEXEXTRACT(AS323, ""\d+"")), """")"),"")</f>
        <v/>
      </c>
      <c r="AW323" s="12" t="str">
        <f>IFERROR(__xludf.DUMMYFUNCTION("IFERROR(TEXTJOIN("", "", TRUE, FILTER(Validations!$Q$2:$Q$100, ISNUMBER(SEARCH(Validations!$Q$2:$Q$100, AS323)))), """")"),"")</f>
        <v/>
      </c>
      <c r="AX323" s="28" t="s">
        <v>152</v>
      </c>
      <c r="AY323" s="28" t="str">
        <f>IFERROR(__xludf.DUMMYFUNCTION("TEXTJOIN("", "", TRUE, FILTER(Validations!$Y$2:$Y$100, ISNUMBER(SEARCH(Validations!$X$2:$X$100, AX323))))"),"V, S, R")</f>
        <v>V, S, R</v>
      </c>
      <c r="AZ323" s="20" t="s">
        <v>1548</v>
      </c>
      <c r="BA323" s="22"/>
      <c r="BB323" s="22"/>
      <c r="BC323" s="22"/>
      <c r="BD323" s="22"/>
      <c r="BE323" s="27"/>
      <c r="BF323" s="22"/>
      <c r="BG323" s="27"/>
      <c r="BH323" s="27"/>
      <c r="BI323" s="12" t="str">
        <f>IFERROR(__xludf.DUMMYFUNCTION("IFERROR(TEXTJOIN("", "", TRUE, FILTER(SRD!$A$2:$A$1000, EXACT(SRD!$A$2:$A$1000, J323))), """")"),"")</f>
        <v/>
      </c>
      <c r="BJ323" s="29"/>
      <c r="BK323" s="29"/>
    </row>
    <row r="324" ht="15.75" customHeight="1">
      <c r="A324" s="30" t="s">
        <v>1549</v>
      </c>
      <c r="B324" s="22"/>
      <c r="C324" s="16"/>
      <c r="D324" s="16" t="s">
        <v>1550</v>
      </c>
      <c r="E324" s="16"/>
      <c r="F324" s="32" t="s">
        <v>1551</v>
      </c>
      <c r="G324" s="50" t="s">
        <v>1452</v>
      </c>
      <c r="H324" s="16" t="s">
        <v>76</v>
      </c>
      <c r="I324" s="16" t="str">
        <f t="array" ref="I324">INDEX(Validations!$C$2:$C$100, MATCH(TRUE, ISNUMBER(SEARCH(Validations!$B$2:$B$100, H324)), 0))</f>
        <v>V</v>
      </c>
      <c r="J324" s="17" t="s">
        <v>1552</v>
      </c>
      <c r="K324" s="18" t="s">
        <v>1553</v>
      </c>
      <c r="L324" s="17"/>
      <c r="M324" s="17"/>
      <c r="N324" s="27"/>
      <c r="O324" s="17" t="s">
        <v>1554</v>
      </c>
      <c r="P324" s="21"/>
      <c r="Q324" s="21"/>
      <c r="R324" s="22"/>
      <c r="S324" s="17" t="str">
        <f>IFERROR(__xludf.DUMMYFUNCTION("IFERROR(REGEXEXTRACT(J324, ""(\d{1,3}[dD]\d{1,3})""), """")"),"4d6")</f>
        <v>4d6</v>
      </c>
      <c r="T324" s="17" t="str">
        <f>IFERROR(__xludf.DUMMYFUNCTION("IF(COUNTIF(ARRAYFORMULA(LOWER(Validations!$O$2:$O$100)), LOWER(REGEXEXTRACT(J324, ""\d{1,3}[dD]\d{1,3}\s+(\w+)"")))&gt;0, REGEXEXTRACT(J324, ""\d{1,3}[dD]\d{1,3}\s+(\w+)""), """")"),"void")</f>
        <v>void</v>
      </c>
      <c r="U324" s="17" t="str">
        <f>IFERROR(__xludf.DUMMYFUNCTION("IF(COUNTIF(ARRAYFORMULA(LOWER(Validations!$P$2:$P$100)), LOWER(REGEXEXTRACT(J324, ""\d{1,3}[dD]\d{1,3}\s+(\w+)"")))&gt;0, REGEXEXTRACT(J324, ""\d{1,3}[dD]\d{1,3}\s+(\w+)""), """")"),"")</f>
        <v/>
      </c>
      <c r="V324" s="12" t="str">
        <f>IFERROR(__xludf.DUMMYFUNCTION("TEXTJOIN("", "", TRUE, FILTER(Validations!$L$2:$L$100, ISNUMBER(SEARCH(Validations!$L$2:$L$100, J324))))"),"")</f>
        <v/>
      </c>
      <c r="W324" s="12" t="str">
        <f>IFERROR(__xludf.DUMMYFUNCTION("IFERROR(TEXTJOIN("", "", TRUE, FILTER(Validations!$M$2:$M$100, ISNUMBER(SEARCH(Validations!$M$2:$M$100 &amp; "" saving throw"", J324)))), """")"),"Charisma")</f>
        <v>Charisma</v>
      </c>
      <c r="X324" s="12"/>
      <c r="Y324" s="12"/>
      <c r="Z324" s="12" t="str">
        <f>IFERROR(__xludf.DUMMYFUNCTION("IFERROR(TEXTJOIN("", "", TRUE, FILTER(Validations!$N$2:$N$100, ISNUMBER(SEARCH(Validations!$N$2:$N$100 &amp; "" check"", J324)))), """")"),"")</f>
        <v/>
      </c>
      <c r="AA324" s="12" t="str">
        <f>IFERROR(__xludf.DUMMYFUNCTION("IFERROR(TEXTJOIN("", "", TRUE, FILTER(Validations!$N$2:$N$100, ISNUMBER(SEARCH(Validations!$N$2:$N$100 &amp; "" check"", W324)))), """")"),"")</f>
        <v/>
      </c>
      <c r="AB324" s="23" t="str">
        <f>IFERROR(__xludf.DUMMYFUNCTION("IFERROR(CONCATENATE(IF(ISNUMBER(SEARCH(Validations!$M$2:$M$100 &amp; "" spell save"", J324)),""Spell Save"",""""), REGEXEXTRACT(J324, ""DC (\d+)"")), """")"),"")</f>
        <v/>
      </c>
      <c r="AC324" s="24" t="b">
        <v>0</v>
      </c>
      <c r="AD324" s="24" t="b">
        <v>0</v>
      </c>
      <c r="AE324" s="36" t="s">
        <v>69</v>
      </c>
      <c r="AF324" s="25">
        <f>IFERROR(__xludf.DUMMYFUNCTION("IFERROR(VALUE(REGEXEXTRACT(AE324, ""\d+"")), 1)"),1.0)</f>
        <v>1</v>
      </c>
      <c r="AG324" s="12" t="str">
        <f>IFERROR(__xludf.DUMMYFUNCTION("IF(
  ISNUMBER(SEARCH(""Bonus Action"", AE324)),
  ""Bonus Action"",
  IF(
    ISNUMBER(SEARCH(""Reaction"", AE324)),
    ""Reaction"",
    IF(
      ISNUMBER(SEARCH(""Action"", AE324)),
      ""Action"",
      TEXTJOIN("", "", TRUE, FILTER(Validations!$S"&amp;"$2:$S$100, ISNUMBER(SEARCH(Validations!$S$2:$S$100, AE324))))
    )
  )
)"),"Action")</f>
        <v>Action</v>
      </c>
      <c r="AH324" s="36"/>
      <c r="AI324" s="20" t="s">
        <v>134</v>
      </c>
      <c r="AJ324" s="26" t="str">
        <f>IFERROR(__xludf.DUMMYFUNCTION("TEXTJOIN("", "", TRUE, FILTER(Validations!$T$2:$T$100, ISNUMBER(SEARCH(Validations!$T$2:$T$100, AI324))))"),"")</f>
        <v/>
      </c>
      <c r="AK324" s="26">
        <f>IFERROR(__xludf.DUMMYFUNCTION("IFERROR(VALUE(REGEXEXTRACT(AI324, ""\d+"")), """")"),10.0)</f>
        <v>10</v>
      </c>
      <c r="AL324" s="26" t="str">
        <f>IFERROR(__xludf.DUMMYFUNCTION("TEXTJOIN("", "", TRUE, FILTER(Validations!$U$2:$U$100, ISNUMBER(SEARCH(Validations!$U$2:$U$100, AI324))))"),"Minutes")</f>
        <v>Minutes</v>
      </c>
      <c r="AM324" s="24" t="b">
        <f t="shared" si="1"/>
        <v>0</v>
      </c>
      <c r="AN324" s="24" t="b">
        <v>1</v>
      </c>
      <c r="AO324" s="22" t="s">
        <v>440</v>
      </c>
      <c r="AP324" s="12" t="str">
        <f>IFERROR(__xludf.DUMMYFUNCTION("IF(TEXTJOIN("", "", TRUE, FILTER(Validations!$Q$2:$Q$100, ISNUMBER(SEARCH(Validations!$Q$2:$Q$100, AO324)))) = """", Validations!$Q$2, TEXTJOIN("", "", TRUE, FILTER(Validations!$Q$2:$Q$100, ISNUMBER(SEARCH(Validations!$Q$2:$Q$100, AO324)))))"),"Point")</f>
        <v>Point</v>
      </c>
      <c r="AQ324" s="12">
        <f>IFERROR(__xludf.DUMMYFUNCTION("IFERROR(VALUE(REGEXEXTRACT(AO324, ""\d+"")), """")"),60.0)</f>
        <v>60</v>
      </c>
      <c r="AR324" s="12" t="str">
        <f>IFERROR(__xludf.DUMMYFUNCTION("TEXTJOIN("", "", TRUE, FILTER(Validations!$R$2:$R$100, ISNUMBER(SEARCH(Validations!$R$2:$R$100, AO324))))"),"Feet")</f>
        <v>Feet</v>
      </c>
      <c r="AS324" s="27"/>
      <c r="AT324" s="12" t="str">
        <f>IFERROR(__xludf.DUMMYFUNCTION("IFERROR(TEXTJOIN("", "", TRUE, FILTER(Validations!$I$2:$I$100, ISNUMBER(SEARCH(Validations!$I$2:$I$100, AS324)))), """")"),"")</f>
        <v/>
      </c>
      <c r="AU324" s="16" t="str">
        <f t="array" ref="AU324">IFERROR(INDEX(Validations!$J$2:$J$100, MATCH(TRUE, ISNUMBER(SEARCH(Validations!$I$2:$I$100, AT324)), 0)), "")</f>
        <v/>
      </c>
      <c r="AV324" s="12" t="str">
        <f>IFERROR(__xludf.DUMMYFUNCTION("IFERROR(VALUE(REGEXEXTRACT(AS324, ""\d+"")), """")"),"")</f>
        <v/>
      </c>
      <c r="AW324" s="12" t="str">
        <f>IFERROR(__xludf.DUMMYFUNCTION("IFERROR(TEXTJOIN("", "", TRUE, FILTER(Validations!$Q$2:$Q$100, ISNUMBER(SEARCH(Validations!$Q$2:$Q$100, AS324)))), """")"),"")</f>
        <v/>
      </c>
      <c r="AX324" s="28" t="s">
        <v>152</v>
      </c>
      <c r="AY324" s="28" t="str">
        <f>IFERROR(__xludf.DUMMYFUNCTION("TEXTJOIN("", "", TRUE, FILTER(Validations!$Y$2:$Y$100, ISNUMBER(SEARCH(Validations!$X$2:$X$100, AX324))))"),"V, S, R")</f>
        <v>V, S, R</v>
      </c>
      <c r="AZ324" s="20" t="s">
        <v>1555</v>
      </c>
      <c r="BA324" s="22"/>
      <c r="BB324" s="22"/>
      <c r="BC324" s="22"/>
      <c r="BD324" s="22"/>
      <c r="BE324" s="27"/>
      <c r="BF324" s="22"/>
      <c r="BG324" s="27"/>
      <c r="BH324" s="27"/>
      <c r="BI324" s="12" t="str">
        <f>IFERROR(__xludf.DUMMYFUNCTION("IFERROR(TEXTJOIN("", "", TRUE, FILTER(SRD!$A$2:$A$1000, EXACT(SRD!$A$2:$A$1000, J324))), """")"),"")</f>
        <v/>
      </c>
      <c r="BJ324" s="29"/>
      <c r="BK324" s="29"/>
    </row>
    <row r="325" ht="15.75" customHeight="1">
      <c r="A325" s="30" t="s">
        <v>1556</v>
      </c>
      <c r="B325" s="22"/>
      <c r="C325" s="16"/>
      <c r="D325" s="16" t="s">
        <v>1557</v>
      </c>
      <c r="E325" s="16"/>
      <c r="F325" s="32" t="s">
        <v>250</v>
      </c>
      <c r="G325" s="50" t="s">
        <v>1452</v>
      </c>
      <c r="H325" s="31" t="s">
        <v>183</v>
      </c>
      <c r="I325" s="16" t="str">
        <f t="array" ref="I325">INDEX(Validations!$C$2:$C$100, MATCH(TRUE, ISNUMBER(SEARCH(Validations!$B$2:$B$100, H325)), 0))</f>
        <v>E</v>
      </c>
      <c r="J325" s="17" t="s">
        <v>1558</v>
      </c>
      <c r="K325" s="18"/>
      <c r="L325" s="17"/>
      <c r="M325" s="17"/>
      <c r="N325" s="27"/>
      <c r="O325" s="17"/>
      <c r="P325" s="21"/>
      <c r="Q325" s="21"/>
      <c r="R325" s="22"/>
      <c r="S325" s="17" t="str">
        <f>IFERROR(__xludf.DUMMYFUNCTION("IFERROR(REGEXEXTRACT(J325, ""(\d{1,3}[dD]\d{1,3})""), """")"),"")</f>
        <v/>
      </c>
      <c r="T325" s="17" t="str">
        <f>IFERROR(__xludf.DUMMYFUNCTION("IF(COUNTIF(ARRAYFORMULA(LOWER(Validations!$O$2:$O$100)), LOWER(REGEXEXTRACT(J325, ""\d{1,3}[dD]\d{1,3}\s+(\w+)"")))&gt;0, REGEXEXTRACT(J325, ""\d{1,3}[dD]\d{1,3}\s+(\w+)""), """")"),"")</f>
        <v/>
      </c>
      <c r="U325" s="17" t="str">
        <f>IFERROR(__xludf.DUMMYFUNCTION("IF(COUNTIF(ARRAYFORMULA(LOWER(Validations!$P$2:$P$100)), LOWER(REGEXEXTRACT(J325, ""\d{1,3}[dD]\d{1,3}\s+(\w+)"")))&gt;0, REGEXEXTRACT(J325, ""\d{1,3}[dD]\d{1,3}\s+(\w+)""), """")"),"")</f>
        <v/>
      </c>
      <c r="V325" s="12" t="str">
        <f>IFERROR(__xludf.DUMMYFUNCTION("TEXTJOIN("", "", TRUE, FILTER(Validations!$L$2:$L$100, ISNUMBER(SEARCH(Validations!$L$2:$L$100, J325))))"),"")</f>
        <v/>
      </c>
      <c r="W325" s="12" t="str">
        <f>IFERROR(__xludf.DUMMYFUNCTION("IFERROR(TEXTJOIN("", "", TRUE, FILTER(Validations!$M$2:$M$100, ISNUMBER(SEARCH(Validations!$M$2:$M$100 &amp; "" saving throw"", J325)))), """")"),"")</f>
        <v/>
      </c>
      <c r="X325" s="12"/>
      <c r="Y325" s="12"/>
      <c r="Z325" s="12" t="str">
        <f>IFERROR(__xludf.DUMMYFUNCTION("IFERROR(TEXTJOIN("", "", TRUE, FILTER(Validations!$N$2:$N$100, ISNUMBER(SEARCH(Validations!$N$2:$N$100 &amp; "" check"", J325)))), """")"),"")</f>
        <v/>
      </c>
      <c r="AA325" s="12" t="str">
        <f>IFERROR(__xludf.DUMMYFUNCTION("IFERROR(TEXTJOIN("", "", TRUE, FILTER(Validations!$N$2:$N$100, ISNUMBER(SEARCH(Validations!$N$2:$N$100 &amp; "" check"", W325)))), """")"),"")</f>
        <v/>
      </c>
      <c r="AB325" s="23" t="str">
        <f>IFERROR(__xludf.DUMMYFUNCTION("IFERROR(CONCATENATE(IF(ISNUMBER(SEARCH(Validations!$M$2:$M$100 &amp; "" spell save"", J325)),""Spell Save"",""""), REGEXEXTRACT(J325, ""DC (\d+)"")), """")"),"")</f>
        <v/>
      </c>
      <c r="AC325" s="24" t="b">
        <v>0</v>
      </c>
      <c r="AD325" s="24" t="b">
        <v>0</v>
      </c>
      <c r="AE325" s="36" t="s">
        <v>92</v>
      </c>
      <c r="AF325" s="25">
        <f>IFERROR(__xludf.DUMMYFUNCTION("IFERROR(VALUE(REGEXEXTRACT(AE325, ""\d+"")), 1)"),1.0)</f>
        <v>1</v>
      </c>
      <c r="AG325" s="12" t="str">
        <f>IFERROR(__xludf.DUMMYFUNCTION("IF(
  ISNUMBER(SEARCH(""Bonus Action"", AE325)),
  ""Bonus Action"",
  IF(
    ISNUMBER(SEARCH(""Reaction"", AE325)),
    ""Reaction"",
    IF(
      ISNUMBER(SEARCH(""Action"", AE325)),
      ""Action"",
      TEXTJOIN("", "", TRUE, FILTER(Validations!$S"&amp;"$2:$S$100, ISNUMBER(SEARCH(Validations!$S$2:$S$100, AE325))))
    )
  )
)"),"Minutes")</f>
        <v>Minutes</v>
      </c>
      <c r="AH325" s="22"/>
      <c r="AI325" s="27" t="s">
        <v>1559</v>
      </c>
      <c r="AJ325" s="26" t="str">
        <f>IFERROR(__xludf.DUMMYFUNCTION("TEXTJOIN("", "", TRUE, FILTER(Validations!$T$2:$T$100, ISNUMBER(SEARCH(Validations!$T$2:$T$100, AI325))))"),"")</f>
        <v/>
      </c>
      <c r="AK325" s="26">
        <f>IFERROR(__xludf.DUMMYFUNCTION("IFERROR(VALUE(REGEXEXTRACT(AI325, ""\d+"")), """")"),1.0)</f>
        <v>1</v>
      </c>
      <c r="AL325" s="26" t="str">
        <f>IFERROR(__xludf.DUMMYFUNCTION("TEXTJOIN("", "", TRUE, FILTER(Validations!$U$2:$U$100, ISNUMBER(SEARCH(Validations!$U$2:$U$100, AI325))))"),"")</f>
        <v/>
      </c>
      <c r="AM325" s="24" t="b">
        <f t="shared" si="1"/>
        <v>0</v>
      </c>
      <c r="AN325" s="24" t="b">
        <v>0</v>
      </c>
      <c r="AO325" s="22" t="s">
        <v>112</v>
      </c>
      <c r="AP325" s="12" t="str">
        <f>IFERROR(__xludf.DUMMYFUNCTION("IF(TEXTJOIN("", "", TRUE, FILTER(Validations!$Q$2:$Q$100, ISNUMBER(SEARCH(Validations!$Q$2:$Q$100, AO325)))) = """", Validations!$Q$2, TEXTJOIN("", "", TRUE, FILTER(Validations!$Q$2:$Q$100, ISNUMBER(SEARCH(Validations!$Q$2:$Q$100, AO325)))))"),"Point")</f>
        <v>Point</v>
      </c>
      <c r="AQ325" s="12">
        <f>IFERROR(__xludf.DUMMYFUNCTION("IFERROR(VALUE(REGEXEXTRACT(AO325, ""\d+"")), """")"),30.0)</f>
        <v>30</v>
      </c>
      <c r="AR325" s="12" t="str">
        <f>IFERROR(__xludf.DUMMYFUNCTION("TEXTJOIN("", "", TRUE, FILTER(Validations!$R$2:$R$100, ISNUMBER(SEARCH(Validations!$R$2:$R$100, AO325))))"),"Feet")</f>
        <v>Feet</v>
      </c>
      <c r="AS325" s="27"/>
      <c r="AT325" s="12" t="str">
        <f>IFERROR(__xludf.DUMMYFUNCTION("IFERROR(TEXTJOIN("", "", TRUE, FILTER(Validations!$I$2:$I$100, ISNUMBER(SEARCH(Validations!$I$2:$I$100, AS325)))), """")"),"")</f>
        <v/>
      </c>
      <c r="AU325" s="16" t="str">
        <f t="array" ref="AU325">IFERROR(INDEX(Validations!$J$2:$J$100, MATCH(TRUE, ISNUMBER(SEARCH(Validations!$I$2:$I$100, AT325)), 0)), "")</f>
        <v/>
      </c>
      <c r="AV325" s="12" t="str">
        <f>IFERROR(__xludf.DUMMYFUNCTION("IFERROR(VALUE(REGEXEXTRACT(AS325, ""\d+"")), """")"),"")</f>
        <v/>
      </c>
      <c r="AW325" s="12" t="str">
        <f>IFERROR(__xludf.DUMMYFUNCTION("IFERROR(TEXTJOIN("", "", TRUE, FILTER(Validations!$Q$2:$Q$100, ISNUMBER(SEARCH(Validations!$Q$2:$Q$100, AS325)))), """")"),"")</f>
        <v/>
      </c>
      <c r="AX325" s="28" t="s">
        <v>152</v>
      </c>
      <c r="AY325" s="28" t="str">
        <f>IFERROR(__xludf.DUMMYFUNCTION("TEXTJOIN("", "", TRUE, FILTER(Validations!$Y$2:$Y$100, ISNUMBER(SEARCH(Validations!$X$2:$X$100, AX325))))"),"V, S, R")</f>
        <v>V, S, R</v>
      </c>
      <c r="AZ325" s="20" t="s">
        <v>1560</v>
      </c>
      <c r="BA325" s="22"/>
      <c r="BB325" s="22"/>
      <c r="BC325" s="22"/>
      <c r="BD325" s="22" t="s">
        <v>1561</v>
      </c>
      <c r="BE325" s="27"/>
      <c r="BF325" s="22" t="s">
        <v>352</v>
      </c>
      <c r="BG325" s="27"/>
      <c r="BH325" s="27"/>
      <c r="BI325" s="12" t="str">
        <f>IFERROR(__xludf.DUMMYFUNCTION("IFERROR(TEXTJOIN("", "", TRUE, FILTER(SRD!$A$2:$A$1000, EXACT(SRD!$A$2:$A$1000, J325))), """")"),"")</f>
        <v/>
      </c>
      <c r="BJ325" s="29"/>
      <c r="BK325" s="29"/>
    </row>
    <row r="326" ht="15.75" customHeight="1">
      <c r="A326" s="30" t="s">
        <v>1562</v>
      </c>
      <c r="B326" s="22"/>
      <c r="C326" s="16"/>
      <c r="D326" s="16" t="s">
        <v>1563</v>
      </c>
      <c r="E326" s="16"/>
      <c r="F326" s="32" t="s">
        <v>570</v>
      </c>
      <c r="G326" s="50" t="s">
        <v>1452</v>
      </c>
      <c r="H326" s="16" t="s">
        <v>103</v>
      </c>
      <c r="I326" s="16" t="str">
        <f t="array" ref="I326">INDEX(Validations!$C$2:$C$100, MATCH(TRUE, ISNUMBER(SEARCH(Validations!$B$2:$B$100, H326)), 0))</f>
        <v>C</v>
      </c>
      <c r="J326" s="17" t="s">
        <v>1564</v>
      </c>
      <c r="K326" s="18"/>
      <c r="L326" s="17"/>
      <c r="M326" s="17"/>
      <c r="N326" s="27"/>
      <c r="O326" s="17"/>
      <c r="P326" s="21"/>
      <c r="Q326" s="21"/>
      <c r="R326" s="22"/>
      <c r="S326" s="17" t="str">
        <f>IFERROR(__xludf.DUMMYFUNCTION("IFERROR(REGEXEXTRACT(J326, ""(\d{1,3}[dD]\d{1,3})""), """")"),"1d6")</f>
        <v>1d6</v>
      </c>
      <c r="T326" s="17" t="str">
        <f>IFERROR(__xludf.DUMMYFUNCTION("IF(COUNTIF(ARRAYFORMULA(LOWER(Validations!$O$2:$O$100)), LOWER(REGEXEXTRACT(J326, ""\d{1,3}[dD]\d{1,3}\s+(\w+)"")))&gt;0, REGEXEXTRACT(J326, ""\d{1,3}[dD]\d{1,3}\s+(\w+)""), """")"),"")</f>
        <v/>
      </c>
      <c r="U326" s="17" t="str">
        <f>IFERROR(__xludf.DUMMYFUNCTION("IF(COUNTIF(ARRAYFORMULA(LOWER(Validations!$P$2:$P$100)), LOWER(REGEXEXTRACT(J326, ""\d{1,3}[dD]\d{1,3}\s+(\w+)"")))&gt;0, REGEXEXTRACT(J326, ""\d{1,3}[dD]\d{1,3}\s+(\w+)""), """")"),"")</f>
        <v/>
      </c>
      <c r="V326" s="12" t="str">
        <f>IFERROR(__xludf.DUMMYFUNCTION("TEXTJOIN("", "", TRUE, FILTER(Validations!$L$2:$L$100, ISNUMBER(SEARCH(Validations!$L$2:$L$100, J326))))"),"Unstable, Incapacitated")</f>
        <v>Unstable, Incapacitated</v>
      </c>
      <c r="W326" s="12" t="str">
        <f>IFERROR(__xludf.DUMMYFUNCTION("IFERROR(TEXTJOIN("", "", TRUE, FILTER(Validations!$M$2:$M$100, ISNUMBER(SEARCH(Validations!$M$2:$M$100 &amp; "" saving throw"", J326)))), """")"),"")</f>
        <v/>
      </c>
      <c r="X326" s="12"/>
      <c r="Y326" s="12"/>
      <c r="Z326" s="12" t="str">
        <f>IFERROR(__xludf.DUMMYFUNCTION("IFERROR(TEXTJOIN("", "", TRUE, FILTER(Validations!$N$2:$N$100, ISNUMBER(SEARCH(Validations!$N$2:$N$100 &amp; "" check"", J326)))), """")"),"")</f>
        <v/>
      </c>
      <c r="AA326" s="12" t="str">
        <f>IFERROR(__xludf.DUMMYFUNCTION("IFERROR(TEXTJOIN("", "", TRUE, FILTER(Validations!$N$2:$N$100, ISNUMBER(SEARCH(Validations!$N$2:$N$100 &amp; "" check"", W326)))), """")"),"")</f>
        <v/>
      </c>
      <c r="AB326" s="23" t="str">
        <f>IFERROR(__xludf.DUMMYFUNCTION("IFERROR(CONCATENATE(IF(ISNUMBER(SEARCH(Validations!$M$2:$M$100 &amp; "" spell save"", J326)),""Spell Save"",""""), REGEXEXTRACT(J326, ""DC (\d+)"")), """")"),"")</f>
        <v/>
      </c>
      <c r="AC326" s="24" t="b">
        <v>0</v>
      </c>
      <c r="AD326" s="24" t="b">
        <v>0</v>
      </c>
      <c r="AE326" s="36" t="s">
        <v>69</v>
      </c>
      <c r="AF326" s="25">
        <f>IFERROR(__xludf.DUMMYFUNCTION("IFERROR(VALUE(REGEXEXTRACT(AE326, ""\d+"")), 1)"),1.0)</f>
        <v>1</v>
      </c>
      <c r="AG326" s="12" t="str">
        <f>IFERROR(__xludf.DUMMYFUNCTION("IF(
  ISNUMBER(SEARCH(""Bonus Action"", AE326)),
  ""Bonus Action"",
  IF(
    ISNUMBER(SEARCH(""Reaction"", AE326)),
    ""Reaction"",
    IF(
      ISNUMBER(SEARCH(""Action"", AE326)),
      ""Action"",
      TEXTJOIN("", "", TRUE, FILTER(Validations!$S"&amp;"$2:$S$100, ISNUMBER(SEARCH(Validations!$S$2:$S$100, AE326))))
    )
  )
)"),"Action")</f>
        <v>Action</v>
      </c>
      <c r="AH326" s="36"/>
      <c r="AI326" s="20" t="s">
        <v>134</v>
      </c>
      <c r="AJ326" s="26" t="str">
        <f>IFERROR(__xludf.DUMMYFUNCTION("TEXTJOIN("", "", TRUE, FILTER(Validations!$T$2:$T$100, ISNUMBER(SEARCH(Validations!$T$2:$T$100, AI326))))"),"")</f>
        <v/>
      </c>
      <c r="AK326" s="26">
        <f>IFERROR(__xludf.DUMMYFUNCTION("IFERROR(VALUE(REGEXEXTRACT(AI326, ""\d+"")), """")"),10.0)</f>
        <v>10</v>
      </c>
      <c r="AL326" s="26" t="str">
        <f>IFERROR(__xludf.DUMMYFUNCTION("TEXTJOIN("", "", TRUE, FILTER(Validations!$U$2:$U$100, ISNUMBER(SEARCH(Validations!$U$2:$U$100, AI326))))"),"Minutes")</f>
        <v>Minutes</v>
      </c>
      <c r="AM326" s="24" t="b">
        <f t="shared" si="1"/>
        <v>0</v>
      </c>
      <c r="AN326" s="24" t="b">
        <v>0</v>
      </c>
      <c r="AO326" s="22" t="s">
        <v>440</v>
      </c>
      <c r="AP326" s="12" t="str">
        <f>IFERROR(__xludf.DUMMYFUNCTION("IF(TEXTJOIN("", "", TRUE, FILTER(Validations!$Q$2:$Q$100, ISNUMBER(SEARCH(Validations!$Q$2:$Q$100, AO326)))) = """", Validations!$Q$2, TEXTJOIN("", "", TRUE, FILTER(Validations!$Q$2:$Q$100, ISNUMBER(SEARCH(Validations!$Q$2:$Q$100, AO326)))))"),"Point")</f>
        <v>Point</v>
      </c>
      <c r="AQ326" s="12">
        <f>IFERROR(__xludf.DUMMYFUNCTION("IFERROR(VALUE(REGEXEXTRACT(AO326, ""\d+"")), """")"),60.0)</f>
        <v>60</v>
      </c>
      <c r="AR326" s="12" t="str">
        <f>IFERROR(__xludf.DUMMYFUNCTION("TEXTJOIN("", "", TRUE, FILTER(Validations!$R$2:$R$100, ISNUMBER(SEARCH(Validations!$R$2:$R$100, AO326))))"),"Feet")</f>
        <v>Feet</v>
      </c>
      <c r="AS326" s="27"/>
      <c r="AT326" s="12" t="str">
        <f>IFERROR(__xludf.DUMMYFUNCTION("IFERROR(TEXTJOIN("", "", TRUE, FILTER(Validations!$I$2:$I$100, ISNUMBER(SEARCH(Validations!$I$2:$I$100, AS326)))), """")"),"")</f>
        <v/>
      </c>
      <c r="AU326" s="16" t="str">
        <f t="array" ref="AU326">IFERROR(INDEX(Validations!$J$2:$J$100, MATCH(TRUE, ISNUMBER(SEARCH(Validations!$I$2:$I$100, AT326)), 0)), "")</f>
        <v/>
      </c>
      <c r="AV326" s="12" t="str">
        <f>IFERROR(__xludf.DUMMYFUNCTION("IFERROR(VALUE(REGEXEXTRACT(AS326, ""\d+"")), """")"),"")</f>
        <v/>
      </c>
      <c r="AW326" s="12" t="str">
        <f>IFERROR(__xludf.DUMMYFUNCTION("IFERROR(TEXTJOIN("", "", TRUE, FILTER(Validations!$Q$2:$Q$100, ISNUMBER(SEARCH(Validations!$Q$2:$Q$100, AS326)))), """")"),"")</f>
        <v/>
      </c>
      <c r="AX326" s="28" t="s">
        <v>152</v>
      </c>
      <c r="AY326" s="28" t="str">
        <f>IFERROR(__xludf.DUMMYFUNCTION("TEXTJOIN("", "", TRUE, FILTER(Validations!$Y$2:$Y$100, ISNUMBER(SEARCH(Validations!$X$2:$X$100, AX326))))"),"V, S, R")</f>
        <v>V, S, R</v>
      </c>
      <c r="AZ326" s="20" t="s">
        <v>1565</v>
      </c>
      <c r="BA326" s="22"/>
      <c r="BB326" s="22"/>
      <c r="BC326" s="22"/>
      <c r="BD326" s="22"/>
      <c r="BE326" s="27"/>
      <c r="BF326" s="22"/>
      <c r="BG326" s="27"/>
      <c r="BH326" s="27"/>
      <c r="BI326" s="12" t="str">
        <f>IFERROR(__xludf.DUMMYFUNCTION("IFERROR(TEXTJOIN("", "", TRUE, FILTER(SRD!$A$2:$A$1000, EXACT(SRD!$A$2:$A$1000, J326))), """")"),"")</f>
        <v/>
      </c>
      <c r="BJ326" s="29"/>
      <c r="BK326" s="29"/>
    </row>
    <row r="327" ht="15.75" customHeight="1">
      <c r="A327" s="11" t="s">
        <v>1566</v>
      </c>
      <c r="B327" s="12"/>
      <c r="C327" s="16"/>
      <c r="D327" s="16" t="s">
        <v>1567</v>
      </c>
      <c r="E327" s="16"/>
      <c r="F327" s="32" t="s">
        <v>1568</v>
      </c>
      <c r="G327" s="50" t="s">
        <v>1452</v>
      </c>
      <c r="H327" s="16" t="s">
        <v>76</v>
      </c>
      <c r="I327" s="16" t="str">
        <f t="array" ref="I327">INDEX(Validations!$C$2:$C$100, MATCH(TRUE, ISNUMBER(SEARCH(Validations!$B$2:$B$100, H327)), 0))</f>
        <v>V</v>
      </c>
      <c r="J327" s="17" t="s">
        <v>1569</v>
      </c>
      <c r="K327" s="18"/>
      <c r="L327" s="17"/>
      <c r="M327" s="17"/>
      <c r="N327" s="27"/>
      <c r="O327" s="17" t="s">
        <v>1570</v>
      </c>
      <c r="P327" s="21"/>
      <c r="Q327" s="21"/>
      <c r="R327" s="36" t="s">
        <v>1571</v>
      </c>
      <c r="S327" s="17" t="str">
        <f>IFERROR(__xludf.DUMMYFUNCTION("IFERROR(REGEXEXTRACT(J327, ""(\d{1,3}[dD]\d{1,3})""), """")"),"6d10")</f>
        <v>6d10</v>
      </c>
      <c r="T327" s="17" t="str">
        <f>IFERROR(__xludf.DUMMYFUNCTION("IF(COUNTIF(ARRAYFORMULA(LOWER(Validations!$O$2:$O$100)), LOWER(REGEXEXTRACT(J327, ""\d{1,3}[dD]\d{1,3}\s+(\w+)"")))&gt;0, REGEXEXTRACT(J327, ""\d{1,3}[dD]\d{1,3}\s+(\w+)""), """")"),"radiation")</f>
        <v>radiation</v>
      </c>
      <c r="U327" s="17" t="str">
        <f>IFERROR(__xludf.DUMMYFUNCTION("IF(COUNTIF(ARRAYFORMULA(LOWER(Validations!$P$2:$P$100)), LOWER(REGEXEXTRACT(J327, ""\d{1,3}[dD]\d{1,3}\s+(\w+)"")))&gt;0, REGEXEXTRACT(J327, ""\d{1,3}[dD]\d{1,3}\s+(\w+)""), """")"),"")</f>
        <v/>
      </c>
      <c r="V327" s="12" t="str">
        <f>IFERROR(__xludf.DUMMYFUNCTION("TEXTJOIN("", "", TRUE, FILTER(Validations!$L$2:$L$100, ISNUMBER(SEARCH(Validations!$L$2:$L$100, J327))))"),"Unstable, Invisible")</f>
        <v>Unstable, Invisible</v>
      </c>
      <c r="W327" s="12" t="str">
        <f>IFERROR(__xludf.DUMMYFUNCTION("IFERROR(TEXTJOIN("", "", TRUE, FILTER(Validations!$M$2:$M$100, ISNUMBER(SEARCH(Validations!$M$2:$M$100 &amp; "" saving throw"", J327)))), """")"),"")</f>
        <v/>
      </c>
      <c r="X327" s="12"/>
      <c r="Y327" s="12"/>
      <c r="Z327" s="12" t="str">
        <f>IFERROR(__xludf.DUMMYFUNCTION("IFERROR(TEXTJOIN("", "", TRUE, FILTER(Validations!$N$2:$N$100, ISNUMBER(SEARCH(Validations!$N$2:$N$100 &amp; "" check"", J327)))), """")"),"")</f>
        <v/>
      </c>
      <c r="AA327" s="12" t="str">
        <f>IFERROR(__xludf.DUMMYFUNCTION("IFERROR(TEXTJOIN("", "", TRUE, FILTER(Validations!$N$2:$N$100, ISNUMBER(SEARCH(Validations!$N$2:$N$100 &amp; "" check"", W327)))), """")"),"")</f>
        <v/>
      </c>
      <c r="AB327" s="23" t="str">
        <f>IFERROR(__xludf.DUMMYFUNCTION("IFERROR(CONCATENATE(IF(ISNUMBER(SEARCH(Validations!$M$2:$M$100 &amp; "" spell save"", J327)),""Spell Save"",""""), REGEXEXTRACT(J327, ""DC (\d+)"")), """")"),"")</f>
        <v/>
      </c>
      <c r="AC327" s="24" t="b">
        <v>0</v>
      </c>
      <c r="AD327" s="24" t="b">
        <v>0</v>
      </c>
      <c r="AE327" s="36" t="s">
        <v>69</v>
      </c>
      <c r="AF327" s="25">
        <f>IFERROR(__xludf.DUMMYFUNCTION("IFERROR(VALUE(REGEXEXTRACT(AE327, ""\d+"")), 1)"),1.0)</f>
        <v>1</v>
      </c>
      <c r="AG327" s="12" t="str">
        <f>IFERROR(__xludf.DUMMYFUNCTION("IF(
  ISNUMBER(SEARCH(""Bonus Action"", AE327)),
  ""Bonus Action"",
  IF(
    ISNUMBER(SEARCH(""Reaction"", AE327)),
    ""Reaction"",
    IF(
      ISNUMBER(SEARCH(""Action"", AE327)),
      ""Action"",
      TEXTJOIN("", "", TRUE, FILTER(Validations!$S"&amp;"$2:$S$100, ISNUMBER(SEARCH(Validations!$S$2:$S$100, AE327))))
    )
  )
)"),"Action")</f>
        <v>Action</v>
      </c>
      <c r="AH327" s="36"/>
      <c r="AI327" s="20" t="s">
        <v>936</v>
      </c>
      <c r="AJ327" s="26" t="str">
        <f>IFERROR(__xludf.DUMMYFUNCTION("TEXTJOIN("", "", TRUE, FILTER(Validations!$T$2:$T$100, ISNUMBER(SEARCH(Validations!$T$2:$T$100, AI327))))"),"")</f>
        <v/>
      </c>
      <c r="AK327" s="26">
        <f>IFERROR(__xludf.DUMMYFUNCTION("IFERROR(VALUE(REGEXEXTRACT(AI327, ""\d+"")), """")"),1.0)</f>
        <v>1</v>
      </c>
      <c r="AL327" s="26" t="str">
        <f>IFERROR(__xludf.DUMMYFUNCTION("TEXTJOIN("", "", TRUE, FILTER(Validations!$U$2:$U$100, ISNUMBER(SEARCH(Validations!$U$2:$U$100, AI327))))"),"Minutes")</f>
        <v>Minutes</v>
      </c>
      <c r="AM327" s="24" t="b">
        <f t="shared" si="1"/>
        <v>1</v>
      </c>
      <c r="AN327" s="42" t="b">
        <v>1</v>
      </c>
      <c r="AO327" s="36" t="s">
        <v>71</v>
      </c>
      <c r="AP327" s="12" t="str">
        <f>IFERROR(__xludf.DUMMYFUNCTION("IF(TEXTJOIN("", "", TRUE, FILTER(Validations!$Q$2:$Q$100, ISNUMBER(SEARCH(Validations!$Q$2:$Q$100, AO327)))) = """", Validations!$Q$2, TEXTJOIN("", "", TRUE, FILTER(Validations!$Q$2:$Q$100, ISNUMBER(SEARCH(Validations!$Q$2:$Q$100, AO327)))))"),"Point")</f>
        <v>Point</v>
      </c>
      <c r="AQ327" s="12" t="str">
        <f>IFERROR(__xludf.DUMMYFUNCTION("IFERROR(VALUE(REGEXEXTRACT(AO327, ""\d+"")), """")"),"")</f>
        <v/>
      </c>
      <c r="AR327" s="12" t="str">
        <f>IFERROR(__xludf.DUMMYFUNCTION("TEXTJOIN("", "", TRUE, FILTER(Validations!$R$2:$R$100, ISNUMBER(SEARCH(Validations!$R$2:$R$100, AO327))))"),"Touch")</f>
        <v>Touch</v>
      </c>
      <c r="AS327" s="27"/>
      <c r="AT327" s="12" t="str">
        <f>IFERROR(__xludf.DUMMYFUNCTION("IFERROR(TEXTJOIN("", "", TRUE, FILTER(Validations!$I$2:$I$100, ISNUMBER(SEARCH(Validations!$I$2:$I$100, AS327)))), """")"),"")</f>
        <v/>
      </c>
      <c r="AU327" s="16" t="str">
        <f t="array" ref="AU327">IFERROR(INDEX(Validations!$J$2:$J$100, MATCH(TRUE, ISNUMBER(SEARCH(Validations!$I$2:$I$100, AT327)), 0)), "")</f>
        <v/>
      </c>
      <c r="AV327" s="12" t="str">
        <f>IFERROR(__xludf.DUMMYFUNCTION("IFERROR(VALUE(REGEXEXTRACT(AS327, ""\d+"")), """")"),"")</f>
        <v/>
      </c>
      <c r="AW327" s="12" t="str">
        <f>IFERROR(__xludf.DUMMYFUNCTION("IFERROR(TEXTJOIN("", "", TRUE, FILTER(Validations!$Q$2:$Q$100, ISNUMBER(SEARCH(Validations!$Q$2:$Q$100, AS327)))), """")"),"")</f>
        <v/>
      </c>
      <c r="AX327" s="28" t="s">
        <v>152</v>
      </c>
      <c r="AY327" s="28" t="str">
        <f>IFERROR(__xludf.DUMMYFUNCTION("TEXTJOIN("", "", TRUE, FILTER(Validations!$Y$2:$Y$100, ISNUMBER(SEARCH(Validations!$X$2:$X$100, AX327))))"),"V, S, R")</f>
        <v>V, S, R</v>
      </c>
      <c r="AZ327" s="20" t="s">
        <v>1572</v>
      </c>
      <c r="BA327" s="22"/>
      <c r="BB327" s="22"/>
      <c r="BC327" s="22"/>
      <c r="BD327" s="22"/>
      <c r="BE327" s="27"/>
      <c r="BF327" s="22"/>
      <c r="BG327" s="27"/>
      <c r="BH327" s="27"/>
      <c r="BI327" s="12" t="str">
        <f>IFERROR(__xludf.DUMMYFUNCTION("IFERROR(TEXTJOIN("", "", TRUE, FILTER(SRD!$A$2:$A$1000, EXACT(SRD!$A$2:$A$1000, J327))), """")"),"")</f>
        <v/>
      </c>
      <c r="BJ327" s="29"/>
      <c r="BK327" s="29"/>
    </row>
    <row r="328" ht="15.75" customHeight="1">
      <c r="A328" s="30" t="s">
        <v>1573</v>
      </c>
      <c r="B328" s="22"/>
      <c r="C328" s="31"/>
      <c r="D328" s="31" t="s">
        <v>74</v>
      </c>
      <c r="E328" s="31"/>
      <c r="F328" s="32" t="s">
        <v>1574</v>
      </c>
      <c r="G328" s="50" t="s">
        <v>1452</v>
      </c>
      <c r="H328" s="31" t="s">
        <v>183</v>
      </c>
      <c r="I328" s="16" t="str">
        <f t="array" ref="I328">INDEX(Validations!$C$2:$C$100, MATCH(TRUE, ISNUMBER(SEARCH(Validations!$B$2:$B$100, H328)), 0))</f>
        <v>E</v>
      </c>
      <c r="J328" s="17" t="s">
        <v>1575</v>
      </c>
      <c r="K328" s="18"/>
      <c r="L328" s="17"/>
      <c r="M328" s="17" t="s">
        <v>1576</v>
      </c>
      <c r="N328" s="27"/>
      <c r="O328" s="17"/>
      <c r="P328" s="21"/>
      <c r="Q328" s="21"/>
      <c r="R328" s="22"/>
      <c r="S328" s="17" t="str">
        <f>IFERROR(__xludf.DUMMYFUNCTION("IFERROR(REGEXEXTRACT(J328, ""(\d{1,3}[dD]\d{1,3})""), """")"),"")</f>
        <v/>
      </c>
      <c r="T328" s="17" t="str">
        <f>IFERROR(__xludf.DUMMYFUNCTION("IF(COUNTIF(ARRAYFORMULA(LOWER(Validations!$O$2:$O$100)), LOWER(REGEXEXTRACT(J328, ""\d{1,3}[dD]\d{1,3}\s+(\w+)"")))&gt;0, REGEXEXTRACT(J328, ""\d{1,3}[dD]\d{1,3}\s+(\w+)""), """")"),"")</f>
        <v/>
      </c>
      <c r="U328" s="17" t="str">
        <f>IFERROR(__xludf.DUMMYFUNCTION("IF(COUNTIF(ARRAYFORMULA(LOWER(Validations!$P$2:$P$100)), LOWER(REGEXEXTRACT(J328, ""\d{1,3}[dD]\d{1,3}\s+(\w+)"")))&gt;0, REGEXEXTRACT(J328, ""\d{1,3}[dD]\d{1,3}\s+(\w+)""), """")"),"")</f>
        <v/>
      </c>
      <c r="V328" s="12" t="str">
        <f>IFERROR(__xludf.DUMMYFUNCTION("TEXTJOIN("", "", TRUE, FILTER(Validations!$L$2:$L$100, ISNUMBER(SEARCH(Validations!$L$2:$L$100, J328))))"),"Paranoid")</f>
        <v>Paranoid</v>
      </c>
      <c r="W328" s="12" t="str">
        <f>IFERROR(__xludf.DUMMYFUNCTION("IFERROR(TEXTJOIN("", "", TRUE, FILTER(Validations!$M$2:$M$100, ISNUMBER(SEARCH(Validations!$M$2:$M$100 &amp; "" saving throw"", J328)))), """")"),"Wisdom")</f>
        <v>Wisdom</v>
      </c>
      <c r="X328" s="12"/>
      <c r="Y328" s="12"/>
      <c r="Z328" s="12" t="str">
        <f>IFERROR(__xludf.DUMMYFUNCTION("IFERROR(TEXTJOIN("", "", TRUE, FILTER(Validations!$N$2:$N$100, ISNUMBER(SEARCH(Validations!$N$2:$N$100 &amp; "" check"", J328)))), """")"),"Perception")</f>
        <v>Perception</v>
      </c>
      <c r="AA328" s="12" t="str">
        <f>IFERROR(__xludf.DUMMYFUNCTION("IFERROR(TEXTJOIN("", "", TRUE, FILTER(Validations!$N$2:$N$100, ISNUMBER(SEARCH(Validations!$N$2:$N$100 &amp; "" check"", W328)))), """")"),"")</f>
        <v/>
      </c>
      <c r="AB328" s="23" t="str">
        <f>IFERROR(__xludf.DUMMYFUNCTION("IFERROR(CONCATENATE(IF(ISNUMBER(SEARCH(Validations!$M$2:$M$100 &amp; "" spell save"", J328)),""Spell Save"",""""), REGEXEXTRACT(J328, ""DC (\d+)"")), """")"),"17")</f>
        <v>17</v>
      </c>
      <c r="AC328" s="24" t="b">
        <v>0</v>
      </c>
      <c r="AD328" s="24" t="b">
        <v>0</v>
      </c>
      <c r="AE328" s="36" t="s">
        <v>69</v>
      </c>
      <c r="AF328" s="25">
        <f>IFERROR(__xludf.DUMMYFUNCTION("IFERROR(VALUE(REGEXEXTRACT(AE328, ""\d+"")), 1)"),1.0)</f>
        <v>1</v>
      </c>
      <c r="AG328" s="12" t="str">
        <f>IFERROR(__xludf.DUMMYFUNCTION("IF(
  ISNUMBER(SEARCH(""Bonus Action"", AE328)),
  ""Bonus Action"",
  IF(
    ISNUMBER(SEARCH(""Reaction"", AE328)),
    ""Reaction"",
    IF(
      ISNUMBER(SEARCH(""Action"", AE328)),
      ""Action"",
      TEXTJOIN("", "", TRUE, FILTER(Validations!$S"&amp;"$2:$S$100, ISNUMBER(SEARCH(Validations!$S$2:$S$100, AE328))))
    )
  )
)"),"Action")</f>
        <v>Action</v>
      </c>
      <c r="AH328" s="36"/>
      <c r="AI328" s="20" t="s">
        <v>134</v>
      </c>
      <c r="AJ328" s="26" t="str">
        <f>IFERROR(__xludf.DUMMYFUNCTION("TEXTJOIN("", "", TRUE, FILTER(Validations!$T$2:$T$100, ISNUMBER(SEARCH(Validations!$T$2:$T$100, AI328))))"),"")</f>
        <v/>
      </c>
      <c r="AK328" s="26">
        <f>IFERROR(__xludf.DUMMYFUNCTION("IFERROR(VALUE(REGEXEXTRACT(AI328, ""\d+"")), """")"),10.0)</f>
        <v>10</v>
      </c>
      <c r="AL328" s="26" t="str">
        <f>IFERROR(__xludf.DUMMYFUNCTION("TEXTJOIN("", "", TRUE, FILTER(Validations!$U$2:$U$100, ISNUMBER(SEARCH(Validations!$U$2:$U$100, AI328))))"),"Minutes")</f>
        <v>Minutes</v>
      </c>
      <c r="AM328" s="24" t="b">
        <f t="shared" si="1"/>
        <v>0</v>
      </c>
      <c r="AN328" s="24" t="b">
        <v>1</v>
      </c>
      <c r="AO328" s="22" t="s">
        <v>440</v>
      </c>
      <c r="AP328" s="12" t="str">
        <f>IFERROR(__xludf.DUMMYFUNCTION("IF(TEXTJOIN("", "", TRUE, FILTER(Validations!$Q$2:$Q$100, ISNUMBER(SEARCH(Validations!$Q$2:$Q$100, AO328)))) = """", Validations!$Q$2, TEXTJOIN("", "", TRUE, FILTER(Validations!$Q$2:$Q$100, ISNUMBER(SEARCH(Validations!$Q$2:$Q$100, AO328)))))"),"Point")</f>
        <v>Point</v>
      </c>
      <c r="AQ328" s="12">
        <f>IFERROR(__xludf.DUMMYFUNCTION("IFERROR(VALUE(REGEXEXTRACT(AO328, ""\d+"")), """")"),60.0)</f>
        <v>60</v>
      </c>
      <c r="AR328" s="12" t="str">
        <f>IFERROR(__xludf.DUMMYFUNCTION("TEXTJOIN("", "", TRUE, FILTER(Validations!$R$2:$R$100, ISNUMBER(SEARCH(Validations!$R$2:$R$100, AO328))))"),"Feet")</f>
        <v>Feet</v>
      </c>
      <c r="AS328" s="27"/>
      <c r="AT328" s="12" t="str">
        <f>IFERROR(__xludf.DUMMYFUNCTION("IFERROR(TEXTJOIN("", "", TRUE, FILTER(Validations!$I$2:$I$100, ISNUMBER(SEARCH(Validations!$I$2:$I$100, AS328)))), """")"),"")</f>
        <v/>
      </c>
      <c r="AU328" s="16" t="str">
        <f t="array" ref="AU328">IFERROR(INDEX(Validations!$J$2:$J$100, MATCH(TRUE, ISNUMBER(SEARCH(Validations!$I$2:$I$100, AT328)), 0)), "")</f>
        <v/>
      </c>
      <c r="AV328" s="12" t="str">
        <f>IFERROR(__xludf.DUMMYFUNCTION("IFERROR(VALUE(REGEXEXTRACT(AS328, ""\d+"")), """")"),"")</f>
        <v/>
      </c>
      <c r="AW328" s="12" t="str">
        <f>IFERROR(__xludf.DUMMYFUNCTION("IFERROR(TEXTJOIN("", "", TRUE, FILTER(Validations!$Q$2:$Q$100, ISNUMBER(SEARCH(Validations!$Q$2:$Q$100, AS328)))), """")"),"")</f>
        <v/>
      </c>
      <c r="AX328" s="28" t="s">
        <v>152</v>
      </c>
      <c r="AY328" s="28" t="str">
        <f>IFERROR(__xludf.DUMMYFUNCTION("TEXTJOIN("", "", TRUE, FILTER(Validations!$Y$2:$Y$100, ISNUMBER(SEARCH(Validations!$X$2:$X$100, AX328))))"),"V, S, R")</f>
        <v>V, S, R</v>
      </c>
      <c r="AZ328" s="20" t="s">
        <v>1577</v>
      </c>
      <c r="BA328" s="22"/>
      <c r="BB328" s="22"/>
      <c r="BC328" s="22"/>
      <c r="BD328" s="22"/>
      <c r="BE328" s="27"/>
      <c r="BF328" s="22"/>
      <c r="BG328" s="27"/>
      <c r="BH328" s="27"/>
      <c r="BI328" s="12" t="str">
        <f>IFERROR(__xludf.DUMMYFUNCTION("IFERROR(TEXTJOIN("", "", TRUE, FILTER(SRD!$A$2:$A$1000, EXACT(SRD!$A$2:$A$1000, J328))), """")"),"")</f>
        <v/>
      </c>
      <c r="BJ328" s="29"/>
      <c r="BK328" s="29"/>
    </row>
    <row r="329" ht="15.75" customHeight="1">
      <c r="A329" s="30" t="s">
        <v>1578</v>
      </c>
      <c r="B329" s="22"/>
      <c r="C329" s="16"/>
      <c r="D329" s="16" t="s">
        <v>302</v>
      </c>
      <c r="E329" s="16"/>
      <c r="F329" s="32" t="s">
        <v>1579</v>
      </c>
      <c r="G329" s="15" t="s">
        <v>1452</v>
      </c>
      <c r="H329" s="16" t="s">
        <v>140</v>
      </c>
      <c r="I329" s="16" t="str">
        <f t="array" ref="I329">INDEX(Validations!$C$2:$C$100, MATCH(TRUE, ISNUMBER(SEARCH(Validations!$B$2:$B$100, H329)), 0))</f>
        <v>N</v>
      </c>
      <c r="J329" s="17" t="s">
        <v>1580</v>
      </c>
      <c r="K329" s="18"/>
      <c r="L329" s="17"/>
      <c r="M329" s="17" t="s">
        <v>1581</v>
      </c>
      <c r="N329" s="27"/>
      <c r="O329" s="17"/>
      <c r="P329" s="21"/>
      <c r="Q329" s="21"/>
      <c r="R329" s="36" t="s">
        <v>1582</v>
      </c>
      <c r="S329" s="17" t="str">
        <f>IFERROR(__xludf.DUMMYFUNCTION("IFERROR(REGEXEXTRACT(J329, ""(\d{1,3}[dD]\d{1,3})""), """")"),"")</f>
        <v/>
      </c>
      <c r="T329" s="17" t="str">
        <f>IFERROR(__xludf.DUMMYFUNCTION("IF(COUNTIF(ARRAYFORMULA(LOWER(Validations!$O$2:$O$100)), LOWER(REGEXEXTRACT(J329, ""\d{1,3}[dD]\d{1,3}\s+(\w+)"")))&gt;0, REGEXEXTRACT(J329, ""\d{1,3}[dD]\d{1,3}\s+(\w+)""), """")"),"")</f>
        <v/>
      </c>
      <c r="U329" s="17" t="str">
        <f>IFERROR(__xludf.DUMMYFUNCTION("IF(COUNTIF(ARRAYFORMULA(LOWER(Validations!$P$2:$P$100)), LOWER(REGEXEXTRACT(J329, ""\d{1,3}[dD]\d{1,3}\s+(\w+)"")))&gt;0, REGEXEXTRACT(J329, ""\d{1,3}[dD]\d{1,3}\s+(\w+)""), """")"),"")</f>
        <v/>
      </c>
      <c r="V329" s="12" t="str">
        <f>IFERROR(__xludf.DUMMYFUNCTION("TEXTJOIN("", "", TRUE, FILTER(Validations!$L$2:$L$100, ISNUMBER(SEARCH(Validations!$L$2:$L$100, J329))))"),"")</f>
        <v/>
      </c>
      <c r="W329" s="12" t="str">
        <f>IFERROR(__xludf.DUMMYFUNCTION("IFERROR(TEXTJOIN("", "", TRUE, FILTER(Validations!$M$2:$M$100, ISNUMBER(SEARCH(Validations!$M$2:$M$100 &amp; "" saving throw"", J329)))), """")"),"")</f>
        <v/>
      </c>
      <c r="X329" s="12"/>
      <c r="Y329" s="12"/>
      <c r="Z329" s="12" t="str">
        <f>IFERROR(__xludf.DUMMYFUNCTION("IFERROR(TEXTJOIN("", "", TRUE, FILTER(Validations!$N$2:$N$100, ISNUMBER(SEARCH(Validations!$N$2:$N$100 &amp; "" check"", J329)))), """")"),"")</f>
        <v/>
      </c>
      <c r="AA329" s="12" t="str">
        <f>IFERROR(__xludf.DUMMYFUNCTION("IFERROR(TEXTJOIN("", "", TRUE, FILTER(Validations!$N$2:$N$100, ISNUMBER(SEARCH(Validations!$N$2:$N$100 &amp; "" check"", W329)))), """")"),"")</f>
        <v/>
      </c>
      <c r="AB329" s="23" t="str">
        <f>IFERROR(__xludf.DUMMYFUNCTION("IFERROR(CONCATENATE(IF(ISNUMBER(SEARCH(Validations!$M$2:$M$100 &amp; "" spell save"", J329)),""Spell Save"",""""), REGEXEXTRACT(J329, ""DC (\d+)"")), """")"),"")</f>
        <v/>
      </c>
      <c r="AC329" s="24" t="b">
        <v>0</v>
      </c>
      <c r="AD329" s="24" t="b">
        <v>0</v>
      </c>
      <c r="AE329" s="36" t="s">
        <v>134</v>
      </c>
      <c r="AF329" s="25">
        <f>IFERROR(__xludf.DUMMYFUNCTION("IFERROR(VALUE(REGEXEXTRACT(AE329, ""\d+"")), 1)"),10.0)</f>
        <v>10</v>
      </c>
      <c r="AG329" s="12" t="str">
        <f>IFERROR(__xludf.DUMMYFUNCTION("IF(
  ISNUMBER(SEARCH(""Bonus Action"", AE329)),
  ""Bonus Action"",
  IF(
    ISNUMBER(SEARCH(""Reaction"", AE329)),
    ""Reaction"",
    IF(
      ISNUMBER(SEARCH(""Action"", AE329)),
      ""Action"",
      TEXTJOIN("", "", TRUE, FILTER(Validations!$S"&amp;"$2:$S$100, ISNUMBER(SEARCH(Validations!$S$2:$S$100, AE329))))
    )
  )
)"),"Minutes")</f>
        <v>Minutes</v>
      </c>
      <c r="AH329" s="22"/>
      <c r="AI329" s="27" t="s">
        <v>1583</v>
      </c>
      <c r="AJ329" s="26" t="str">
        <f>IFERROR(__xludf.DUMMYFUNCTION("TEXTJOIN("", "", TRUE, FILTER(Validations!$T$2:$T$100, ISNUMBER(SEARCH(Validations!$T$2:$T$100, AI329))))"),"Permanent")</f>
        <v>Permanent</v>
      </c>
      <c r="AK329" s="26" t="str">
        <f>IFERROR(__xludf.DUMMYFUNCTION("IFERROR(VALUE(REGEXEXTRACT(AI329, ""\d+"")), """")"),"")</f>
        <v/>
      </c>
      <c r="AL329" s="26" t="str">
        <f>IFERROR(__xludf.DUMMYFUNCTION("TEXTJOIN("", "", TRUE, FILTER(Validations!$U$2:$U$100, ISNUMBER(SEARCH(Validations!$U$2:$U$100, AI329))))"),"")</f>
        <v/>
      </c>
      <c r="AM329" s="24" t="b">
        <f t="shared" si="1"/>
        <v>0</v>
      </c>
      <c r="AN329" s="24" t="b">
        <v>0</v>
      </c>
      <c r="AO329" s="22" t="s">
        <v>71</v>
      </c>
      <c r="AP329" s="12" t="str">
        <f>IFERROR(__xludf.DUMMYFUNCTION("IF(TEXTJOIN("", "", TRUE, FILTER(Validations!$Q$2:$Q$100, ISNUMBER(SEARCH(Validations!$Q$2:$Q$100, AO329)))) = """", Validations!$Q$2, TEXTJOIN("", "", TRUE, FILTER(Validations!$Q$2:$Q$100, ISNUMBER(SEARCH(Validations!$Q$2:$Q$100, AO329)))))"),"Point")</f>
        <v>Point</v>
      </c>
      <c r="AQ329" s="12" t="str">
        <f>IFERROR(__xludf.DUMMYFUNCTION("IFERROR(VALUE(REGEXEXTRACT(AO329, ""\d+"")), """")"),"")</f>
        <v/>
      </c>
      <c r="AR329" s="12" t="str">
        <f>IFERROR(__xludf.DUMMYFUNCTION("TEXTJOIN("", "", TRUE, FILTER(Validations!$R$2:$R$100, ISNUMBER(SEARCH(Validations!$R$2:$R$100, AO329))))"),"Touch")</f>
        <v>Touch</v>
      </c>
      <c r="AS329" s="27"/>
      <c r="AT329" s="12" t="str">
        <f>IFERROR(__xludf.DUMMYFUNCTION("IFERROR(TEXTJOIN("", "", TRUE, FILTER(Validations!$I$2:$I$100, ISNUMBER(SEARCH(Validations!$I$2:$I$100, AS329)))), """")"),"")</f>
        <v/>
      </c>
      <c r="AU329" s="16" t="str">
        <f t="array" ref="AU329">IFERROR(INDEX(Validations!$J$2:$J$100, MATCH(TRUE, ISNUMBER(SEARCH(Validations!$I$2:$I$100, AT329)), 0)), "")</f>
        <v/>
      </c>
      <c r="AV329" s="12" t="str">
        <f>IFERROR(__xludf.DUMMYFUNCTION("IFERROR(VALUE(REGEXEXTRACT(AS329, ""\d+"")), """")"),"")</f>
        <v/>
      </c>
      <c r="AW329" s="12" t="str">
        <f>IFERROR(__xludf.DUMMYFUNCTION("IFERROR(TEXTJOIN("", "", TRUE, FILTER(Validations!$Q$2:$Q$100, ISNUMBER(SEARCH(Validations!$Q$2:$Q$100, AS329)))), """")"),"")</f>
        <v/>
      </c>
      <c r="AX329" s="28" t="s">
        <v>152</v>
      </c>
      <c r="AY329" s="28" t="str">
        <f>IFERROR(__xludf.DUMMYFUNCTION("TEXTJOIN("", "", TRUE, FILTER(Validations!$Y$2:$Y$100, ISNUMBER(SEARCH(Validations!$X$2:$X$100, AX329))))"),"V, S, R")</f>
        <v>V, S, R</v>
      </c>
      <c r="AZ329" s="20" t="s">
        <v>1584</v>
      </c>
      <c r="BA329" s="22"/>
      <c r="BB329" s="22"/>
      <c r="BC329" s="22"/>
      <c r="BD329" s="33"/>
      <c r="BE329" s="27"/>
      <c r="BF329" s="22"/>
      <c r="BG329" s="27"/>
      <c r="BH329" s="27"/>
      <c r="BI329" s="12" t="str">
        <f>IFERROR(__xludf.DUMMYFUNCTION("IFERROR(TEXTJOIN("", "", TRUE, FILTER(SRD!$A$2:$A$1000, EXACT(SRD!$A$2:$A$1000, J329))), """")"),"")</f>
        <v/>
      </c>
      <c r="BJ329" s="29"/>
      <c r="BK329" s="29"/>
    </row>
    <row r="330" ht="15.75" customHeight="1">
      <c r="A330" s="38" t="s">
        <v>1585</v>
      </c>
      <c r="B330" s="12"/>
      <c r="C330" s="16"/>
      <c r="D330" s="16" t="s">
        <v>1273</v>
      </c>
      <c r="E330" s="16"/>
      <c r="F330" s="39" t="s">
        <v>241</v>
      </c>
      <c r="G330" s="15" t="s">
        <v>1452</v>
      </c>
      <c r="H330" s="31" t="s">
        <v>140</v>
      </c>
      <c r="I330" s="16" t="str">
        <f t="array" ref="I330">INDEX(Validations!$C$2:$C$100, MATCH(TRUE, ISNUMBER(SEARCH(Validations!$B$2:$B$100, H330)), 0))</f>
        <v>N</v>
      </c>
      <c r="J330" s="17" t="s">
        <v>1586</v>
      </c>
      <c r="K330" s="18" t="s">
        <v>1587</v>
      </c>
      <c r="L330" s="17"/>
      <c r="M330" s="52"/>
      <c r="N330" s="20" t="s">
        <v>1588</v>
      </c>
      <c r="O330" s="17" t="s">
        <v>1589</v>
      </c>
      <c r="P330" s="21"/>
      <c r="Q330" s="21"/>
      <c r="R330" s="36" t="s">
        <v>1590</v>
      </c>
      <c r="S330" s="17" t="str">
        <f>IFERROR(__xludf.DUMMYFUNCTION("IFERROR(REGEXEXTRACT(J330, ""(\d{1,3}[dD]\d{1,3})""), """")"),"2d8")</f>
        <v>2d8</v>
      </c>
      <c r="T330" s="17" t="str">
        <f>IFERROR(__xludf.DUMMYFUNCTION("IF(COUNTIF(ARRAYFORMULA(LOWER(Validations!$O$2:$O$100)), LOWER(REGEXEXTRACT(J330, ""\d{1,3}[dD]\d{1,3}\s+(\w+)"")))&gt;0, REGEXEXTRACT(J330, ""\d{1,3}[dD]\d{1,3}\s+(\w+)""), """")"),"chiaric")</f>
        <v>chiaric</v>
      </c>
      <c r="U330" s="17" t="str">
        <f>IFERROR(__xludf.DUMMYFUNCTION("IF(COUNTIF(ARRAYFORMULA(LOWER(Validations!$P$2:$P$100)), LOWER(REGEXEXTRACT(J330, ""\d{1,3}[dD]\d{1,3}\s+(\w+)"")))&gt;0, REGEXEXTRACT(J330, ""\d{1,3}[dD]\d{1,3}\s+(\w+)""), """")"),"")</f>
        <v/>
      </c>
      <c r="V330" s="12" t="str">
        <f>IFERROR(__xludf.DUMMYFUNCTION("TEXTJOIN("", "", TRUE, FILTER(Validations!$L$2:$L$100, ISNUMBER(SEARCH(Validations!$L$2:$L$100, J330))))"),"")</f>
        <v/>
      </c>
      <c r="W330" s="12" t="str">
        <f>IFERROR(__xludf.DUMMYFUNCTION("IFERROR(TEXTJOIN("", "", TRUE, FILTER(Validations!$M$2:$M$100, ISNUMBER(SEARCH(Validations!$M$2:$M$100 &amp; "" saving throw"", J330)))), """")"),"Constitution")</f>
        <v>Constitution</v>
      </c>
      <c r="X330" s="12"/>
      <c r="Y330" s="12"/>
      <c r="Z330" s="12" t="str">
        <f>IFERROR(__xludf.DUMMYFUNCTION("IFERROR(TEXTJOIN("", "", TRUE, FILTER(Validations!$N$2:$N$100, ISNUMBER(SEARCH(Validations!$N$2:$N$100 &amp; "" check"", J330)))), """")"),"")</f>
        <v/>
      </c>
      <c r="AA330" s="12" t="str">
        <f>IFERROR(__xludf.DUMMYFUNCTION("IFERROR(TEXTJOIN("", "", TRUE, FILTER(Validations!$N$2:$N$100, ISNUMBER(SEARCH(Validations!$N$2:$N$100 &amp; "" check"", W330)))), """")"),"")</f>
        <v/>
      </c>
      <c r="AB330" s="23" t="str">
        <f>IFERROR(__xludf.DUMMYFUNCTION("IFERROR(CONCATENATE(IF(ISNUMBER(SEARCH(Validations!$M$2:$M$100 &amp; "" spell save"", J330)),""Spell Save"",""""), REGEXEXTRACT(J330, ""DC (\d+)"")), """")"),"")</f>
        <v/>
      </c>
      <c r="AC330" s="24" t="b">
        <v>0</v>
      </c>
      <c r="AD330" s="24" t="b">
        <v>0</v>
      </c>
      <c r="AE330" s="12" t="s">
        <v>69</v>
      </c>
      <c r="AF330" s="25">
        <f>IFERROR(__xludf.DUMMYFUNCTION("IFERROR(VALUE(REGEXEXTRACT(AE330, ""\d+"")), 1)"),1.0)</f>
        <v>1</v>
      </c>
      <c r="AG330" s="12" t="str">
        <f>IFERROR(__xludf.DUMMYFUNCTION("IF(
  ISNUMBER(SEARCH(""Bonus Action"", AE330)),
  ""Bonus Action"",
  IF(
    ISNUMBER(SEARCH(""Reaction"", AE330)),
    ""Reaction"",
    IF(
      ISNUMBER(SEARCH(""Action"", AE330)),
      ""Action"",
      TEXTJOIN("", "", TRUE, FILTER(Validations!$S"&amp;"$2:$S$100, ISNUMBER(SEARCH(Validations!$S$2:$S$100, AE330))))
    )
  )
)"),"Action")</f>
        <v>Action</v>
      </c>
      <c r="AH330" s="12"/>
      <c r="AI330" s="20" t="s">
        <v>556</v>
      </c>
      <c r="AJ330" s="26" t="str">
        <f>IFERROR(__xludf.DUMMYFUNCTION("TEXTJOIN("", "", TRUE, FILTER(Validations!$T$2:$T$100, ISNUMBER(SEARCH(Validations!$T$2:$T$100, AI330))))"),"")</f>
        <v/>
      </c>
      <c r="AK330" s="26">
        <f>IFERROR(__xludf.DUMMYFUNCTION("IFERROR(VALUE(REGEXEXTRACT(AI330, ""\d+"")), """")"),1.0)</f>
        <v>1</v>
      </c>
      <c r="AL330" s="26" t="str">
        <f>IFERROR(__xludf.DUMMYFUNCTION("TEXTJOIN("", "", TRUE, FILTER(Validations!$U$2:$U$100, ISNUMBER(SEARCH(Validations!$U$2:$U$100, AI330))))"),"Minutes")</f>
        <v>Minutes</v>
      </c>
      <c r="AM330" s="24" t="b">
        <f t="shared" si="1"/>
        <v>1</v>
      </c>
      <c r="AN330" s="42" t="b">
        <v>1</v>
      </c>
      <c r="AO330" s="36" t="s">
        <v>502</v>
      </c>
      <c r="AP330" s="12" t="str">
        <f>IFERROR(__xludf.DUMMYFUNCTION("IF(TEXTJOIN("", "", TRUE, FILTER(Validations!$Q$2:$Q$100, ISNUMBER(SEARCH(Validations!$Q$2:$Q$100, AO330)))) = """", Validations!$Q$2, TEXTJOIN("", "", TRUE, FILTER(Validations!$Q$2:$Q$100, ISNUMBER(SEARCH(Validations!$Q$2:$Q$100, AO330)))))"),"Point")</f>
        <v>Point</v>
      </c>
      <c r="AQ330" s="12">
        <f>IFERROR(__xludf.DUMMYFUNCTION("IFERROR(VALUE(REGEXEXTRACT(AO330, ""\d+"")), """")"),120.0)</f>
        <v>120</v>
      </c>
      <c r="AR330" s="12" t="str">
        <f>IFERROR(__xludf.DUMMYFUNCTION("TEXTJOIN("", "", TRUE, FILTER(Validations!$R$2:$R$100, ISNUMBER(SEARCH(Validations!$R$2:$R$100, AO330))))"),"Feet")</f>
        <v>Feet</v>
      </c>
      <c r="AS330" s="26" t="s">
        <v>1591</v>
      </c>
      <c r="AT330" s="12" t="str">
        <f>IFERROR(__xludf.DUMMYFUNCTION("IFERROR(TEXTJOIN("", "", TRUE, FILTER(Validations!$I$2:$I$100, ISNUMBER(SEARCH(Validations!$I$2:$I$100, AS330)))), """")"),"Line")</f>
        <v>Line</v>
      </c>
      <c r="AU330" s="16" t="str">
        <f t="array" ref="AU330">IFERROR(INDEX(Validations!$J$2:$J$100, MATCH(TRUE, ISNUMBER(SEARCH(Validations!$I$2:$I$100, AT330)), 0)), "")</f>
        <v>L</v>
      </c>
      <c r="AV330" s="12">
        <f>IFERROR(__xludf.DUMMYFUNCTION("IFERROR(VALUE(REGEXEXTRACT(AS330, ""\d+"")), """")"),120.0)</f>
        <v>120</v>
      </c>
      <c r="AW330" s="12" t="str">
        <f>IFERROR(__xludf.DUMMYFUNCTION("IFERROR(TEXTJOIN("", "", TRUE, FILTER(Validations!$Q$2:$Q$100, ISNUMBER(SEARCH(Validations!$Q$2:$Q$100, AS330)))), """")"),"Line")</f>
        <v>Line</v>
      </c>
      <c r="AX330" s="36" t="s">
        <v>106</v>
      </c>
      <c r="AY330" s="28" t="str">
        <f>IFERROR(__xludf.DUMMYFUNCTION("TEXTJOIN("", "", TRUE, FILTER(Validations!$Y$2:$Y$100, ISNUMBER(SEARCH(Validations!$X$2:$X$100, AX330))))"),"S")</f>
        <v>S</v>
      </c>
      <c r="AZ330" s="27"/>
      <c r="BA330" s="22"/>
      <c r="BB330" s="22"/>
      <c r="BC330" s="22"/>
      <c r="BD330" s="22"/>
      <c r="BE330" s="27"/>
      <c r="BF330" s="22"/>
      <c r="BG330" s="27"/>
      <c r="BH330" s="27"/>
      <c r="BI330" s="12" t="str">
        <f>IFERROR(__xludf.DUMMYFUNCTION("IFERROR(TEXTJOIN("", "", TRUE, FILTER(SRD!$A$2:$A$1000, EXACT(SRD!$A$2:$A$1000, J330))), """")"),"")</f>
        <v/>
      </c>
      <c r="BJ330" s="29"/>
      <c r="BK330" s="29"/>
    </row>
    <row r="331" ht="15.75" customHeight="1">
      <c r="A331" s="11" t="s">
        <v>1592</v>
      </c>
      <c r="B331" s="12"/>
      <c r="C331" s="16"/>
      <c r="D331" s="16" t="s">
        <v>345</v>
      </c>
      <c r="E331" s="16"/>
      <c r="F331" s="32" t="s">
        <v>1593</v>
      </c>
      <c r="G331" s="15" t="s">
        <v>1594</v>
      </c>
      <c r="H331" s="31" t="s">
        <v>183</v>
      </c>
      <c r="I331" s="16" t="str">
        <f t="array" ref="I331">INDEX(Validations!$C$2:$C$100, MATCH(TRUE, ISNUMBER(SEARCH(Validations!$B$2:$B$100, H331)), 0))</f>
        <v>E</v>
      </c>
      <c r="J331" s="17" t="s">
        <v>1595</v>
      </c>
      <c r="K331" s="18"/>
      <c r="L331" s="17"/>
      <c r="M331" s="17"/>
      <c r="N331" s="27"/>
      <c r="O331" s="17" t="s">
        <v>1596</v>
      </c>
      <c r="P331" s="21"/>
      <c r="Q331" s="21"/>
      <c r="R331" s="22"/>
      <c r="S331" s="17" t="str">
        <f>IFERROR(__xludf.DUMMYFUNCTION("IFERROR(REGEXEXTRACT(J331, ""(\d{1,3}[dD]\d{1,3})""), """")"),"")</f>
        <v/>
      </c>
      <c r="T331" s="17" t="str">
        <f>IFERROR(__xludf.DUMMYFUNCTION("IF(COUNTIF(ARRAYFORMULA(LOWER(Validations!$O$2:$O$100)), LOWER(REGEXEXTRACT(J331, ""\d{1,3}[dD]\d{1,3}\s+(\w+)"")))&gt;0, REGEXEXTRACT(J331, ""\d{1,3}[dD]\d{1,3}\s+(\w+)""), """")"),"")</f>
        <v/>
      </c>
      <c r="U331" s="17" t="str">
        <f>IFERROR(__xludf.DUMMYFUNCTION("IF(COUNTIF(ARRAYFORMULA(LOWER(Validations!$P$2:$P$100)), LOWER(REGEXEXTRACT(J331, ""\d{1,3}[dD]\d{1,3}\s+(\w+)"")))&gt;0, REGEXEXTRACT(J331, ""\d{1,3}[dD]\d{1,3}\s+(\w+)""), """")"),"")</f>
        <v/>
      </c>
      <c r="V331" s="12" t="str">
        <f>IFERROR(__xludf.DUMMYFUNCTION("TEXTJOIN("", "", TRUE, FILTER(Validations!$L$2:$L$100, ISNUMBER(SEARCH(Validations!$L$2:$L$100, J331))))"),"Compelled, Charmed, Deafened, Incapacitated, Invisible")</f>
        <v>Compelled, Charmed, Deafened, Incapacitated, Invisible</v>
      </c>
      <c r="W331" s="12" t="str">
        <f>IFERROR(__xludf.DUMMYFUNCTION("IFERROR(TEXTJOIN("", "", TRUE, FILTER(Validations!$M$2:$M$100, ISNUMBER(SEARCH(Validations!$M$2:$M$100 &amp; "" saving throw"", J331)))), """")"),"Wisdom")</f>
        <v>Wisdom</v>
      </c>
      <c r="X331" s="12"/>
      <c r="Y331" s="12"/>
      <c r="Z331" s="12" t="str">
        <f>IFERROR(__xludf.DUMMYFUNCTION("IFERROR(TEXTJOIN("", "", TRUE, FILTER(Validations!$N$2:$N$100, ISNUMBER(SEARCH(Validations!$N$2:$N$100 &amp; "" check"", J331)))), """")"),"")</f>
        <v/>
      </c>
      <c r="AA331" s="12" t="str">
        <f>IFERROR(__xludf.DUMMYFUNCTION("IFERROR(TEXTJOIN("", "", TRUE, FILTER(Validations!$N$2:$N$100, ISNUMBER(SEARCH(Validations!$N$2:$N$100 &amp; "" check"", W331)))), """")"),"")</f>
        <v/>
      </c>
      <c r="AB331" s="23" t="str">
        <f>IFERROR(__xludf.DUMMYFUNCTION("IFERROR(CONCATENATE(IF(ISNUMBER(SEARCH(Validations!$M$2:$M$100 &amp; "" spell save"", J331)),""Spell Save"",""""), REGEXEXTRACT(J331, ""DC (\d+)"")), """")"),"")</f>
        <v/>
      </c>
      <c r="AC331" s="24" t="b">
        <v>0</v>
      </c>
      <c r="AD331" s="24" t="b">
        <v>0</v>
      </c>
      <c r="AE331" s="36" t="s">
        <v>69</v>
      </c>
      <c r="AF331" s="25">
        <f>IFERROR(__xludf.DUMMYFUNCTION("IFERROR(VALUE(REGEXEXTRACT(AE331, ""\d+"")), 1)"),1.0)</f>
        <v>1</v>
      </c>
      <c r="AG331" s="12" t="str">
        <f>IFERROR(__xludf.DUMMYFUNCTION("IF(
  ISNUMBER(SEARCH(""Bonus Action"", AE331)),
  ""Bonus Action"",
  IF(
    ISNUMBER(SEARCH(""Reaction"", AE331)),
    ""Reaction"",
    IF(
      ISNUMBER(SEARCH(""Action"", AE331)),
      ""Action"",
      TEXTJOIN("", "", TRUE, FILTER(Validations!$S"&amp;"$2:$S$100, ISNUMBER(SEARCH(Validations!$S$2:$S$100, AE331))))
    )
  )
)"),"Action")</f>
        <v>Action</v>
      </c>
      <c r="AH331" s="36"/>
      <c r="AI331" s="27" t="s">
        <v>70</v>
      </c>
      <c r="AJ331" s="26" t="str">
        <f>IFERROR(__xludf.DUMMYFUNCTION("TEXTJOIN("", "", TRUE, FILTER(Validations!$T$2:$T$100, ISNUMBER(SEARCH(Validations!$T$2:$T$100, AI331))))"),"Instantaneous")</f>
        <v>Instantaneous</v>
      </c>
      <c r="AK331" s="26" t="str">
        <f>IFERROR(__xludf.DUMMYFUNCTION("IFERROR(VALUE(REGEXEXTRACT(AI331, ""\d+"")), """")"),"")</f>
        <v/>
      </c>
      <c r="AL331" s="26" t="str">
        <f>IFERROR(__xludf.DUMMYFUNCTION("TEXTJOIN("", "", TRUE, FILTER(Validations!$U$2:$U$100, ISNUMBER(SEARCH(Validations!$U$2:$U$100, AI331))))"),"")</f>
        <v/>
      </c>
      <c r="AM331" s="24" t="b">
        <f t="shared" si="1"/>
        <v>0</v>
      </c>
      <c r="AN331" s="24" t="b">
        <v>0</v>
      </c>
      <c r="AO331" s="36" t="s">
        <v>440</v>
      </c>
      <c r="AP331" s="12" t="str">
        <f>IFERROR(__xludf.DUMMYFUNCTION("IF(TEXTJOIN("", "", TRUE, FILTER(Validations!$Q$2:$Q$100, ISNUMBER(SEARCH(Validations!$Q$2:$Q$100, AO331)))) = """", Validations!$Q$2, TEXTJOIN("", "", TRUE, FILTER(Validations!$Q$2:$Q$100, ISNUMBER(SEARCH(Validations!$Q$2:$Q$100, AO331)))))"),"Point")</f>
        <v>Point</v>
      </c>
      <c r="AQ331" s="12">
        <f>IFERROR(__xludf.DUMMYFUNCTION("IFERROR(VALUE(REGEXEXTRACT(AO331, ""\d+"")), """")"),60.0)</f>
        <v>60</v>
      </c>
      <c r="AR331" s="12" t="str">
        <f>IFERROR(__xludf.DUMMYFUNCTION("TEXTJOIN("", "", TRUE, FILTER(Validations!$R$2:$R$100, ISNUMBER(SEARCH(Validations!$R$2:$R$100, AO331))))"),"Feet")</f>
        <v>Feet</v>
      </c>
      <c r="AS331" s="27"/>
      <c r="AT331" s="12" t="str">
        <f>IFERROR(__xludf.DUMMYFUNCTION("IFERROR(TEXTJOIN("", "", TRUE, FILTER(Validations!$I$2:$I$100, ISNUMBER(SEARCH(Validations!$I$2:$I$100, AS331)))), """")"),"")</f>
        <v/>
      </c>
      <c r="AU331" s="16" t="str">
        <f t="array" ref="AU331">IFERROR(INDEX(Validations!$J$2:$J$100, MATCH(TRUE, ISNUMBER(SEARCH(Validations!$I$2:$I$100, AT331)), 0)), "")</f>
        <v/>
      </c>
      <c r="AV331" s="12" t="str">
        <f>IFERROR(__xludf.DUMMYFUNCTION("IFERROR(VALUE(REGEXEXTRACT(AS331, ""\d+"")), """")"),"")</f>
        <v/>
      </c>
      <c r="AW331" s="12" t="str">
        <f>IFERROR(__xludf.DUMMYFUNCTION("IFERROR(TEXTJOIN("", "", TRUE, FILTER(Validations!$Q$2:$Q$100, ISNUMBER(SEARCH(Validations!$Q$2:$Q$100, AS331)))), """")"),"")</f>
        <v/>
      </c>
      <c r="AX331" s="28" t="s">
        <v>248</v>
      </c>
      <c r="AY331" s="28" t="str">
        <f>IFERROR(__xludf.DUMMYFUNCTION("TEXTJOIN("", "", TRUE, FILTER(Validations!$Y$2:$Y$100, ISNUMBER(SEARCH(Validations!$X$2:$X$100, AX331))))"),"V")</f>
        <v>V</v>
      </c>
      <c r="AZ331" s="27"/>
      <c r="BA331" s="22"/>
      <c r="BB331" s="22"/>
      <c r="BC331" s="22"/>
      <c r="BD331" s="22"/>
      <c r="BE331" s="27"/>
      <c r="BF331" s="22"/>
      <c r="BG331" s="27"/>
      <c r="BH331" s="27"/>
      <c r="BI331" s="12" t="str">
        <f>IFERROR(__xludf.DUMMYFUNCTION("IFERROR(TEXTJOIN("", "", TRUE, FILTER(SRD!$A$2:$A$1000, EXACT(SRD!$A$2:$A$1000, J331))), """")"),"")</f>
        <v/>
      </c>
      <c r="BJ331" s="29"/>
      <c r="BK331" s="29"/>
    </row>
    <row r="332" ht="15.75" customHeight="1">
      <c r="A332" s="11" t="s">
        <v>1597</v>
      </c>
      <c r="B332" s="12"/>
      <c r="C332" s="16"/>
      <c r="D332" s="16" t="s">
        <v>538</v>
      </c>
      <c r="E332" s="16"/>
      <c r="F332" s="32" t="s">
        <v>250</v>
      </c>
      <c r="G332" s="15" t="s">
        <v>1594</v>
      </c>
      <c r="H332" s="16" t="s">
        <v>76</v>
      </c>
      <c r="I332" s="16" t="str">
        <f t="array" ref="I332">INDEX(Validations!$C$2:$C$100, MATCH(TRUE, ISNUMBER(SEARCH(Validations!$B$2:$B$100, H332)), 0))</f>
        <v>V</v>
      </c>
      <c r="J332" s="17" t="s">
        <v>1598</v>
      </c>
      <c r="K332" s="18"/>
      <c r="L332" s="17"/>
      <c r="M332" s="17"/>
      <c r="N332" s="27"/>
      <c r="O332" s="17"/>
      <c r="P332" s="21"/>
      <c r="Q332" s="21"/>
      <c r="R332" s="22"/>
      <c r="S332" s="17" t="str">
        <f>IFERROR(__xludf.DUMMYFUNCTION("IFERROR(REGEXEXTRACT(J332, ""(\d{1,3}[dD]\d{1,3})""), """")"),"5d10")</f>
        <v>5d10</v>
      </c>
      <c r="T332" s="17" t="str">
        <f>IFERROR(__xludf.DUMMYFUNCTION("IF(COUNTIF(ARRAYFORMULA(LOWER(Validations!$O$2:$O$100)), LOWER(REGEXEXTRACT(J332, ""\d{1,3}[dD]\d{1,3}\s+(\w+)"")))&gt;0, REGEXEXTRACT(J332, ""\d{1,3}[dD]\d{1,3}\s+(\w+)""), """")"),"cryonic")</f>
        <v>cryonic</v>
      </c>
      <c r="U332" s="17" t="str">
        <f>IFERROR(__xludf.DUMMYFUNCTION("IF(COUNTIF(ARRAYFORMULA(LOWER(Validations!$P$2:$P$100)), LOWER(REGEXEXTRACT(J332, ""\d{1,3}[dD]\d{1,3}\s+(\w+)"")))&gt;0, REGEXEXTRACT(J332, ""\d{1,3}[dD]\d{1,3}\s+(\w+)""), """")"),"")</f>
        <v/>
      </c>
      <c r="V332" s="12" t="str">
        <f>IFERROR(__xludf.DUMMYFUNCTION("TEXTJOIN("", "", TRUE, FILTER(Validations!$L$2:$L$100, ISNUMBER(SEARCH(Validations!$L$2:$L$100, J332))))"),"")</f>
        <v/>
      </c>
      <c r="W332" s="12" t="str">
        <f>IFERROR(__xludf.DUMMYFUNCTION("IFERROR(TEXTJOIN("", "", TRUE, FILTER(Validations!$M$2:$M$100, ISNUMBER(SEARCH(Validations!$M$2:$M$100 &amp; "" saving throw"", J332)))), """")"),"Constitution")</f>
        <v>Constitution</v>
      </c>
      <c r="X332" s="12"/>
      <c r="Y332" s="12"/>
      <c r="Z332" s="12" t="str">
        <f>IFERROR(__xludf.DUMMYFUNCTION("IFERROR(TEXTJOIN("", "", TRUE, FILTER(Validations!$N$2:$N$100, ISNUMBER(SEARCH(Validations!$N$2:$N$100 &amp; "" check"", J332)))), """")"),"")</f>
        <v/>
      </c>
      <c r="AA332" s="12" t="str">
        <f>IFERROR(__xludf.DUMMYFUNCTION("IFERROR(TEXTJOIN("", "", TRUE, FILTER(Validations!$N$2:$N$100, ISNUMBER(SEARCH(Validations!$N$2:$N$100 &amp; "" check"", W332)))), """")"),"")</f>
        <v/>
      </c>
      <c r="AB332" s="23" t="str">
        <f>IFERROR(__xludf.DUMMYFUNCTION("IFERROR(CONCATENATE(IF(ISNUMBER(SEARCH(Validations!$M$2:$M$100 &amp; "" spell save"", J332)),""Spell Save"",""""), REGEXEXTRACT(J332, ""DC (\d+)"")), """")"),"")</f>
        <v/>
      </c>
      <c r="AC332" s="24" t="b">
        <v>0</v>
      </c>
      <c r="AD332" s="24" t="b">
        <v>0</v>
      </c>
      <c r="AE332" s="36" t="s">
        <v>69</v>
      </c>
      <c r="AF332" s="25">
        <f>IFERROR(__xludf.DUMMYFUNCTION("IFERROR(VALUE(REGEXEXTRACT(AE332, ""\d+"")), 1)"),1.0)</f>
        <v>1</v>
      </c>
      <c r="AG332" s="12" t="str">
        <f>IFERROR(__xludf.DUMMYFUNCTION("IF(
  ISNUMBER(SEARCH(""Bonus Action"", AE332)),
  ""Bonus Action"",
  IF(
    ISNUMBER(SEARCH(""Reaction"", AE332)),
    ""Reaction"",
    IF(
      ISNUMBER(SEARCH(""Action"", AE332)),
      ""Action"",
      TEXTJOIN("", "", TRUE, FILTER(Validations!$S"&amp;"$2:$S$100, ISNUMBER(SEARCH(Validations!$S$2:$S$100, AE332))))
    )
  )
)"),"Action")</f>
        <v>Action</v>
      </c>
      <c r="AH332" s="36"/>
      <c r="AI332" s="20" t="s">
        <v>70</v>
      </c>
      <c r="AJ332" s="26" t="str">
        <f>IFERROR(__xludf.DUMMYFUNCTION("TEXTJOIN("", "", TRUE, FILTER(Validations!$T$2:$T$100, ISNUMBER(SEARCH(Validations!$T$2:$T$100, AI332))))"),"Instantaneous")</f>
        <v>Instantaneous</v>
      </c>
      <c r="AK332" s="26" t="str">
        <f>IFERROR(__xludf.DUMMYFUNCTION("IFERROR(VALUE(REGEXEXTRACT(AI332, ""\d+"")), """")"),"")</f>
        <v/>
      </c>
      <c r="AL332" s="26" t="str">
        <f>IFERROR(__xludf.DUMMYFUNCTION("TEXTJOIN("", "", TRUE, FILTER(Validations!$U$2:$U$100, ISNUMBER(SEARCH(Validations!$U$2:$U$100, AI332))))"),"")</f>
        <v/>
      </c>
      <c r="AM332" s="24" t="b">
        <f t="shared" si="1"/>
        <v>0</v>
      </c>
      <c r="AN332" s="42" t="b">
        <v>0</v>
      </c>
      <c r="AO332" s="36" t="s">
        <v>440</v>
      </c>
      <c r="AP332" s="12" t="str">
        <f>IFERROR(__xludf.DUMMYFUNCTION("IF(TEXTJOIN("", "", TRUE, FILTER(Validations!$Q$2:$Q$100, ISNUMBER(SEARCH(Validations!$Q$2:$Q$100, AO332)))) = """", Validations!$Q$2, TEXTJOIN("", "", TRUE, FILTER(Validations!$Q$2:$Q$100, ISNUMBER(SEARCH(Validations!$Q$2:$Q$100, AO332)))))"),"Point")</f>
        <v>Point</v>
      </c>
      <c r="AQ332" s="12">
        <f>IFERROR(__xludf.DUMMYFUNCTION("IFERROR(VALUE(REGEXEXTRACT(AO332, ""\d+"")), """")"),60.0)</f>
        <v>60</v>
      </c>
      <c r="AR332" s="12" t="str">
        <f>IFERROR(__xludf.DUMMYFUNCTION("TEXTJOIN("", "", TRUE, FILTER(Validations!$R$2:$R$100, ISNUMBER(SEARCH(Validations!$R$2:$R$100, AO332))))"),"Feet")</f>
        <v>Feet</v>
      </c>
      <c r="AS332" s="27"/>
      <c r="AT332" s="12" t="str">
        <f>IFERROR(__xludf.DUMMYFUNCTION("IFERROR(TEXTJOIN("", "", TRUE, FILTER(Validations!$I$2:$I$100, ISNUMBER(SEARCH(Validations!$I$2:$I$100, AS332)))), """")"),"")</f>
        <v/>
      </c>
      <c r="AU332" s="16" t="str">
        <f t="array" ref="AU332">IFERROR(INDEX(Validations!$J$2:$J$100, MATCH(TRUE, ISNUMBER(SEARCH(Validations!$I$2:$I$100, AT332)), 0)), "")</f>
        <v/>
      </c>
      <c r="AV332" s="12" t="str">
        <f>IFERROR(__xludf.DUMMYFUNCTION("IFERROR(VALUE(REGEXEXTRACT(AS332, ""\d+"")), """")"),"")</f>
        <v/>
      </c>
      <c r="AW332" s="12" t="str">
        <f>IFERROR(__xludf.DUMMYFUNCTION("IFERROR(TEXTJOIN("", "", TRUE, FILTER(Validations!$Q$2:$Q$100, ISNUMBER(SEARCH(Validations!$Q$2:$Q$100, AS332)))), """")"),"")</f>
        <v/>
      </c>
      <c r="AX332" s="28" t="s">
        <v>262</v>
      </c>
      <c r="AY332" s="28" t="str">
        <f>IFERROR(__xludf.DUMMYFUNCTION("TEXTJOIN("", "", TRUE, FILTER(Validations!$Y$2:$Y$100, ISNUMBER(SEARCH(Validations!$X$2:$X$100, AX332))))"),"V, S, R")</f>
        <v>V, S, R</v>
      </c>
      <c r="AZ332" s="20" t="s">
        <v>1599</v>
      </c>
      <c r="BA332" s="22"/>
      <c r="BB332" s="22"/>
      <c r="BC332" s="22"/>
      <c r="BD332" s="22"/>
      <c r="BE332" s="27"/>
      <c r="BF332" s="22"/>
      <c r="BG332" s="27"/>
      <c r="BH332" s="27"/>
      <c r="BI332" s="12" t="str">
        <f>IFERROR(__xludf.DUMMYFUNCTION("IFERROR(TEXTJOIN("", "", TRUE, FILTER(SRD!$A$2:$A$1000, EXACT(SRD!$A$2:$A$1000, J332))), """")"),"")</f>
        <v/>
      </c>
      <c r="BJ332" s="29"/>
      <c r="BK332" s="29"/>
    </row>
    <row r="333" ht="15.75" customHeight="1">
      <c r="A333" s="11" t="s">
        <v>1600</v>
      </c>
      <c r="B333" s="12"/>
      <c r="C333" s="16"/>
      <c r="D333" s="16" t="s">
        <v>1102</v>
      </c>
      <c r="E333" s="16"/>
      <c r="F333" s="32" t="s">
        <v>1593</v>
      </c>
      <c r="G333" s="15" t="s">
        <v>1594</v>
      </c>
      <c r="H333" s="16" t="s">
        <v>76</v>
      </c>
      <c r="I333" s="16" t="str">
        <f t="array" ref="I333">INDEX(Validations!$C$2:$C$100, MATCH(TRUE, ISNUMBER(SEARCH(Validations!$B$2:$B$100, H333)), 0))</f>
        <v>V</v>
      </c>
      <c r="J333" s="17" t="s">
        <v>1601</v>
      </c>
      <c r="K333" s="18"/>
      <c r="L333" s="17"/>
      <c r="M333" s="17"/>
      <c r="N333" s="27"/>
      <c r="O333" s="17" t="s">
        <v>1602</v>
      </c>
      <c r="P333" s="21"/>
      <c r="Q333" s="21"/>
      <c r="R333" s="22"/>
      <c r="S333" s="17" t="str">
        <f>IFERROR(__xludf.DUMMYFUNCTION("IFERROR(REGEXEXTRACT(J333, ""(\d{1,3}[dD]\d{1,3})""), """")"),"12d10")</f>
        <v>12d10</v>
      </c>
      <c r="T333" s="17" t="str">
        <f>IFERROR(__xludf.DUMMYFUNCTION("IF(COUNTIF(ARRAYFORMULA(LOWER(Validations!$O$2:$O$100)), LOWER(REGEXEXTRACT(J333, ""\d{1,3}[dD]\d{1,3}\s+(\w+)"")))&gt;0, REGEXEXTRACT(J333, ""\d{1,3}[dD]\d{1,3}\s+(\w+)""), """")"),"chiaric")</f>
        <v>chiaric</v>
      </c>
      <c r="U333" s="17" t="str">
        <f>IFERROR(__xludf.DUMMYFUNCTION("IF(COUNTIF(ARRAYFORMULA(LOWER(Validations!$P$2:$P$100)), LOWER(REGEXEXTRACT(J333, ""\d{1,3}[dD]\d{1,3}\s+(\w+)"")))&gt;0, REGEXEXTRACT(J333, ""\d{1,3}[dD]\d{1,3}\s+(\w+)""), """")"),"")</f>
        <v/>
      </c>
      <c r="V333" s="12" t="str">
        <f>IFERROR(__xludf.DUMMYFUNCTION("TEXTJOIN("", "", TRUE, FILTER(Validations!$L$2:$L$100, ISNUMBER(SEARCH(Validations!$L$2:$L$100, J333))))"),"Unstable")</f>
        <v>Unstable</v>
      </c>
      <c r="W333" s="12" t="str">
        <f>IFERROR(__xludf.DUMMYFUNCTION("IFERROR(TEXTJOIN("", "", TRUE, FILTER(Validations!$M$2:$M$100, ISNUMBER(SEARCH(Validations!$M$2:$M$100 &amp; "" saving throw"", J333)))), """")"),"Constitution")</f>
        <v>Constitution</v>
      </c>
      <c r="X333" s="12"/>
      <c r="Y333" s="12"/>
      <c r="Z333" s="12" t="str">
        <f>IFERROR(__xludf.DUMMYFUNCTION("IFERROR(TEXTJOIN("", "", TRUE, FILTER(Validations!$N$2:$N$100, ISNUMBER(SEARCH(Validations!$N$2:$N$100 &amp; "" check"", J333)))), """")"),"")</f>
        <v/>
      </c>
      <c r="AA333" s="12" t="str">
        <f>IFERROR(__xludf.DUMMYFUNCTION("IFERROR(TEXTJOIN("", "", TRUE, FILTER(Validations!$N$2:$N$100, ISNUMBER(SEARCH(Validations!$N$2:$N$100 &amp; "" check"", W333)))), """")"),"")</f>
        <v/>
      </c>
      <c r="AB333" s="23" t="str">
        <f>IFERROR(__xludf.DUMMYFUNCTION("IFERROR(CONCATENATE(IF(ISNUMBER(SEARCH(Validations!$M$2:$M$100 &amp; "" spell save"", J333)),""Spell Save"",""""), REGEXEXTRACT(J333, ""DC (\d+)"")), """")"),"")</f>
        <v/>
      </c>
      <c r="AC333" s="24" t="b">
        <v>0</v>
      </c>
      <c r="AD333" s="24" t="b">
        <v>0</v>
      </c>
      <c r="AE333" s="36" t="s">
        <v>69</v>
      </c>
      <c r="AF333" s="25">
        <f>IFERROR(__xludf.DUMMYFUNCTION("IFERROR(VALUE(REGEXEXTRACT(AE333, ""\d+"")), 1)"),1.0)</f>
        <v>1</v>
      </c>
      <c r="AG333" s="12" t="str">
        <f>IFERROR(__xludf.DUMMYFUNCTION("IF(
  ISNUMBER(SEARCH(""Bonus Action"", AE333)),
  ""Bonus Action"",
  IF(
    ISNUMBER(SEARCH(""Reaction"", AE333)),
    ""Reaction"",
    IF(
      ISNUMBER(SEARCH(""Action"", AE333)),
      ""Action"",
      TEXTJOIN("", "", TRUE, FILTER(Validations!$S"&amp;"$2:$S$100, ISNUMBER(SEARCH(Validations!$S$2:$S$100, AE333))))
    )
  )
)"),"Action")</f>
        <v>Action</v>
      </c>
      <c r="AH333" s="36"/>
      <c r="AI333" s="20" t="s">
        <v>296</v>
      </c>
      <c r="AJ333" s="26" t="str">
        <f>IFERROR(__xludf.DUMMYFUNCTION("TEXTJOIN("", "", TRUE, FILTER(Validations!$T$2:$T$100, ISNUMBER(SEARCH(Validations!$T$2:$T$100, AI333))))"),"")</f>
        <v/>
      </c>
      <c r="AK333" s="26">
        <f>IFERROR(__xludf.DUMMYFUNCTION("IFERROR(VALUE(REGEXEXTRACT(AI333, ""\d+"")), """")"),1.0)</f>
        <v>1</v>
      </c>
      <c r="AL333" s="26" t="str">
        <f>IFERROR(__xludf.DUMMYFUNCTION("TEXTJOIN("", "", TRUE, FILTER(Validations!$U$2:$U$100, ISNUMBER(SEARCH(Validations!$U$2:$U$100, AI333))))"),"Hours")</f>
        <v>Hours</v>
      </c>
      <c r="AM333" s="24" t="b">
        <f t="shared" si="1"/>
        <v>0</v>
      </c>
      <c r="AN333" s="24" t="b">
        <v>0</v>
      </c>
      <c r="AO333" s="22" t="s">
        <v>112</v>
      </c>
      <c r="AP333" s="12" t="str">
        <f>IFERROR(__xludf.DUMMYFUNCTION("IF(TEXTJOIN("", "", TRUE, FILTER(Validations!$Q$2:$Q$100, ISNUMBER(SEARCH(Validations!$Q$2:$Q$100, AO333)))) = """", Validations!$Q$2, TEXTJOIN("", "", TRUE, FILTER(Validations!$Q$2:$Q$100, ISNUMBER(SEARCH(Validations!$Q$2:$Q$100, AO333)))))"),"Point")</f>
        <v>Point</v>
      </c>
      <c r="AQ333" s="12">
        <f>IFERROR(__xludf.DUMMYFUNCTION("IFERROR(VALUE(REGEXEXTRACT(AO333, ""\d+"")), """")"),30.0)</f>
        <v>30</v>
      </c>
      <c r="AR333" s="12" t="str">
        <f>IFERROR(__xludf.DUMMYFUNCTION("TEXTJOIN("", "", TRUE, FILTER(Validations!$R$2:$R$100, ISNUMBER(SEARCH(Validations!$R$2:$R$100, AO333))))"),"Feet")</f>
        <v>Feet</v>
      </c>
      <c r="AS333" s="27"/>
      <c r="AT333" s="12" t="str">
        <f>IFERROR(__xludf.DUMMYFUNCTION("IFERROR(TEXTJOIN("", "", TRUE, FILTER(Validations!$I$2:$I$100, ISNUMBER(SEARCH(Validations!$I$2:$I$100, AS333)))), """")"),"")</f>
        <v/>
      </c>
      <c r="AU333" s="16" t="str">
        <f t="array" ref="AU333">IFERROR(INDEX(Validations!$J$2:$J$100, MATCH(TRUE, ISNUMBER(SEARCH(Validations!$I$2:$I$100, AT333)), 0)), "")</f>
        <v/>
      </c>
      <c r="AV333" s="12" t="str">
        <f>IFERROR(__xludf.DUMMYFUNCTION("IFERROR(VALUE(REGEXEXTRACT(AS333, ""\d+"")), """")"),"")</f>
        <v/>
      </c>
      <c r="AW333" s="12" t="str">
        <f>IFERROR(__xludf.DUMMYFUNCTION("IFERROR(TEXTJOIN("", "", TRUE, FILTER(Validations!$Q$2:$Q$100, ISNUMBER(SEARCH(Validations!$Q$2:$Q$100, AS333)))), """")"),"")</f>
        <v/>
      </c>
      <c r="AX333" s="28" t="s">
        <v>152</v>
      </c>
      <c r="AY333" s="28" t="str">
        <f>IFERROR(__xludf.DUMMYFUNCTION("TEXTJOIN("", "", TRUE, FILTER(Validations!$Y$2:$Y$100, ISNUMBER(SEARCH(Validations!$X$2:$X$100, AX333))))"),"V, S, R")</f>
        <v>V, S, R</v>
      </c>
      <c r="AZ333" s="20" t="s">
        <v>1603</v>
      </c>
      <c r="BA333" s="22"/>
      <c r="BB333" s="22"/>
      <c r="BC333" s="22"/>
      <c r="BD333" s="22"/>
      <c r="BE333" s="27"/>
      <c r="BF333" s="22"/>
      <c r="BG333" s="27"/>
      <c r="BH333" s="27"/>
      <c r="BI333" s="12" t="str">
        <f>IFERROR(__xludf.DUMMYFUNCTION("IFERROR(TEXTJOIN("", "", TRUE, FILTER(SRD!$A$2:$A$1000, EXACT(SRD!$A$2:$A$1000, J333))), """")"),"")</f>
        <v/>
      </c>
      <c r="BJ333" s="29"/>
      <c r="BK333" s="29"/>
    </row>
    <row r="334" ht="15.75" customHeight="1">
      <c r="A334" s="30" t="s">
        <v>1604</v>
      </c>
      <c r="B334" s="22"/>
      <c r="C334" s="16"/>
      <c r="D334" s="16" t="s">
        <v>1605</v>
      </c>
      <c r="E334" s="16"/>
      <c r="F334" s="32" t="s">
        <v>250</v>
      </c>
      <c r="G334" s="15" t="s">
        <v>1594</v>
      </c>
      <c r="H334" s="16" t="s">
        <v>140</v>
      </c>
      <c r="I334" s="16" t="str">
        <f t="array" ref="I334">INDEX(Validations!$C$2:$C$100, MATCH(TRUE, ISNUMBER(SEARCH(Validations!$B$2:$B$100, H334)), 0))</f>
        <v>N</v>
      </c>
      <c r="J334" s="17" t="s">
        <v>1606</v>
      </c>
      <c r="K334" s="18"/>
      <c r="L334" s="17" t="s">
        <v>1607</v>
      </c>
      <c r="M334" s="17"/>
      <c r="N334" s="27"/>
      <c r="O334" s="17"/>
      <c r="P334" s="21"/>
      <c r="Q334" s="21"/>
      <c r="R334" s="36" t="s">
        <v>1608</v>
      </c>
      <c r="S334" s="17" t="str">
        <f>IFERROR(__xludf.DUMMYFUNCTION("IFERROR(REGEXEXTRACT(J334, ""(\d{1,3}[dD]\d{1,3})""), """")"),"1d6")</f>
        <v>1d6</v>
      </c>
      <c r="T334" s="17" t="str">
        <f>IFERROR(__xludf.DUMMYFUNCTION("IF(COUNTIF(ARRAYFORMULA(LOWER(Validations!$O$2:$O$100)), LOWER(REGEXEXTRACT(J334, ""\d{1,3}[dD]\d{1,3}\s+(\w+)"")))&gt;0, REGEXEXTRACT(J334, ""\d{1,3}[dD]\d{1,3}\s+(\w+)""), """")"),"")</f>
        <v/>
      </c>
      <c r="U334" s="17" t="str">
        <f>IFERROR(__xludf.DUMMYFUNCTION("IF(COUNTIF(ARRAYFORMULA(LOWER(Validations!$P$2:$P$100)), LOWER(REGEXEXTRACT(J334, ""\d{1,3}[dD]\d{1,3}\s+(\w+)"")))&gt;0, REGEXEXTRACT(J334, ""\d{1,3}[dD]\d{1,3}\s+(\w+)""), """")"),"")</f>
        <v/>
      </c>
      <c r="V334" s="12" t="str">
        <f>IFERROR(__xludf.DUMMYFUNCTION("TEXTJOIN("", "", TRUE, FILTER(Validations!$L$2:$L$100, ISNUMBER(SEARCH(Validations!$L$2:$L$100, J334))))"),"Bleeding")</f>
        <v>Bleeding</v>
      </c>
      <c r="W334" s="12" t="str">
        <f>IFERROR(__xludf.DUMMYFUNCTION("IFERROR(TEXTJOIN("", "", TRUE, FILTER(Validations!$M$2:$M$100, ISNUMBER(SEARCH(Validations!$M$2:$M$100 &amp; "" saving throw"", J334)))), """")"),"Wisdom")</f>
        <v>Wisdom</v>
      </c>
      <c r="X334" s="12"/>
      <c r="Y334" s="12"/>
      <c r="Z334" s="12" t="str">
        <f>IFERROR(__xludf.DUMMYFUNCTION("IFERROR(TEXTJOIN("", "", TRUE, FILTER(Validations!$N$2:$N$100, ISNUMBER(SEARCH(Validations!$N$2:$N$100 &amp; "" check"", J334)))), """")"),"")</f>
        <v/>
      </c>
      <c r="AA334" s="12" t="str">
        <f>IFERROR(__xludf.DUMMYFUNCTION("IFERROR(TEXTJOIN("", "", TRUE, FILTER(Validations!$N$2:$N$100, ISNUMBER(SEARCH(Validations!$N$2:$N$100 &amp; "" check"", W334)))), """")"),"")</f>
        <v/>
      </c>
      <c r="AB334" s="23" t="str">
        <f>IFERROR(__xludf.DUMMYFUNCTION("IFERROR(CONCATENATE(IF(ISNUMBER(SEARCH(Validations!$M$2:$M$100 &amp; "" spell save"", J334)),""Spell Save"",""""), REGEXEXTRACT(J334, ""DC (\d+)"")), """")"),"")</f>
        <v/>
      </c>
      <c r="AC334" s="24" t="b">
        <v>0</v>
      </c>
      <c r="AD334" s="24" t="b">
        <v>0</v>
      </c>
      <c r="AE334" s="36" t="s">
        <v>296</v>
      </c>
      <c r="AF334" s="25">
        <f>IFERROR(__xludf.DUMMYFUNCTION("IFERROR(VALUE(REGEXEXTRACT(AE334, ""\d+"")), 1)"),1.0)</f>
        <v>1</v>
      </c>
      <c r="AG334" s="12" t="str">
        <f>IFERROR(__xludf.DUMMYFUNCTION("IF(
  ISNUMBER(SEARCH(""Bonus Action"", AE334)),
  ""Bonus Action"",
  IF(
    ISNUMBER(SEARCH(""Reaction"", AE334)),
    ""Reaction"",
    IF(
      ISNUMBER(SEARCH(""Action"", AE334)),
      ""Action"",
      TEXTJOIN("", "", TRUE, FILTER(Validations!$S"&amp;"$2:$S$100, ISNUMBER(SEARCH(Validations!$S$2:$S$100, AE334))))
    )
  )
)"),"Hours")</f>
        <v>Hours</v>
      </c>
      <c r="AH334" s="22"/>
      <c r="AI334" s="27" t="s">
        <v>1609</v>
      </c>
      <c r="AJ334" s="26" t="str">
        <f>IFERROR(__xludf.DUMMYFUNCTION("TEXTJOIN("", "", TRUE, FILTER(Validations!$T$2:$T$100, ISNUMBER(SEARCH(Validations!$T$2:$T$100, AI334))))"),"Permanent")</f>
        <v>Permanent</v>
      </c>
      <c r="AK334" s="26" t="str">
        <f>IFERROR(__xludf.DUMMYFUNCTION("IFERROR(VALUE(REGEXEXTRACT(AI334, ""\d+"")), """")"),"")</f>
        <v/>
      </c>
      <c r="AL334" s="26" t="str">
        <f>IFERROR(__xludf.DUMMYFUNCTION("TEXTJOIN("", "", TRUE, FILTER(Validations!$U$2:$U$100, ISNUMBER(SEARCH(Validations!$U$2:$U$100, AI334))))"),"")</f>
        <v/>
      </c>
      <c r="AM334" s="24" t="b">
        <f t="shared" si="1"/>
        <v>0</v>
      </c>
      <c r="AN334" s="24" t="b">
        <v>0</v>
      </c>
      <c r="AO334" s="22" t="s">
        <v>71</v>
      </c>
      <c r="AP334" s="12" t="str">
        <f>IFERROR(__xludf.DUMMYFUNCTION("IF(TEXTJOIN("", "", TRUE, FILTER(Validations!$Q$2:$Q$100, ISNUMBER(SEARCH(Validations!$Q$2:$Q$100, AO334)))) = """", Validations!$Q$2, TEXTJOIN("", "", TRUE, FILTER(Validations!$Q$2:$Q$100, ISNUMBER(SEARCH(Validations!$Q$2:$Q$100, AO334)))))"),"Point")</f>
        <v>Point</v>
      </c>
      <c r="AQ334" s="12" t="str">
        <f>IFERROR(__xludf.DUMMYFUNCTION("IFERROR(VALUE(REGEXEXTRACT(AO334, ""\d+"")), """")"),"")</f>
        <v/>
      </c>
      <c r="AR334" s="12" t="str">
        <f>IFERROR(__xludf.DUMMYFUNCTION("TEXTJOIN("", "", TRUE, FILTER(Validations!$R$2:$R$100, ISNUMBER(SEARCH(Validations!$R$2:$R$100, AO334))))"),"Touch")</f>
        <v>Touch</v>
      </c>
      <c r="AS334" s="27"/>
      <c r="AT334" s="12" t="str">
        <f>IFERROR(__xludf.DUMMYFUNCTION("IFERROR(TEXTJOIN("", "", TRUE, FILTER(Validations!$I$2:$I$100, ISNUMBER(SEARCH(Validations!$I$2:$I$100, AS334)))), """")"),"")</f>
        <v/>
      </c>
      <c r="AU334" s="16" t="str">
        <f t="array" ref="AU334">IFERROR(INDEX(Validations!$J$2:$J$100, MATCH(TRUE, ISNUMBER(SEARCH(Validations!$I$2:$I$100, AT334)), 0)), "")</f>
        <v/>
      </c>
      <c r="AV334" s="12" t="str">
        <f>IFERROR(__xludf.DUMMYFUNCTION("IFERROR(VALUE(REGEXEXTRACT(AS334, ""\d+"")), """")"),"")</f>
        <v/>
      </c>
      <c r="AW334" s="12" t="str">
        <f>IFERROR(__xludf.DUMMYFUNCTION("IFERROR(TEXTJOIN("", "", TRUE, FILTER(Validations!$Q$2:$Q$100, ISNUMBER(SEARCH(Validations!$Q$2:$Q$100, AS334)))), """")"),"")</f>
        <v/>
      </c>
      <c r="AX334" s="28" t="s">
        <v>152</v>
      </c>
      <c r="AY334" s="28" t="str">
        <f>IFERROR(__xludf.DUMMYFUNCTION("TEXTJOIN("", "", TRUE, FILTER(Validations!$Y$2:$Y$100, ISNUMBER(SEARCH(Validations!$X$2:$X$100, AX334))))"),"V, S, R")</f>
        <v>V, S, R</v>
      </c>
      <c r="AZ334" s="20" t="s">
        <v>1610</v>
      </c>
      <c r="BA334" s="22"/>
      <c r="BB334" s="22"/>
      <c r="BC334" s="22"/>
      <c r="BD334" s="22"/>
      <c r="BE334" s="27"/>
      <c r="BF334" s="22"/>
      <c r="BG334" s="27"/>
      <c r="BH334" s="27"/>
      <c r="BI334" s="12" t="str">
        <f>IFERROR(__xludf.DUMMYFUNCTION("IFERROR(TEXTJOIN("", "", TRUE, FILTER(SRD!$A$2:$A$1000, EXACT(SRD!$A$2:$A$1000, J334))), """")"),"")</f>
        <v/>
      </c>
      <c r="BJ334" s="29"/>
      <c r="BK334" s="29"/>
    </row>
    <row r="335" ht="15.75" customHeight="1">
      <c r="A335" s="30" t="s">
        <v>1611</v>
      </c>
      <c r="B335" s="22"/>
      <c r="C335" s="16"/>
      <c r="D335" s="16" t="s">
        <v>1612</v>
      </c>
      <c r="E335" s="16"/>
      <c r="F335" s="40" t="s">
        <v>139</v>
      </c>
      <c r="G335" s="50" t="s">
        <v>1594</v>
      </c>
      <c r="H335" s="31" t="s">
        <v>178</v>
      </c>
      <c r="I335" s="16" t="str">
        <f t="array" ref="I335">INDEX(Validations!$C$2:$C$100, MATCH(TRUE, ISNUMBER(SEARCH(Validations!$B$2:$B$100, H335)), 0))</f>
        <v>A</v>
      </c>
      <c r="J335" s="17" t="s">
        <v>1613</v>
      </c>
      <c r="K335" s="18"/>
      <c r="L335" s="17"/>
      <c r="M335" s="17"/>
      <c r="N335" s="20" t="s">
        <v>1614</v>
      </c>
      <c r="O335" s="17"/>
      <c r="P335" s="21"/>
      <c r="Q335" s="21"/>
      <c r="R335" s="22"/>
      <c r="S335" s="17" t="str">
        <f>IFERROR(__xludf.DUMMYFUNCTION("IFERROR(REGEXEXTRACT(J335, ""(\d{1,3}[dD]\d{1,3})""), """")"),"")</f>
        <v/>
      </c>
      <c r="T335" s="17" t="str">
        <f>IFERROR(__xludf.DUMMYFUNCTION("IF(COUNTIF(ARRAYFORMULA(LOWER(Validations!$O$2:$O$100)), LOWER(REGEXEXTRACT(J335, ""\d{1,3}[dD]\d{1,3}\s+(\w+)"")))&gt;0, REGEXEXTRACT(J335, ""\d{1,3}[dD]\d{1,3}\s+(\w+)""), """")"),"")</f>
        <v/>
      </c>
      <c r="U335" s="17" t="str">
        <f>IFERROR(__xludf.DUMMYFUNCTION("IF(COUNTIF(ARRAYFORMULA(LOWER(Validations!$P$2:$P$100)), LOWER(REGEXEXTRACT(J335, ""\d{1,3}[dD]\d{1,3}\s+(\w+)"")))&gt;0, REGEXEXTRACT(J335, ""\d{1,3}[dD]\d{1,3}\s+(\w+)""), """")"),"")</f>
        <v/>
      </c>
      <c r="V335" s="12" t="str">
        <f>IFERROR(__xludf.DUMMYFUNCTION("TEXTJOIN("", "", TRUE, FILTER(Validations!$L$2:$L$100, ISNUMBER(SEARCH(Validations!$L$2:$L$100, J335))))"),"Invisible")</f>
        <v>Invisible</v>
      </c>
      <c r="W335" s="12" t="str">
        <f>IFERROR(__xludf.DUMMYFUNCTION("IFERROR(TEXTJOIN("", "", TRUE, FILTER(Validations!$M$2:$M$100, ISNUMBER(SEARCH(Validations!$M$2:$M$100 &amp; "" saving throw"", J335)))), """")"),"")</f>
        <v/>
      </c>
      <c r="X335" s="12"/>
      <c r="Y335" s="12"/>
      <c r="Z335" s="12" t="str">
        <f>IFERROR(__xludf.DUMMYFUNCTION("IFERROR(TEXTJOIN("", "", TRUE, FILTER(Validations!$N$2:$N$100, ISNUMBER(SEARCH(Validations!$N$2:$N$100 &amp; "" check"", J335)))), """")"),"")</f>
        <v/>
      </c>
      <c r="AA335" s="12" t="str">
        <f>IFERROR(__xludf.DUMMYFUNCTION("IFERROR(TEXTJOIN("", "", TRUE, FILTER(Validations!$N$2:$N$100, ISNUMBER(SEARCH(Validations!$N$2:$N$100 &amp; "" check"", W335)))), """")"),"")</f>
        <v/>
      </c>
      <c r="AB335" s="23" t="str">
        <f>IFERROR(__xludf.DUMMYFUNCTION("IFERROR(CONCATENATE(IF(ISNUMBER(SEARCH(Validations!$M$2:$M$100 &amp; "" spell save"", J335)),""Spell Save"",""""), REGEXEXTRACT(J335, ""DC (\d+)"")), """")"),"")</f>
        <v/>
      </c>
      <c r="AC335" s="24" t="b">
        <v>0</v>
      </c>
      <c r="AD335" s="24" t="b">
        <v>0</v>
      </c>
      <c r="AE335" s="36" t="s">
        <v>69</v>
      </c>
      <c r="AF335" s="25">
        <f>IFERROR(__xludf.DUMMYFUNCTION("IFERROR(VALUE(REGEXEXTRACT(AE335, ""\d+"")), 1)"),1.0)</f>
        <v>1</v>
      </c>
      <c r="AG335" s="12" t="str">
        <f>IFERROR(__xludf.DUMMYFUNCTION("IF(
  ISNUMBER(SEARCH(""Bonus Action"", AE335)),
  ""Bonus Action"",
  IF(
    ISNUMBER(SEARCH(""Reaction"", AE335)),
    ""Reaction"",
    IF(
      ISNUMBER(SEARCH(""Action"", AE335)),
      ""Action"",
      TEXTJOIN("", "", TRUE, FILTER(Validations!$S"&amp;"$2:$S$100, ISNUMBER(SEARCH(Validations!$S$2:$S$100, AE335))))
    )
  )
)"),"Action")</f>
        <v>Action</v>
      </c>
      <c r="AH335" s="36"/>
      <c r="AI335" s="20" t="s">
        <v>134</v>
      </c>
      <c r="AJ335" s="26" t="str">
        <f>IFERROR(__xludf.DUMMYFUNCTION("TEXTJOIN("", "", TRUE, FILTER(Validations!$T$2:$T$100, ISNUMBER(SEARCH(Validations!$T$2:$T$100, AI335))))"),"")</f>
        <v/>
      </c>
      <c r="AK335" s="26">
        <f>IFERROR(__xludf.DUMMYFUNCTION("IFERROR(VALUE(REGEXEXTRACT(AI335, ""\d+"")), """")"),10.0)</f>
        <v>10</v>
      </c>
      <c r="AL335" s="26" t="str">
        <f>IFERROR(__xludf.DUMMYFUNCTION("TEXTJOIN("", "", TRUE, FILTER(Validations!$U$2:$U$100, ISNUMBER(SEARCH(Validations!$U$2:$U$100, AI335))))"),"Minutes")</f>
        <v>Minutes</v>
      </c>
      <c r="AM335" s="24" t="b">
        <f t="shared" si="1"/>
        <v>0</v>
      </c>
      <c r="AN335" s="24" t="b">
        <v>1</v>
      </c>
      <c r="AO335" s="36" t="s">
        <v>243</v>
      </c>
      <c r="AP335" s="12" t="str">
        <f>IFERROR(__xludf.DUMMYFUNCTION("IF(TEXTJOIN("", "", TRUE, FILTER(Validations!$Q$2:$Q$100, ISNUMBER(SEARCH(Validations!$Q$2:$Q$100, AO335)))) = """", Validations!$Q$2, TEXTJOIN("", "", TRUE, FILTER(Validations!$Q$2:$Q$100, ISNUMBER(SEARCH(Validations!$Q$2:$Q$100, AO335)))))"),"Radius")</f>
        <v>Radius</v>
      </c>
      <c r="AQ335" s="12">
        <f>IFERROR(__xludf.DUMMYFUNCTION("IFERROR(VALUE(REGEXEXTRACT(AO335, ""\d+"")), """")"),30.0)</f>
        <v>30</v>
      </c>
      <c r="AR335" s="12" t="str">
        <f>IFERROR(__xludf.DUMMYFUNCTION("TEXTJOIN("", "", TRUE, FILTER(Validations!$R$2:$R$100, ISNUMBER(SEARCH(Validations!$R$2:$R$100, AO335))))"),"Self, Feet")</f>
        <v>Self, Feet</v>
      </c>
      <c r="AS335" s="27"/>
      <c r="AT335" s="12" t="str">
        <f>IFERROR(__xludf.DUMMYFUNCTION("IFERROR(TEXTJOIN("", "", TRUE, FILTER(Validations!$I$2:$I$100, ISNUMBER(SEARCH(Validations!$I$2:$I$100, AS335)))), """")"),"")</f>
        <v/>
      </c>
      <c r="AU335" s="16" t="str">
        <f t="array" ref="AU335">IFERROR(INDEX(Validations!$J$2:$J$100, MATCH(TRUE, ISNUMBER(SEARCH(Validations!$I$2:$I$100, AT335)), 0)), "")</f>
        <v/>
      </c>
      <c r="AV335" s="12" t="str">
        <f>IFERROR(__xludf.DUMMYFUNCTION("IFERROR(VALUE(REGEXEXTRACT(AS335, ""\d+"")), """")"),"")</f>
        <v/>
      </c>
      <c r="AW335" s="12" t="str">
        <f>IFERROR(__xludf.DUMMYFUNCTION("IFERROR(TEXTJOIN("", "", TRUE, FILTER(Validations!$Q$2:$Q$100, ISNUMBER(SEARCH(Validations!$Q$2:$Q$100, AS335)))), """")"),"")</f>
        <v/>
      </c>
      <c r="AX335" s="28" t="s">
        <v>152</v>
      </c>
      <c r="AY335" s="28" t="str">
        <f>IFERROR(__xludf.DUMMYFUNCTION("TEXTJOIN("", "", TRUE, FILTER(Validations!$Y$2:$Y$100, ISNUMBER(SEARCH(Validations!$X$2:$X$100, AX335))))"),"V, S, R")</f>
        <v>V, S, R</v>
      </c>
      <c r="AZ335" s="20" t="s">
        <v>1615</v>
      </c>
      <c r="BA335" s="22"/>
      <c r="BB335" s="22"/>
      <c r="BC335" s="22"/>
      <c r="BD335" s="22"/>
      <c r="BE335" s="27"/>
      <c r="BF335" s="22"/>
      <c r="BG335" s="27"/>
      <c r="BH335" s="27"/>
      <c r="BI335" s="12" t="str">
        <f>IFERROR(__xludf.DUMMYFUNCTION("IFERROR(TEXTJOIN("", "", TRUE, FILTER(SRD!$A$2:$A$1000, EXACT(SRD!$A$2:$A$1000, J335))), """")"),"")</f>
        <v/>
      </c>
      <c r="BJ335" s="29"/>
      <c r="BK335" s="29"/>
    </row>
    <row r="336" ht="15.75" customHeight="1">
      <c r="A336" s="30" t="s">
        <v>1616</v>
      </c>
      <c r="B336" s="22"/>
      <c r="C336" s="31"/>
      <c r="D336" s="31" t="s">
        <v>18</v>
      </c>
      <c r="E336" s="31"/>
      <c r="F336" s="32" t="s">
        <v>1103</v>
      </c>
      <c r="G336" s="50" t="s">
        <v>1594</v>
      </c>
      <c r="H336" s="31" t="s">
        <v>65</v>
      </c>
      <c r="I336" s="16" t="str">
        <f t="array" ref="I336">INDEX(Validations!$C$2:$C$100, MATCH(TRUE, ISNUMBER(SEARCH(Validations!$B$2:$B$100, H336)), 0))</f>
        <v>I</v>
      </c>
      <c r="J336" s="17" t="s">
        <v>1617</v>
      </c>
      <c r="K336" s="18"/>
      <c r="L336" s="17"/>
      <c r="M336" s="17"/>
      <c r="N336" s="27"/>
      <c r="O336" s="17"/>
      <c r="P336" s="21"/>
      <c r="Q336" s="21"/>
      <c r="R336" s="22"/>
      <c r="S336" s="17" t="str">
        <f>IFERROR(__xludf.DUMMYFUNCTION("IFERROR(REGEXEXTRACT(J336, ""(\d{1,3}[dD]\d{1,3})""), """")"),"6d6")</f>
        <v>6d6</v>
      </c>
      <c r="T336" s="17" t="str">
        <f>IFERROR(__xludf.DUMMYFUNCTION("IF(COUNTIF(ARRAYFORMULA(LOWER(Validations!$O$2:$O$100)), LOWER(REGEXEXTRACT(J336, ""\d{1,3}[dD]\d{1,3}\s+(\w+)"")))&gt;0, REGEXEXTRACT(J336, ""\d{1,3}[dD]\d{1,3}\s+(\w+)""), """")"),"cognitive")</f>
        <v>cognitive</v>
      </c>
      <c r="U336" s="17" t="str">
        <f>IFERROR(__xludf.DUMMYFUNCTION("IF(COUNTIF(ARRAYFORMULA(LOWER(Validations!$P$2:$P$100)), LOWER(REGEXEXTRACT(J336, ""\d{1,3}[dD]\d{1,3}\s+(\w+)"")))&gt;0, REGEXEXTRACT(J336, ""\d{1,3}[dD]\d{1,3}\s+(\w+)""), """")"),"")</f>
        <v/>
      </c>
      <c r="V336" s="12" t="str">
        <f>IFERROR(__xludf.DUMMYFUNCTION("TEXTJOIN("", "", TRUE, FILTER(Validations!$L$2:$L$100, ISNUMBER(SEARCH(Validations!$L$2:$L$100, J336))))"),"")</f>
        <v/>
      </c>
      <c r="W336" s="12" t="str">
        <f>IFERROR(__xludf.DUMMYFUNCTION("IFERROR(TEXTJOIN("", "", TRUE, FILTER(Validations!$M$2:$M$100, ISNUMBER(SEARCH(Validations!$M$2:$M$100 &amp; "" saving throw"", J336)))), """")"),"")</f>
        <v/>
      </c>
      <c r="X336" s="12"/>
      <c r="Y336" s="12"/>
      <c r="Z336" s="12" t="str">
        <f>IFERROR(__xludf.DUMMYFUNCTION("IFERROR(TEXTJOIN("", "", TRUE, FILTER(Validations!$N$2:$N$100, ISNUMBER(SEARCH(Validations!$N$2:$N$100 &amp; "" check"", J336)))), """")"),"")</f>
        <v/>
      </c>
      <c r="AA336" s="12" t="str">
        <f>IFERROR(__xludf.DUMMYFUNCTION("IFERROR(TEXTJOIN("", "", TRUE, FILTER(Validations!$N$2:$N$100, ISNUMBER(SEARCH(Validations!$N$2:$N$100 &amp; "" check"", W336)))), """")"),"")</f>
        <v/>
      </c>
      <c r="AB336" s="23" t="str">
        <f>IFERROR(__xludf.DUMMYFUNCTION("IFERROR(CONCATENATE(IF(ISNUMBER(SEARCH(Validations!$M$2:$M$100 &amp; "" spell save"", J336)),""Spell Save"",""""), REGEXEXTRACT(J336, ""DC (\d+)"")), """")"),"")</f>
        <v/>
      </c>
      <c r="AC336" s="24" t="b">
        <v>0</v>
      </c>
      <c r="AD336" s="24" t="b">
        <v>0</v>
      </c>
      <c r="AE336" s="36" t="s">
        <v>69</v>
      </c>
      <c r="AF336" s="25">
        <f>IFERROR(__xludf.DUMMYFUNCTION("IFERROR(VALUE(REGEXEXTRACT(AE336, ""\d+"")), 1)"),1.0)</f>
        <v>1</v>
      </c>
      <c r="AG336" s="12" t="str">
        <f>IFERROR(__xludf.DUMMYFUNCTION("IF(
  ISNUMBER(SEARCH(""Bonus Action"", AE336)),
  ""Bonus Action"",
  IF(
    ISNUMBER(SEARCH(""Reaction"", AE336)),
    ""Reaction"",
    IF(
      ISNUMBER(SEARCH(""Action"", AE336)),
      ""Action"",
      TEXTJOIN("", "", TRUE, FILTER(Validations!$S"&amp;"$2:$S$100, ISNUMBER(SEARCH(Validations!$S$2:$S$100, AE336))))
    )
  )
)"),"Action")</f>
        <v>Action</v>
      </c>
      <c r="AH336" s="36"/>
      <c r="AI336" s="20" t="s">
        <v>92</v>
      </c>
      <c r="AJ336" s="26" t="str">
        <f>IFERROR(__xludf.DUMMYFUNCTION("TEXTJOIN("", "", TRUE, FILTER(Validations!$T$2:$T$100, ISNUMBER(SEARCH(Validations!$T$2:$T$100, AI336))))"),"")</f>
        <v/>
      </c>
      <c r="AK336" s="26">
        <f>IFERROR(__xludf.DUMMYFUNCTION("IFERROR(VALUE(REGEXEXTRACT(AI336, ""\d+"")), """")"),1.0)</f>
        <v>1</v>
      </c>
      <c r="AL336" s="26" t="str">
        <f>IFERROR(__xludf.DUMMYFUNCTION("TEXTJOIN("", "", TRUE, FILTER(Validations!$U$2:$U$100, ISNUMBER(SEARCH(Validations!$U$2:$U$100, AI336))))"),"Minutes")</f>
        <v>Minutes</v>
      </c>
      <c r="AM336" s="24" t="b">
        <f t="shared" si="1"/>
        <v>0</v>
      </c>
      <c r="AN336" s="24" t="b">
        <v>0</v>
      </c>
      <c r="AO336" s="22" t="s">
        <v>112</v>
      </c>
      <c r="AP336" s="12" t="str">
        <f>IFERROR(__xludf.DUMMYFUNCTION("IF(TEXTJOIN("", "", TRUE, FILTER(Validations!$Q$2:$Q$100, ISNUMBER(SEARCH(Validations!$Q$2:$Q$100, AO336)))) = """", Validations!$Q$2, TEXTJOIN("", "", TRUE, FILTER(Validations!$Q$2:$Q$100, ISNUMBER(SEARCH(Validations!$Q$2:$Q$100, AO336)))))"),"Point")</f>
        <v>Point</v>
      </c>
      <c r="AQ336" s="12">
        <f>IFERROR(__xludf.DUMMYFUNCTION("IFERROR(VALUE(REGEXEXTRACT(AO336, ""\d+"")), """")"),30.0)</f>
        <v>30</v>
      </c>
      <c r="AR336" s="12" t="str">
        <f>IFERROR(__xludf.DUMMYFUNCTION("TEXTJOIN("", "", TRUE, FILTER(Validations!$R$2:$R$100, ISNUMBER(SEARCH(Validations!$R$2:$R$100, AO336))))"),"Feet")</f>
        <v>Feet</v>
      </c>
      <c r="AS336" s="27"/>
      <c r="AT336" s="12" t="str">
        <f>IFERROR(__xludf.DUMMYFUNCTION("IFERROR(TEXTJOIN("", "", TRUE, FILTER(Validations!$I$2:$I$100, ISNUMBER(SEARCH(Validations!$I$2:$I$100, AS336)))), """")"),"")</f>
        <v/>
      </c>
      <c r="AU336" s="16" t="str">
        <f t="array" ref="AU336">IFERROR(INDEX(Validations!$J$2:$J$100, MATCH(TRUE, ISNUMBER(SEARCH(Validations!$I$2:$I$100, AT336)), 0)), "")</f>
        <v/>
      </c>
      <c r="AV336" s="12" t="str">
        <f>IFERROR(__xludf.DUMMYFUNCTION("IFERROR(VALUE(REGEXEXTRACT(AS336, ""\d+"")), """")"),"")</f>
        <v/>
      </c>
      <c r="AW336" s="12" t="str">
        <f>IFERROR(__xludf.DUMMYFUNCTION("IFERROR(TEXTJOIN("", "", TRUE, FILTER(Validations!$Q$2:$Q$100, ISNUMBER(SEARCH(Validations!$Q$2:$Q$100, AS336)))), """")"),"")</f>
        <v/>
      </c>
      <c r="AX336" s="28" t="s">
        <v>152</v>
      </c>
      <c r="AY336" s="28" t="str">
        <f>IFERROR(__xludf.DUMMYFUNCTION("TEXTJOIN("", "", TRUE, FILTER(Validations!$Y$2:$Y$100, ISNUMBER(SEARCH(Validations!$X$2:$X$100, AX336))))"),"V, S, R")</f>
        <v>V, S, R</v>
      </c>
      <c r="AZ336" s="20" t="s">
        <v>1618</v>
      </c>
      <c r="BA336" s="22"/>
      <c r="BB336" s="22"/>
      <c r="BC336" s="22"/>
      <c r="BD336" s="36" t="s">
        <v>1619</v>
      </c>
      <c r="BE336" s="27"/>
      <c r="BF336" s="22"/>
      <c r="BG336" s="27"/>
      <c r="BH336" s="27"/>
      <c r="BI336" s="12" t="str">
        <f>IFERROR(__xludf.DUMMYFUNCTION("IFERROR(TEXTJOIN("", "", TRUE, FILTER(SRD!$A$2:$A$1000, EXACT(SRD!$A$2:$A$1000, J336))), """")"),"")</f>
        <v/>
      </c>
      <c r="BJ336" s="29"/>
      <c r="BK336" s="29"/>
    </row>
    <row r="337" ht="15.75" customHeight="1">
      <c r="A337" s="30" t="s">
        <v>1620</v>
      </c>
      <c r="B337" s="22"/>
      <c r="C337" s="16"/>
      <c r="D337" s="16" t="s">
        <v>1621</v>
      </c>
      <c r="E337" s="16"/>
      <c r="F337" s="32" t="s">
        <v>199</v>
      </c>
      <c r="G337" s="50" t="s">
        <v>1594</v>
      </c>
      <c r="H337" s="31" t="s">
        <v>183</v>
      </c>
      <c r="I337" s="16" t="str">
        <f t="array" ref="I337">INDEX(Validations!$C$2:$C$100, MATCH(TRUE, ISNUMBER(SEARCH(Validations!$B$2:$B$100, H337)), 0))</f>
        <v>E</v>
      </c>
      <c r="J337" s="17" t="s">
        <v>1622</v>
      </c>
      <c r="K337" s="18"/>
      <c r="L337" s="17"/>
      <c r="M337" s="17"/>
      <c r="N337" s="27"/>
      <c r="O337" s="17"/>
      <c r="P337" s="21"/>
      <c r="Q337" s="21"/>
      <c r="R337" s="22"/>
      <c r="S337" s="17" t="str">
        <f>IFERROR(__xludf.DUMMYFUNCTION("IFERROR(REGEXEXTRACT(J337, ""(\d{1,3}[dD]\d{1,3})""), """")"),"")</f>
        <v/>
      </c>
      <c r="T337" s="17" t="str">
        <f>IFERROR(__xludf.DUMMYFUNCTION("IF(COUNTIF(ARRAYFORMULA(LOWER(Validations!$O$2:$O$100)), LOWER(REGEXEXTRACT(J337, ""\d{1,3}[dD]\d{1,3}\s+(\w+)"")))&gt;0, REGEXEXTRACT(J337, ""\d{1,3}[dD]\d{1,3}\s+(\w+)""), """")"),"")</f>
        <v/>
      </c>
      <c r="U337" s="17" t="str">
        <f>IFERROR(__xludf.DUMMYFUNCTION("IF(COUNTIF(ARRAYFORMULA(LOWER(Validations!$P$2:$P$100)), LOWER(REGEXEXTRACT(J337, ""\d{1,3}[dD]\d{1,3}\s+(\w+)"")))&gt;0, REGEXEXTRACT(J337, ""\d{1,3}[dD]\d{1,3}\s+(\w+)""), """")"),"")</f>
        <v/>
      </c>
      <c r="V337" s="12" t="str">
        <f>IFERROR(__xludf.DUMMYFUNCTION("TEXTJOIN("", "", TRUE, FILTER(Validations!$L$2:$L$100, ISNUMBER(SEARCH(Validations!$L$2:$L$100, J337))))"),"Compelled")</f>
        <v>Compelled</v>
      </c>
      <c r="W337" s="12" t="str">
        <f>IFERROR(__xludf.DUMMYFUNCTION("IFERROR(TEXTJOIN("", "", TRUE, FILTER(Validations!$M$2:$M$100, ISNUMBER(SEARCH(Validations!$M$2:$M$100 &amp; "" saving throw"", J337)))), """")"),"Intelligence")</f>
        <v>Intelligence</v>
      </c>
      <c r="X337" s="12"/>
      <c r="Y337" s="12"/>
      <c r="Z337" s="12" t="str">
        <f>IFERROR(__xludf.DUMMYFUNCTION("IFERROR(TEXTJOIN("", "", TRUE, FILTER(Validations!$N$2:$N$100, ISNUMBER(SEARCH(Validations!$N$2:$N$100 &amp; "" check"", J337)))), """")"),"")</f>
        <v/>
      </c>
      <c r="AA337" s="12" t="str">
        <f>IFERROR(__xludf.DUMMYFUNCTION("IFERROR(TEXTJOIN("", "", TRUE, FILTER(Validations!$N$2:$N$100, ISNUMBER(SEARCH(Validations!$N$2:$N$100 &amp; "" check"", W337)))), """")"),"")</f>
        <v/>
      </c>
      <c r="AB337" s="23" t="str">
        <f>IFERROR(__xludf.DUMMYFUNCTION("IFERROR(CONCATENATE(IF(ISNUMBER(SEARCH(Validations!$M$2:$M$100 &amp; "" spell save"", J337)),""Spell Save"",""""), REGEXEXTRACT(J337, ""DC (\d+)"")), """")"),"")</f>
        <v/>
      </c>
      <c r="AC337" s="24" t="b">
        <v>0</v>
      </c>
      <c r="AD337" s="24" t="b">
        <v>0</v>
      </c>
      <c r="AE337" s="36" t="s">
        <v>69</v>
      </c>
      <c r="AF337" s="25">
        <f>IFERROR(__xludf.DUMMYFUNCTION("IFERROR(VALUE(REGEXEXTRACT(AE337, ""\d+"")), 1)"),1.0)</f>
        <v>1</v>
      </c>
      <c r="AG337" s="12" t="str">
        <f>IFERROR(__xludf.DUMMYFUNCTION("IF(
  ISNUMBER(SEARCH(""Bonus Action"", AE337)),
  ""Bonus Action"",
  IF(
    ISNUMBER(SEARCH(""Reaction"", AE337)),
    ""Reaction"",
    IF(
      ISNUMBER(SEARCH(""Action"", AE337)),
      ""Action"",
      TEXTJOIN("", "", TRUE, FILTER(Validations!$S"&amp;"$2:$S$100, ISNUMBER(SEARCH(Validations!$S$2:$S$100, AE337))))
    )
  )
)"),"Action")</f>
        <v>Action</v>
      </c>
      <c r="AH337" s="36"/>
      <c r="AI337" s="20" t="s">
        <v>134</v>
      </c>
      <c r="AJ337" s="26" t="str">
        <f>IFERROR(__xludf.DUMMYFUNCTION("TEXTJOIN("", "", TRUE, FILTER(Validations!$T$2:$T$100, ISNUMBER(SEARCH(Validations!$T$2:$T$100, AI337))))"),"")</f>
        <v/>
      </c>
      <c r="AK337" s="26">
        <f>IFERROR(__xludf.DUMMYFUNCTION("IFERROR(VALUE(REGEXEXTRACT(AI337, ""\d+"")), """")"),10.0)</f>
        <v>10</v>
      </c>
      <c r="AL337" s="26" t="str">
        <f>IFERROR(__xludf.DUMMYFUNCTION("TEXTJOIN("", "", TRUE, FILTER(Validations!$U$2:$U$100, ISNUMBER(SEARCH(Validations!$U$2:$U$100, AI337))))"),"Minutes")</f>
        <v>Minutes</v>
      </c>
      <c r="AM337" s="24" t="b">
        <f t="shared" si="1"/>
        <v>0</v>
      </c>
      <c r="AN337" s="24" t="b">
        <v>0</v>
      </c>
      <c r="AO337" s="22" t="s">
        <v>112</v>
      </c>
      <c r="AP337" s="12" t="str">
        <f>IFERROR(__xludf.DUMMYFUNCTION("IF(TEXTJOIN("", "", TRUE, FILTER(Validations!$Q$2:$Q$100, ISNUMBER(SEARCH(Validations!$Q$2:$Q$100, AO337)))) = """", Validations!$Q$2, TEXTJOIN("", "", TRUE, FILTER(Validations!$Q$2:$Q$100, ISNUMBER(SEARCH(Validations!$Q$2:$Q$100, AO337)))))"),"Point")</f>
        <v>Point</v>
      </c>
      <c r="AQ337" s="12">
        <f>IFERROR(__xludf.DUMMYFUNCTION("IFERROR(VALUE(REGEXEXTRACT(AO337, ""\d+"")), """")"),30.0)</f>
        <v>30</v>
      </c>
      <c r="AR337" s="12" t="str">
        <f>IFERROR(__xludf.DUMMYFUNCTION("TEXTJOIN("", "", TRUE, FILTER(Validations!$R$2:$R$100, ISNUMBER(SEARCH(Validations!$R$2:$R$100, AO337))))"),"Feet")</f>
        <v>Feet</v>
      </c>
      <c r="AS337" s="27"/>
      <c r="AT337" s="12" t="str">
        <f>IFERROR(__xludf.DUMMYFUNCTION("IFERROR(TEXTJOIN("", "", TRUE, FILTER(Validations!$I$2:$I$100, ISNUMBER(SEARCH(Validations!$I$2:$I$100, AS337)))), """")"),"")</f>
        <v/>
      </c>
      <c r="AU337" s="16" t="str">
        <f t="array" ref="AU337">IFERROR(INDEX(Validations!$J$2:$J$100, MATCH(TRUE, ISNUMBER(SEARCH(Validations!$I$2:$I$100, AT337)), 0)), "")</f>
        <v/>
      </c>
      <c r="AV337" s="12" t="str">
        <f>IFERROR(__xludf.DUMMYFUNCTION("IFERROR(VALUE(REGEXEXTRACT(AS337, ""\d+"")), """")"),"")</f>
        <v/>
      </c>
      <c r="AW337" s="12" t="str">
        <f>IFERROR(__xludf.DUMMYFUNCTION("IFERROR(TEXTJOIN("", "", TRUE, FILTER(Validations!$Q$2:$Q$100, ISNUMBER(SEARCH(Validations!$Q$2:$Q$100, AS337)))), """")"),"")</f>
        <v/>
      </c>
      <c r="AX337" s="28" t="s">
        <v>152</v>
      </c>
      <c r="AY337" s="28" t="str">
        <f>IFERROR(__xludf.DUMMYFUNCTION("TEXTJOIN("", "", TRUE, FILTER(Validations!$Y$2:$Y$100, ISNUMBER(SEARCH(Validations!$X$2:$X$100, AX337))))"),"V, S, R")</f>
        <v>V, S, R</v>
      </c>
      <c r="AZ337" s="20" t="s">
        <v>1623</v>
      </c>
      <c r="BA337" s="22"/>
      <c r="BB337" s="22"/>
      <c r="BC337" s="22"/>
      <c r="BD337" s="36" t="s">
        <v>1624</v>
      </c>
      <c r="BE337" s="27"/>
      <c r="BF337" s="22"/>
      <c r="BG337" s="27"/>
      <c r="BH337" s="27"/>
      <c r="BI337" s="12" t="str">
        <f>IFERROR(__xludf.DUMMYFUNCTION("IFERROR(TEXTJOIN("", "", TRUE, FILTER(SRD!$A$2:$A$1000, EXACT(SRD!$A$2:$A$1000, J337))), """")"),"")</f>
        <v/>
      </c>
      <c r="BJ337" s="29"/>
      <c r="BK337" s="29"/>
    </row>
    <row r="338" ht="15.75" customHeight="1">
      <c r="A338" s="30" t="s">
        <v>1625</v>
      </c>
      <c r="B338" s="22"/>
      <c r="C338" s="16"/>
      <c r="D338" s="16" t="s">
        <v>345</v>
      </c>
      <c r="E338" s="16"/>
      <c r="F338" s="32" t="s">
        <v>449</v>
      </c>
      <c r="G338" s="50" t="s">
        <v>1594</v>
      </c>
      <c r="H338" s="31" t="s">
        <v>103</v>
      </c>
      <c r="I338" s="16" t="str">
        <f t="array" ref="I338">INDEX(Validations!$C$2:$C$100, MATCH(TRUE, ISNUMBER(SEARCH(Validations!$B$2:$B$100, H338)), 0))</f>
        <v>C</v>
      </c>
      <c r="J338" s="17" t="s">
        <v>1626</v>
      </c>
      <c r="K338" s="18"/>
      <c r="L338" s="17"/>
      <c r="M338" s="17"/>
      <c r="N338" s="27"/>
      <c r="O338" s="17" t="s">
        <v>1627</v>
      </c>
      <c r="P338" s="21"/>
      <c r="Q338" s="21"/>
      <c r="R338" s="22"/>
      <c r="S338" s="17" t="str">
        <f>IFERROR(__xludf.DUMMYFUNCTION("IFERROR(REGEXEXTRACT(J338, ""(\d{1,3}[dD]\d{1,3})""), """")"),"")</f>
        <v/>
      </c>
      <c r="T338" s="17" t="str">
        <f>IFERROR(__xludf.DUMMYFUNCTION("IF(COUNTIF(ARRAYFORMULA(LOWER(Validations!$O$2:$O$100)), LOWER(REGEXEXTRACT(J338, ""\d{1,3}[dD]\d{1,3}\s+(\w+)"")))&gt;0, REGEXEXTRACT(J338, ""\d{1,3}[dD]\d{1,3}\s+(\w+)""), """")"),"")</f>
        <v/>
      </c>
      <c r="U338" s="17" t="str">
        <f>IFERROR(__xludf.DUMMYFUNCTION("IF(COUNTIF(ARRAYFORMULA(LOWER(Validations!$P$2:$P$100)), LOWER(REGEXEXTRACT(J338, ""\d{1,3}[dD]\d{1,3}\s+(\w+)"")))&gt;0, REGEXEXTRACT(J338, ""\d{1,3}[dD]\d{1,3}\s+(\w+)""), """")"),"")</f>
        <v/>
      </c>
      <c r="V338" s="12" t="str">
        <f>IFERROR(__xludf.DUMMYFUNCTION("TEXTJOIN("", "", TRUE, FILTER(Validations!$L$2:$L$100, ISNUMBER(SEARCH(Validations!$L$2:$L$100, J338))))"),"")</f>
        <v/>
      </c>
      <c r="W338" s="12" t="str">
        <f>IFERROR(__xludf.DUMMYFUNCTION("IFERROR(TEXTJOIN("", "", TRUE, FILTER(Validations!$M$2:$M$100, ISNUMBER(SEARCH(Validations!$M$2:$M$100 &amp; "" saving throw"", J338)))), """")"),"Constitution")</f>
        <v>Constitution</v>
      </c>
      <c r="X338" s="12"/>
      <c r="Y338" s="12"/>
      <c r="Z338" s="12" t="str">
        <f>IFERROR(__xludf.DUMMYFUNCTION("IFERROR(TEXTJOIN("", "", TRUE, FILTER(Validations!$N$2:$N$100, ISNUMBER(SEARCH(Validations!$N$2:$N$100 &amp; "" check"", J338)))), """")"),"")</f>
        <v/>
      </c>
      <c r="AA338" s="12" t="str">
        <f>IFERROR(__xludf.DUMMYFUNCTION("IFERROR(TEXTJOIN("", "", TRUE, FILTER(Validations!$N$2:$N$100, ISNUMBER(SEARCH(Validations!$N$2:$N$100 &amp; "" check"", W338)))), """")"),"")</f>
        <v/>
      </c>
      <c r="AB338" s="23" t="str">
        <f>IFERROR(__xludf.DUMMYFUNCTION("IFERROR(CONCATENATE(IF(ISNUMBER(SEARCH(Validations!$M$2:$M$100 &amp; "" spell save"", J338)),""Spell Save"",""""), REGEXEXTRACT(J338, ""DC (\d+)"")), """")"),"")</f>
        <v/>
      </c>
      <c r="AC338" s="24" t="b">
        <v>0</v>
      </c>
      <c r="AD338" s="24" t="b">
        <v>0</v>
      </c>
      <c r="AE338" s="36" t="s">
        <v>92</v>
      </c>
      <c r="AF338" s="25">
        <f>IFERROR(__xludf.DUMMYFUNCTION("IFERROR(VALUE(REGEXEXTRACT(AE338, ""\d+"")), 1)"),1.0)</f>
        <v>1</v>
      </c>
      <c r="AG338" s="12" t="str">
        <f>IFERROR(__xludf.DUMMYFUNCTION("IF(
  ISNUMBER(SEARCH(""Bonus Action"", AE338)),
  ""Bonus Action"",
  IF(
    ISNUMBER(SEARCH(""Reaction"", AE338)),
    ""Reaction"",
    IF(
      ISNUMBER(SEARCH(""Action"", AE338)),
      ""Action"",
      TEXTJOIN("", "", TRUE, FILTER(Validations!$S"&amp;"$2:$S$100, ISNUMBER(SEARCH(Validations!$S$2:$S$100, AE338))))
    )
  )
)"),"Minutes")</f>
        <v>Minutes</v>
      </c>
      <c r="AH338" s="22"/>
      <c r="AI338" s="27" t="s">
        <v>789</v>
      </c>
      <c r="AJ338" s="26" t="str">
        <f>IFERROR(__xludf.DUMMYFUNCTION("TEXTJOIN("", "", TRUE, FILTER(Validations!$T$2:$T$100, ISNUMBER(SEARCH(Validations!$T$2:$T$100, AI338))))"),"Special")</f>
        <v>Special</v>
      </c>
      <c r="AK338" s="26" t="str">
        <f>IFERROR(__xludf.DUMMYFUNCTION("IFERROR(VALUE(REGEXEXTRACT(AI338, ""\d+"")), """")"),"")</f>
        <v/>
      </c>
      <c r="AL338" s="26" t="str">
        <f>IFERROR(__xludf.DUMMYFUNCTION("TEXTJOIN("", "", TRUE, FILTER(Validations!$U$2:$U$100, ISNUMBER(SEARCH(Validations!$U$2:$U$100, AI338))))"),"")</f>
        <v/>
      </c>
      <c r="AM338" s="24" t="b">
        <f t="shared" si="1"/>
        <v>0</v>
      </c>
      <c r="AN338" s="24" t="b">
        <v>0</v>
      </c>
      <c r="AO338" s="22" t="s">
        <v>78</v>
      </c>
      <c r="AP338" s="12" t="str">
        <f>IFERROR(__xludf.DUMMYFUNCTION("IF(TEXTJOIN("", "", TRUE, FILTER(Validations!$Q$2:$Q$100, ISNUMBER(SEARCH(Validations!$Q$2:$Q$100, AO338)))) = """", Validations!$Q$2, TEXTJOIN("", "", TRUE, FILTER(Validations!$Q$2:$Q$100, ISNUMBER(SEARCH(Validations!$Q$2:$Q$100, AO338)))))"),"Point")</f>
        <v>Point</v>
      </c>
      <c r="AQ338" s="12" t="str">
        <f>IFERROR(__xludf.DUMMYFUNCTION("IFERROR(VALUE(REGEXEXTRACT(AO338, ""\d+"")), """")"),"")</f>
        <v/>
      </c>
      <c r="AR338" s="12" t="str">
        <f>IFERROR(__xludf.DUMMYFUNCTION("TEXTJOIN("", "", TRUE, FILTER(Validations!$R$2:$R$100, ISNUMBER(SEARCH(Validations!$R$2:$R$100, AO338))))"),"Self")</f>
        <v>Self</v>
      </c>
      <c r="AS338" s="27"/>
      <c r="AT338" s="12" t="str">
        <f>IFERROR(__xludf.DUMMYFUNCTION("IFERROR(TEXTJOIN("", "", TRUE, FILTER(Validations!$I$2:$I$100, ISNUMBER(SEARCH(Validations!$I$2:$I$100, AS338)))), """")"),"")</f>
        <v/>
      </c>
      <c r="AU338" s="16" t="str">
        <f t="array" ref="AU338">IFERROR(INDEX(Validations!$J$2:$J$100, MATCH(TRUE, ISNUMBER(SEARCH(Validations!$I$2:$I$100, AT338)), 0)), "")</f>
        <v/>
      </c>
      <c r="AV338" s="12" t="str">
        <f>IFERROR(__xludf.DUMMYFUNCTION("IFERROR(VALUE(REGEXEXTRACT(AS338, ""\d+"")), """")"),"")</f>
        <v/>
      </c>
      <c r="AW338" s="12" t="str">
        <f>IFERROR(__xludf.DUMMYFUNCTION("IFERROR(TEXTJOIN("", "", TRUE, FILTER(Validations!$Q$2:$Q$100, ISNUMBER(SEARCH(Validations!$Q$2:$Q$100, AS338)))), """")"),"")</f>
        <v/>
      </c>
      <c r="AX338" s="28" t="s">
        <v>142</v>
      </c>
      <c r="AY338" s="28" t="str">
        <f>IFERROR(__xludf.DUMMYFUNCTION("TEXTJOIN("", "", TRUE, FILTER(Validations!$Y$2:$Y$100, ISNUMBER(SEARCH(Validations!$X$2:$X$100, AX338))))"),"V, S")</f>
        <v>V, S</v>
      </c>
      <c r="AZ338" s="27"/>
      <c r="BA338" s="22"/>
      <c r="BB338" s="22"/>
      <c r="BC338" s="22"/>
      <c r="BD338" s="22"/>
      <c r="BE338" s="27"/>
      <c r="BF338" s="22"/>
      <c r="BG338" s="27"/>
      <c r="BH338" s="27"/>
      <c r="BI338" s="12" t="str">
        <f>IFERROR(__xludf.DUMMYFUNCTION("IFERROR(TEXTJOIN("", "", TRUE, FILTER(SRD!$A$2:$A$1000, EXACT(SRD!$A$2:$A$1000, J338))), """")"),"")</f>
        <v/>
      </c>
      <c r="BJ338" s="29"/>
      <c r="BK338" s="29"/>
    </row>
    <row r="339" ht="15.75" customHeight="1">
      <c r="A339" s="30" t="s">
        <v>1628</v>
      </c>
      <c r="B339" s="22"/>
      <c r="C339" s="31"/>
      <c r="D339" s="31" t="s">
        <v>18</v>
      </c>
      <c r="E339" s="31"/>
      <c r="F339" s="32" t="s">
        <v>1071</v>
      </c>
      <c r="G339" s="50" t="s">
        <v>1594</v>
      </c>
      <c r="H339" s="31" t="s">
        <v>76</v>
      </c>
      <c r="I339" s="16" t="str">
        <f t="array" ref="I339">INDEX(Validations!$C$2:$C$100, MATCH(TRUE, ISNUMBER(SEARCH(Validations!$B$2:$B$100, H339)), 0))</f>
        <v>V</v>
      </c>
      <c r="J339" s="17" t="s">
        <v>1629</v>
      </c>
      <c r="K339" s="18"/>
      <c r="L339" s="17"/>
      <c r="M339" s="17"/>
      <c r="N339" s="20" t="s">
        <v>1630</v>
      </c>
      <c r="O339" s="17"/>
      <c r="P339" s="21"/>
      <c r="Q339" s="21"/>
      <c r="R339" s="22"/>
      <c r="S339" s="17" t="str">
        <f>IFERROR(__xludf.DUMMYFUNCTION("IFERROR(REGEXEXTRACT(J339, ""(\d{1,3}[dD]\d{1,3})""), """")"),"8d8")</f>
        <v>8d8</v>
      </c>
      <c r="T339" s="17" t="str">
        <f>IFERROR(__xludf.DUMMYFUNCTION("IF(COUNTIF(ARRAYFORMULA(LOWER(Validations!$O$2:$O$100)), LOWER(REGEXEXTRACT(J339, ""\d{1,3}[dD]\d{1,3}\s+(\w+)"")))&gt;0, REGEXEXTRACT(J339, ""\d{1,3}[dD]\d{1,3}\s+(\w+)""), """")"),"electric")</f>
        <v>electric</v>
      </c>
      <c r="U339" s="17" t="str">
        <f>IFERROR(__xludf.DUMMYFUNCTION("IF(COUNTIF(ARRAYFORMULA(LOWER(Validations!$P$2:$P$100)), LOWER(REGEXEXTRACT(J339, ""\d{1,3}[dD]\d{1,3}\s+(\w+)"")))&gt;0, REGEXEXTRACT(J339, ""\d{1,3}[dD]\d{1,3}\s+(\w+)""), """")"),"")</f>
        <v/>
      </c>
      <c r="V339" s="12" t="str">
        <f>IFERROR(__xludf.DUMMYFUNCTION("TEXTJOIN("", "", TRUE, FILTER(Validations!$L$2:$L$100, ISNUMBER(SEARCH(Validations!$L$2:$L$100, J339))))"),"Blinded")</f>
        <v>Blinded</v>
      </c>
      <c r="W339" s="12" t="str">
        <f>IFERROR(__xludf.DUMMYFUNCTION("IFERROR(TEXTJOIN("", "", TRUE, FILTER(Validations!$M$2:$M$100, ISNUMBER(SEARCH(Validations!$M$2:$M$100 &amp; "" saving throw"", J339)))), """")"),"Intelligence")</f>
        <v>Intelligence</v>
      </c>
      <c r="X339" s="12"/>
      <c r="Y339" s="12"/>
      <c r="Z339" s="12" t="str">
        <f>IFERROR(__xludf.DUMMYFUNCTION("IFERROR(TEXTJOIN("", "", TRUE, FILTER(Validations!$N$2:$N$100, ISNUMBER(SEARCH(Validations!$N$2:$N$100 &amp; "" check"", J339)))), """")"),"")</f>
        <v/>
      </c>
      <c r="AA339" s="12" t="str">
        <f>IFERROR(__xludf.DUMMYFUNCTION("IFERROR(TEXTJOIN("", "", TRUE, FILTER(Validations!$N$2:$N$100, ISNUMBER(SEARCH(Validations!$N$2:$N$100 &amp; "" check"", W339)))), """")"),"")</f>
        <v/>
      </c>
      <c r="AB339" s="23" t="str">
        <f>IFERROR(__xludf.DUMMYFUNCTION("IFERROR(CONCATENATE(IF(ISNUMBER(SEARCH(Validations!$M$2:$M$100 &amp; "" spell save"", J339)),""Spell Save"",""""), REGEXEXTRACT(J339, ""DC (\d+)"")), """")"),"")</f>
        <v/>
      </c>
      <c r="AC339" s="24" t="b">
        <v>0</v>
      </c>
      <c r="AD339" s="24" t="b">
        <v>0</v>
      </c>
      <c r="AE339" s="36" t="s">
        <v>69</v>
      </c>
      <c r="AF339" s="25">
        <f>IFERROR(__xludf.DUMMYFUNCTION("IFERROR(VALUE(REGEXEXTRACT(AE339, ""\d+"")), 1)"),1.0)</f>
        <v>1</v>
      </c>
      <c r="AG339" s="12" t="str">
        <f>IFERROR(__xludf.DUMMYFUNCTION("IF(
  ISNUMBER(SEARCH(""Bonus Action"", AE339)),
  ""Bonus Action"",
  IF(
    ISNUMBER(SEARCH(""Reaction"", AE339)),
    ""Reaction"",
    IF(
      ISNUMBER(SEARCH(""Action"", AE339)),
      ""Action"",
      TEXTJOIN("", "", TRUE, FILTER(Validations!$S"&amp;"$2:$S$100, ISNUMBER(SEARCH(Validations!$S$2:$S$100, AE339))))
    )
  )
)"),"Action")</f>
        <v>Action</v>
      </c>
      <c r="AH339" s="36"/>
      <c r="AI339" s="27" t="s">
        <v>70</v>
      </c>
      <c r="AJ339" s="26" t="str">
        <f>IFERROR(__xludf.DUMMYFUNCTION("TEXTJOIN("", "", TRUE, FILTER(Validations!$T$2:$T$100, ISNUMBER(SEARCH(Validations!$T$2:$T$100, AI339))))"),"Instantaneous")</f>
        <v>Instantaneous</v>
      </c>
      <c r="AK339" s="26" t="str">
        <f>IFERROR(__xludf.DUMMYFUNCTION("IFERROR(VALUE(REGEXEXTRACT(AI339, ""\d+"")), """")"),"")</f>
        <v/>
      </c>
      <c r="AL339" s="26" t="str">
        <f>IFERROR(__xludf.DUMMYFUNCTION("TEXTJOIN("", "", TRUE, FILTER(Validations!$U$2:$U$100, ISNUMBER(SEARCH(Validations!$U$2:$U$100, AI339))))"),"")</f>
        <v/>
      </c>
      <c r="AM339" s="24" t="b">
        <f t="shared" si="1"/>
        <v>0</v>
      </c>
      <c r="AN339" s="24" t="b">
        <v>0</v>
      </c>
      <c r="AO339" s="22" t="s">
        <v>440</v>
      </c>
      <c r="AP339" s="12" t="str">
        <f>IFERROR(__xludf.DUMMYFUNCTION("IF(TEXTJOIN("", "", TRUE, FILTER(Validations!$Q$2:$Q$100, ISNUMBER(SEARCH(Validations!$Q$2:$Q$100, AO339)))) = """", Validations!$Q$2, TEXTJOIN("", "", TRUE, FILTER(Validations!$Q$2:$Q$100, ISNUMBER(SEARCH(Validations!$Q$2:$Q$100, AO339)))))"),"Point")</f>
        <v>Point</v>
      </c>
      <c r="AQ339" s="12">
        <f>IFERROR(__xludf.DUMMYFUNCTION("IFERROR(VALUE(REGEXEXTRACT(AO339, ""\d+"")), """")"),60.0)</f>
        <v>60</v>
      </c>
      <c r="AR339" s="12" t="str">
        <f>IFERROR(__xludf.DUMMYFUNCTION("TEXTJOIN("", "", TRUE, FILTER(Validations!$R$2:$R$100, ISNUMBER(SEARCH(Validations!$R$2:$R$100, AO339))))"),"Feet")</f>
        <v>Feet</v>
      </c>
      <c r="AS339" s="27"/>
      <c r="AT339" s="12" t="str">
        <f>IFERROR(__xludf.DUMMYFUNCTION("IFERROR(TEXTJOIN("", "", TRUE, FILTER(Validations!$I$2:$I$100, ISNUMBER(SEARCH(Validations!$I$2:$I$100, AS339)))), """")"),"")</f>
        <v/>
      </c>
      <c r="AU339" s="16" t="str">
        <f t="array" ref="AU339">IFERROR(INDEX(Validations!$J$2:$J$100, MATCH(TRUE, ISNUMBER(SEARCH(Validations!$I$2:$I$100, AT339)), 0)), "")</f>
        <v/>
      </c>
      <c r="AV339" s="12" t="str">
        <f>IFERROR(__xludf.DUMMYFUNCTION("IFERROR(VALUE(REGEXEXTRACT(AS339, ""\d+"")), """")"),"")</f>
        <v/>
      </c>
      <c r="AW339" s="12" t="str">
        <f>IFERROR(__xludf.DUMMYFUNCTION("IFERROR(TEXTJOIN("", "", TRUE, FILTER(Validations!$Q$2:$Q$100, ISNUMBER(SEARCH(Validations!$Q$2:$Q$100, AS339)))), """")"),"")</f>
        <v/>
      </c>
      <c r="AX339" s="28" t="s">
        <v>152</v>
      </c>
      <c r="AY339" s="28" t="str">
        <f>IFERROR(__xludf.DUMMYFUNCTION("TEXTJOIN("", "", TRUE, FILTER(Validations!$Y$2:$Y$100, ISNUMBER(SEARCH(Validations!$X$2:$X$100, AX339))))"),"V, S, R")</f>
        <v>V, S, R</v>
      </c>
      <c r="AZ339" s="20" t="s">
        <v>1631</v>
      </c>
      <c r="BA339" s="22"/>
      <c r="BB339" s="22"/>
      <c r="BC339" s="22"/>
      <c r="BD339" s="22"/>
      <c r="BE339" s="27"/>
      <c r="BF339" s="22"/>
      <c r="BG339" s="27"/>
      <c r="BH339" s="27"/>
      <c r="BI339" s="12" t="str">
        <f>IFERROR(__xludf.DUMMYFUNCTION("IFERROR(TEXTJOIN("", "", TRUE, FILTER(SRD!$A$2:$A$1000, EXACT(SRD!$A$2:$A$1000, J339))), """")"),"")</f>
        <v/>
      </c>
      <c r="BJ339" s="29"/>
      <c r="BK339" s="29"/>
    </row>
    <row r="340" ht="15.75" customHeight="1">
      <c r="A340" s="30" t="s">
        <v>1632</v>
      </c>
      <c r="B340" s="22"/>
      <c r="C340" s="31"/>
      <c r="D340" s="31" t="s">
        <v>74</v>
      </c>
      <c r="E340" s="31"/>
      <c r="F340" s="32" t="s">
        <v>199</v>
      </c>
      <c r="G340" s="50" t="s">
        <v>1594</v>
      </c>
      <c r="H340" s="31" t="s">
        <v>140</v>
      </c>
      <c r="I340" s="16" t="str">
        <f t="array" ref="I340">INDEX(Validations!$C$2:$C$100, MATCH(TRUE, ISNUMBER(SEARCH(Validations!$B$2:$B$100, H340)), 0))</f>
        <v>N</v>
      </c>
      <c r="J340" s="17" t="s">
        <v>1633</v>
      </c>
      <c r="K340" s="18"/>
      <c r="L340" s="17"/>
      <c r="M340" s="17"/>
      <c r="N340" s="27"/>
      <c r="O340" s="17"/>
      <c r="P340" s="21"/>
      <c r="Q340" s="21"/>
      <c r="R340" s="22"/>
      <c r="S340" s="17" t="str">
        <f>IFERROR(__xludf.DUMMYFUNCTION("IFERROR(REGEXEXTRACT(J340, ""(\d{1,3}[dD]\d{1,3})""), """")"),"2d10")</f>
        <v>2d10</v>
      </c>
      <c r="T340" s="17" t="str">
        <f>IFERROR(__xludf.DUMMYFUNCTION("IF(COUNTIF(ARRAYFORMULA(LOWER(Validations!$O$2:$O$100)), LOWER(REGEXEXTRACT(J340, ""\d{1,3}[dD]\d{1,3}\s+(\w+)"")))&gt;0, REGEXEXTRACT(J340, ""\d{1,3}[dD]\d{1,3}\s+(\w+)""), """")"),"")</f>
        <v/>
      </c>
      <c r="U340" s="17" t="str">
        <f>IFERROR(__xludf.DUMMYFUNCTION("IF(COUNTIF(ARRAYFORMULA(LOWER(Validations!$P$2:$P$100)), LOWER(REGEXEXTRACT(J340, ""\d{1,3}[dD]\d{1,3}\s+(\w+)"")))&gt;0, REGEXEXTRACT(J340, ""\d{1,3}[dD]\d{1,3}\s+(\w+)""), """")"),"")</f>
        <v/>
      </c>
      <c r="V340" s="12" t="str">
        <f>IFERROR(__xludf.DUMMYFUNCTION("TEXTJOIN("", "", TRUE, FILTER(Validations!$L$2:$L$100, ISNUMBER(SEARCH(Validations!$L$2:$L$100, J340))))"),"")</f>
        <v/>
      </c>
      <c r="W340" s="12" t="str">
        <f>IFERROR(__xludf.DUMMYFUNCTION("IFERROR(TEXTJOIN("", "", TRUE, FILTER(Validations!$M$2:$M$100, ISNUMBER(SEARCH(Validations!$M$2:$M$100 &amp; "" saving throw"", J340)))), """")"),"")</f>
        <v/>
      </c>
      <c r="X340" s="12"/>
      <c r="Y340" s="12"/>
      <c r="Z340" s="12" t="str">
        <f>IFERROR(__xludf.DUMMYFUNCTION("IFERROR(TEXTJOIN("", "", TRUE, FILTER(Validations!$N$2:$N$100, ISNUMBER(SEARCH(Validations!$N$2:$N$100 &amp; "" check"", J340)))), """")"),"")</f>
        <v/>
      </c>
      <c r="AA340" s="12" t="str">
        <f>IFERROR(__xludf.DUMMYFUNCTION("IFERROR(TEXTJOIN("", "", TRUE, FILTER(Validations!$N$2:$N$100, ISNUMBER(SEARCH(Validations!$N$2:$N$100 &amp; "" check"", W340)))), """")"),"")</f>
        <v/>
      </c>
      <c r="AB340" s="23" t="str">
        <f>IFERROR(__xludf.DUMMYFUNCTION("IFERROR(CONCATENATE(IF(ISNUMBER(SEARCH(Validations!$M$2:$M$100 &amp; "" spell save"", J340)),""Spell Save"",""""), REGEXEXTRACT(J340, ""DC (\d+)"")), """")"),"")</f>
        <v/>
      </c>
      <c r="AC340" s="24" t="b">
        <v>0</v>
      </c>
      <c r="AD340" s="24" t="b">
        <v>0</v>
      </c>
      <c r="AE340" s="36" t="s">
        <v>69</v>
      </c>
      <c r="AF340" s="25">
        <f>IFERROR(__xludf.DUMMYFUNCTION("IFERROR(VALUE(REGEXEXTRACT(AE340, ""\d+"")), 1)"),1.0)</f>
        <v>1</v>
      </c>
      <c r="AG340" s="12" t="str">
        <f>IFERROR(__xludf.DUMMYFUNCTION("IF(
  ISNUMBER(SEARCH(""Bonus Action"", AE340)),
  ""Bonus Action"",
  IF(
    ISNUMBER(SEARCH(""Reaction"", AE340)),
    ""Reaction"",
    IF(
      ISNUMBER(SEARCH(""Action"", AE340)),
      ""Action"",
      TEXTJOIN("", "", TRUE, FILTER(Validations!$S"&amp;"$2:$S$100, ISNUMBER(SEARCH(Validations!$S$2:$S$100, AE340))))
    )
  )
)"),"Action")</f>
        <v>Action</v>
      </c>
      <c r="AH340" s="36"/>
      <c r="AI340" s="20" t="s">
        <v>92</v>
      </c>
      <c r="AJ340" s="26" t="str">
        <f>IFERROR(__xludf.DUMMYFUNCTION("TEXTJOIN("", "", TRUE, FILTER(Validations!$T$2:$T$100, ISNUMBER(SEARCH(Validations!$T$2:$T$100, AI340))))"),"")</f>
        <v/>
      </c>
      <c r="AK340" s="26">
        <f>IFERROR(__xludf.DUMMYFUNCTION("IFERROR(VALUE(REGEXEXTRACT(AI340, ""\d+"")), """")"),1.0)</f>
        <v>1</v>
      </c>
      <c r="AL340" s="26" t="str">
        <f>IFERROR(__xludf.DUMMYFUNCTION("TEXTJOIN("", "", TRUE, FILTER(Validations!$U$2:$U$100, ISNUMBER(SEARCH(Validations!$U$2:$U$100, AI340))))"),"Minutes")</f>
        <v>Minutes</v>
      </c>
      <c r="AM340" s="24" t="b">
        <f t="shared" si="1"/>
        <v>0</v>
      </c>
      <c r="AN340" s="24" t="b">
        <v>0</v>
      </c>
      <c r="AO340" s="22" t="s">
        <v>440</v>
      </c>
      <c r="AP340" s="12" t="str">
        <f>IFERROR(__xludf.DUMMYFUNCTION("IF(TEXTJOIN("", "", TRUE, FILTER(Validations!$Q$2:$Q$100, ISNUMBER(SEARCH(Validations!$Q$2:$Q$100, AO340)))) = """", Validations!$Q$2, TEXTJOIN("", "", TRUE, FILTER(Validations!$Q$2:$Q$100, ISNUMBER(SEARCH(Validations!$Q$2:$Q$100, AO340)))))"),"Point")</f>
        <v>Point</v>
      </c>
      <c r="AQ340" s="12">
        <f>IFERROR(__xludf.DUMMYFUNCTION("IFERROR(VALUE(REGEXEXTRACT(AO340, ""\d+"")), """")"),60.0)</f>
        <v>60</v>
      </c>
      <c r="AR340" s="12" t="str">
        <f>IFERROR(__xludf.DUMMYFUNCTION("TEXTJOIN("", "", TRUE, FILTER(Validations!$R$2:$R$100, ISNUMBER(SEARCH(Validations!$R$2:$R$100, AO340))))"),"Feet")</f>
        <v>Feet</v>
      </c>
      <c r="AS340" s="27"/>
      <c r="AT340" s="12" t="str">
        <f>IFERROR(__xludf.DUMMYFUNCTION("IFERROR(TEXTJOIN("", "", TRUE, FILTER(Validations!$I$2:$I$100, ISNUMBER(SEARCH(Validations!$I$2:$I$100, AS340)))), """")"),"")</f>
        <v/>
      </c>
      <c r="AU340" s="16" t="str">
        <f t="array" ref="AU340">IFERROR(INDEX(Validations!$J$2:$J$100, MATCH(TRUE, ISNUMBER(SEARCH(Validations!$I$2:$I$100, AT340)), 0)), "")</f>
        <v/>
      </c>
      <c r="AV340" s="12" t="str">
        <f>IFERROR(__xludf.DUMMYFUNCTION("IFERROR(VALUE(REGEXEXTRACT(AS340, ""\d+"")), """")"),"")</f>
        <v/>
      </c>
      <c r="AW340" s="12" t="str">
        <f>IFERROR(__xludf.DUMMYFUNCTION("IFERROR(TEXTJOIN("", "", TRUE, FILTER(Validations!$Q$2:$Q$100, ISNUMBER(SEARCH(Validations!$Q$2:$Q$100, AS340)))), """")"),"")</f>
        <v/>
      </c>
      <c r="AX340" s="28" t="s">
        <v>152</v>
      </c>
      <c r="AY340" s="28" t="str">
        <f>IFERROR(__xludf.DUMMYFUNCTION("TEXTJOIN("", "", TRUE, FILTER(Validations!$Y$2:$Y$100, ISNUMBER(SEARCH(Validations!$X$2:$X$100, AX340))))"),"V, S, R")</f>
        <v>V, S, R</v>
      </c>
      <c r="AZ340" s="20" t="s">
        <v>1634</v>
      </c>
      <c r="BA340" s="22"/>
      <c r="BB340" s="22"/>
      <c r="BC340" s="22"/>
      <c r="BD340" s="22"/>
      <c r="BE340" s="27"/>
      <c r="BF340" s="22"/>
      <c r="BG340" s="27"/>
      <c r="BH340" s="27"/>
      <c r="BI340" s="12" t="str">
        <f>IFERROR(__xludf.DUMMYFUNCTION("IFERROR(TEXTJOIN("", "", TRUE, FILTER(SRD!$A$2:$A$1000, EXACT(SRD!$A$2:$A$1000, J340))), """")"),"")</f>
        <v/>
      </c>
      <c r="BJ340" s="29"/>
      <c r="BK340" s="29"/>
    </row>
    <row r="341" ht="15.75" customHeight="1">
      <c r="A341" s="11" t="s">
        <v>1635</v>
      </c>
      <c r="B341" s="12"/>
      <c r="C341" s="16"/>
      <c r="D341" s="16" t="s">
        <v>1213</v>
      </c>
      <c r="E341" s="16"/>
      <c r="F341" s="32" t="s">
        <v>1636</v>
      </c>
      <c r="G341" s="15" t="s">
        <v>1594</v>
      </c>
      <c r="H341" s="16" t="s">
        <v>103</v>
      </c>
      <c r="I341" s="16" t="str">
        <f t="array" ref="I341">INDEX(Validations!$C$2:$C$100, MATCH(TRUE, ISNUMBER(SEARCH(Validations!$B$2:$B$100, H341)), 0))</f>
        <v>C</v>
      </c>
      <c r="J341" s="17" t="s">
        <v>1637</v>
      </c>
      <c r="K341" s="18"/>
      <c r="L341" s="17"/>
      <c r="M341" s="17"/>
      <c r="N341" s="20" t="s">
        <v>1638</v>
      </c>
      <c r="O341" s="17"/>
      <c r="P341" s="21"/>
      <c r="Q341" s="21"/>
      <c r="R341" s="36" t="s">
        <v>1639</v>
      </c>
      <c r="S341" s="17"/>
      <c r="T341" s="17"/>
      <c r="U341" s="17"/>
      <c r="V341" s="12"/>
      <c r="W341" s="12"/>
      <c r="X341" s="12"/>
      <c r="Y341" s="12"/>
      <c r="Z341" s="12"/>
      <c r="AA341" s="12"/>
      <c r="AB341" s="23"/>
      <c r="AC341" s="24" t="b">
        <v>0</v>
      </c>
      <c r="AD341" s="24" t="b">
        <v>0</v>
      </c>
      <c r="AE341" s="36" t="s">
        <v>92</v>
      </c>
      <c r="AF341" s="25">
        <f>IFERROR(__xludf.DUMMYFUNCTION("IFERROR(VALUE(REGEXEXTRACT(AE341, ""\d+"")), 1)"),1.0)</f>
        <v>1</v>
      </c>
      <c r="AG341" s="12" t="str">
        <f>IFERROR(__xludf.DUMMYFUNCTION("IF(
  ISNUMBER(SEARCH(""Bonus Action"", AE341)),
  ""Bonus Action"",
  IF(
    ISNUMBER(SEARCH(""Reaction"", AE341)),
    ""Reaction"",
    IF(
      ISNUMBER(SEARCH(""Action"", AE341)),
      ""Action"",
      TEXTJOIN("", "", TRUE, FILTER(Validations!$S"&amp;"$2:$S$100, ISNUMBER(SEARCH(Validations!$S$2:$S$100, AE341))))
    )
  )
)"),"Minutes")</f>
        <v>Minutes</v>
      </c>
      <c r="AH341" s="36"/>
      <c r="AI341" s="20" t="s">
        <v>446</v>
      </c>
      <c r="AJ341" s="26" t="str">
        <f>IFERROR(__xludf.DUMMYFUNCTION("TEXTJOIN("", "", TRUE, FILTER(Validations!$T$2:$T$100, ISNUMBER(SEARCH(Validations!$T$2:$T$100, AI341))))"),"")</f>
        <v/>
      </c>
      <c r="AK341" s="26">
        <f>IFERROR(__xludf.DUMMYFUNCTION("IFERROR(VALUE(REGEXEXTRACT(AI341, ""\d+"")), """")"),10.0)</f>
        <v>10</v>
      </c>
      <c r="AL341" s="26" t="str">
        <f>IFERROR(__xludf.DUMMYFUNCTION("TEXTJOIN("", "", TRUE, FILTER(Validations!$U$2:$U$100, ISNUMBER(SEARCH(Validations!$U$2:$U$100, AI341))))"),"Minutes")</f>
        <v>Minutes</v>
      </c>
      <c r="AM341" s="24" t="b">
        <f t="shared" si="1"/>
        <v>1</v>
      </c>
      <c r="AN341" s="42" t="b">
        <v>1</v>
      </c>
      <c r="AO341" s="36" t="s">
        <v>112</v>
      </c>
      <c r="AP341" s="12" t="str">
        <f>IFERROR(__xludf.DUMMYFUNCTION("IF(TEXTJOIN("", "", TRUE, FILTER(Validations!$Q$2:$Q$100, ISNUMBER(SEARCH(Validations!$Q$2:$Q$100, AO341)))) = """", Validations!$Q$2, TEXTJOIN("", "", TRUE, FILTER(Validations!$Q$2:$Q$100, ISNUMBER(SEARCH(Validations!$Q$2:$Q$100, AO341)))))"),"Point")</f>
        <v>Point</v>
      </c>
      <c r="AQ341" s="12">
        <f>IFERROR(__xludf.DUMMYFUNCTION("IFERROR(VALUE(REGEXEXTRACT(AO341, ""\d+"")), """")"),30.0)</f>
        <v>30</v>
      </c>
      <c r="AR341" s="12" t="str">
        <f>IFERROR(__xludf.DUMMYFUNCTION("TEXTJOIN("", "", TRUE, FILTER(Validations!$R$2:$R$100, ISNUMBER(SEARCH(Validations!$R$2:$R$100, AO341))))"),"Feet")</f>
        <v>Feet</v>
      </c>
      <c r="AS341" s="27"/>
      <c r="AT341" s="12" t="str">
        <f>IFERROR(__xludf.DUMMYFUNCTION("IFERROR(TEXTJOIN("", "", TRUE, FILTER(Validations!$I$2:$I$100, ISNUMBER(SEARCH(Validations!$I$2:$I$100, AS341)))), """")"),"")</f>
        <v/>
      </c>
      <c r="AU341" s="16" t="str">
        <f t="array" ref="AU341">IFERROR(INDEX(Validations!$J$2:$J$100, MATCH(TRUE, ISNUMBER(SEARCH(Validations!$I$2:$I$100, AT341)), 0)), "")</f>
        <v/>
      </c>
      <c r="AV341" s="12" t="str">
        <f>IFERROR(__xludf.DUMMYFUNCTION("IFERROR(VALUE(REGEXEXTRACT(AS341, ""\d+"")), """")"),"")</f>
        <v/>
      </c>
      <c r="AW341" s="12" t="str">
        <f>IFERROR(__xludf.DUMMYFUNCTION("IFERROR(TEXTJOIN("", "", TRUE, FILTER(Validations!$Q$2:$Q$100, ISNUMBER(SEARCH(Validations!$Q$2:$Q$100, AS341)))), """")"),"")</f>
        <v/>
      </c>
      <c r="AX341" s="28" t="s">
        <v>262</v>
      </c>
      <c r="AY341" s="28" t="str">
        <f>IFERROR(__xludf.DUMMYFUNCTION("TEXTJOIN("", "", TRUE, FILTER(Validations!$Y$2:$Y$100, ISNUMBER(SEARCH(Validations!$X$2:$X$100, AX341))))"),"V, S, R")</f>
        <v>V, S, R</v>
      </c>
      <c r="AZ341" s="20" t="s">
        <v>1640</v>
      </c>
      <c r="BA341" s="22"/>
      <c r="BB341" s="22"/>
      <c r="BC341" s="22"/>
      <c r="BD341" s="22"/>
      <c r="BE341" s="27"/>
      <c r="BF341" s="22"/>
      <c r="BG341" s="27"/>
      <c r="BH341" s="27"/>
      <c r="BI341" s="12"/>
      <c r="BJ341" s="29"/>
      <c r="BK341" s="29"/>
    </row>
    <row r="342" ht="15.75" customHeight="1">
      <c r="A342" s="30" t="s">
        <v>1641</v>
      </c>
      <c r="B342" s="22"/>
      <c r="C342" s="31"/>
      <c r="D342" s="31" t="s">
        <v>74</v>
      </c>
      <c r="E342" s="31"/>
      <c r="F342" s="32" t="s">
        <v>108</v>
      </c>
      <c r="G342" s="50" t="s">
        <v>1594</v>
      </c>
      <c r="H342" s="31" t="s">
        <v>85</v>
      </c>
      <c r="I342" s="16" t="str">
        <f t="array" ref="I342">INDEX(Validations!$C$2:$C$100, MATCH(TRUE, ISNUMBER(SEARCH(Validations!$B$2:$B$100, H342)), 0))</f>
        <v>T</v>
      </c>
      <c r="J342" s="17" t="s">
        <v>1642</v>
      </c>
      <c r="K342" s="18"/>
      <c r="L342" s="17"/>
      <c r="M342" s="17"/>
      <c r="N342" s="27"/>
      <c r="O342" s="17"/>
      <c r="P342" s="21"/>
      <c r="Q342" s="21"/>
      <c r="R342" s="22"/>
      <c r="S342" s="17" t="str">
        <f>IFERROR(__xludf.DUMMYFUNCTION("IFERROR(REGEXEXTRACT(J342, ""(\d{1,3}[dD]\d{1,3})""), """")"),"")</f>
        <v/>
      </c>
      <c r="T342" s="17" t="str">
        <f>IFERROR(__xludf.DUMMYFUNCTION("IF(COUNTIF(ARRAYFORMULA(LOWER(Validations!$O$2:$O$100)), LOWER(REGEXEXTRACT(J342, ""\d{1,3}[dD]\d{1,3}\s+(\w+)"")))&gt;0, REGEXEXTRACT(J342, ""\d{1,3}[dD]\d{1,3}\s+(\w+)""), """")"),"")</f>
        <v/>
      </c>
      <c r="U342" s="17" t="str">
        <f>IFERROR(__xludf.DUMMYFUNCTION("IF(COUNTIF(ARRAYFORMULA(LOWER(Validations!$P$2:$P$100)), LOWER(REGEXEXTRACT(J342, ""\d{1,3}[dD]\d{1,3}\s+(\w+)"")))&gt;0, REGEXEXTRACT(J342, ""\d{1,3}[dD]\d{1,3}\s+(\w+)""), """")"),"")</f>
        <v/>
      </c>
      <c r="V342" s="12" t="str">
        <f>IFERROR(__xludf.DUMMYFUNCTION("TEXTJOIN("", "", TRUE, FILTER(Validations!$L$2:$L$100, ISNUMBER(SEARCH(Validations!$L$2:$L$100, J342))))"),"")</f>
        <v/>
      </c>
      <c r="W342" s="12" t="str">
        <f>IFERROR(__xludf.DUMMYFUNCTION("IFERROR(TEXTJOIN("", "", TRUE, FILTER(Validations!$M$2:$M$100, ISNUMBER(SEARCH(Validations!$M$2:$M$100 &amp; "" saving throw"", J342)))), """")"),"")</f>
        <v/>
      </c>
      <c r="X342" s="12"/>
      <c r="Y342" s="12"/>
      <c r="Z342" s="12" t="str">
        <f>IFERROR(__xludf.DUMMYFUNCTION("IFERROR(TEXTJOIN("", "", TRUE, FILTER(Validations!$N$2:$N$100, ISNUMBER(SEARCH(Validations!$N$2:$N$100 &amp; "" check"", J342)))), """")"),"")</f>
        <v/>
      </c>
      <c r="AA342" s="12" t="str">
        <f>IFERROR(__xludf.DUMMYFUNCTION("IFERROR(TEXTJOIN("", "", TRUE, FILTER(Validations!$N$2:$N$100, ISNUMBER(SEARCH(Validations!$N$2:$N$100 &amp; "" check"", W342)))), """")"),"")</f>
        <v/>
      </c>
      <c r="AB342" s="23" t="str">
        <f>IFERROR(__xludf.DUMMYFUNCTION("IFERROR(CONCATENATE(IF(ISNUMBER(SEARCH(Validations!$M$2:$M$100 &amp; "" spell save"", J342)),""Spell Save"",""""), REGEXEXTRACT(J342, ""DC (\d+)"")), """")"),"")</f>
        <v/>
      </c>
      <c r="AC342" s="24" t="b">
        <v>0</v>
      </c>
      <c r="AD342" s="24" t="b">
        <v>0</v>
      </c>
      <c r="AE342" s="36" t="s">
        <v>69</v>
      </c>
      <c r="AF342" s="25">
        <f>IFERROR(__xludf.DUMMYFUNCTION("IFERROR(VALUE(REGEXEXTRACT(AE342, ""\d+"")), 1)"),1.0)</f>
        <v>1</v>
      </c>
      <c r="AG342" s="12" t="str">
        <f>IFERROR(__xludf.DUMMYFUNCTION("IF(
  ISNUMBER(SEARCH(""Bonus Action"", AE342)),
  ""Bonus Action"",
  IF(
    ISNUMBER(SEARCH(""Reaction"", AE342)),
    ""Reaction"",
    IF(
      ISNUMBER(SEARCH(""Action"", AE342)),
      ""Action"",
      TEXTJOIN("", "", TRUE, FILTER(Validations!$S"&amp;"$2:$S$100, ISNUMBER(SEARCH(Validations!$S$2:$S$100, AE342))))
    )
  )
)"),"Action")</f>
        <v>Action</v>
      </c>
      <c r="AH342" s="36"/>
      <c r="AI342" s="20" t="s">
        <v>296</v>
      </c>
      <c r="AJ342" s="26" t="str">
        <f>IFERROR(__xludf.DUMMYFUNCTION("TEXTJOIN("", "", TRUE, FILTER(Validations!$T$2:$T$100, ISNUMBER(SEARCH(Validations!$T$2:$T$100, AI342))))"),"")</f>
        <v/>
      </c>
      <c r="AK342" s="26">
        <f>IFERROR(__xludf.DUMMYFUNCTION("IFERROR(VALUE(REGEXEXTRACT(AI342, ""\d+"")), """")"),1.0)</f>
        <v>1</v>
      </c>
      <c r="AL342" s="26" t="str">
        <f>IFERROR(__xludf.DUMMYFUNCTION("TEXTJOIN("", "", TRUE, FILTER(Validations!$U$2:$U$100, ISNUMBER(SEARCH(Validations!$U$2:$U$100, AI342))))"),"Hours")</f>
        <v>Hours</v>
      </c>
      <c r="AM342" s="24" t="b">
        <f t="shared" si="1"/>
        <v>0</v>
      </c>
      <c r="AN342" s="24" t="b">
        <v>0</v>
      </c>
      <c r="AO342" s="22" t="s">
        <v>71</v>
      </c>
      <c r="AP342" s="12" t="str">
        <f>IFERROR(__xludf.DUMMYFUNCTION("IF(TEXTJOIN("", "", TRUE, FILTER(Validations!$Q$2:$Q$100, ISNUMBER(SEARCH(Validations!$Q$2:$Q$100, AO342)))) = """", Validations!$Q$2, TEXTJOIN("", "", TRUE, FILTER(Validations!$Q$2:$Q$100, ISNUMBER(SEARCH(Validations!$Q$2:$Q$100, AO342)))))"),"Point")</f>
        <v>Point</v>
      </c>
      <c r="AQ342" s="12" t="str">
        <f>IFERROR(__xludf.DUMMYFUNCTION("IFERROR(VALUE(REGEXEXTRACT(AO342, ""\d+"")), """")"),"")</f>
        <v/>
      </c>
      <c r="AR342" s="12" t="str">
        <f>IFERROR(__xludf.DUMMYFUNCTION("TEXTJOIN("", "", TRUE, FILTER(Validations!$R$2:$R$100, ISNUMBER(SEARCH(Validations!$R$2:$R$100, AO342))))"),"Touch")</f>
        <v>Touch</v>
      </c>
      <c r="AS342" s="27"/>
      <c r="AT342" s="12" t="str">
        <f>IFERROR(__xludf.DUMMYFUNCTION("IFERROR(TEXTJOIN("", "", TRUE, FILTER(Validations!$I$2:$I$100, ISNUMBER(SEARCH(Validations!$I$2:$I$100, AS342)))), """")"),"")</f>
        <v/>
      </c>
      <c r="AU342" s="16" t="str">
        <f t="array" ref="AU342">IFERROR(INDEX(Validations!$J$2:$J$100, MATCH(TRUE, ISNUMBER(SEARCH(Validations!$I$2:$I$100, AT342)), 0)), "")</f>
        <v/>
      </c>
      <c r="AV342" s="12" t="str">
        <f>IFERROR(__xludf.DUMMYFUNCTION("IFERROR(VALUE(REGEXEXTRACT(AS342, ""\d+"")), """")"),"")</f>
        <v/>
      </c>
      <c r="AW342" s="12" t="str">
        <f>IFERROR(__xludf.DUMMYFUNCTION("IFERROR(TEXTJOIN("", "", TRUE, FILTER(Validations!$Q$2:$Q$100, ISNUMBER(SEARCH(Validations!$Q$2:$Q$100, AS342)))), """")"),"")</f>
        <v/>
      </c>
      <c r="AX342" s="28" t="s">
        <v>142</v>
      </c>
      <c r="AY342" s="28" t="str">
        <f>IFERROR(__xludf.DUMMYFUNCTION("TEXTJOIN("", "", TRUE, FILTER(Validations!$Y$2:$Y$100, ISNUMBER(SEARCH(Validations!$X$2:$X$100, AX342))))"),"V, S")</f>
        <v>V, S</v>
      </c>
      <c r="AZ342" s="27"/>
      <c r="BA342" s="22"/>
      <c r="BB342" s="22"/>
      <c r="BC342" s="22"/>
      <c r="BD342" s="22"/>
      <c r="BE342" s="27"/>
      <c r="BF342" s="22"/>
      <c r="BG342" s="27"/>
      <c r="BH342" s="27"/>
      <c r="BI342" s="12" t="str">
        <f>IFERROR(__xludf.DUMMYFUNCTION("IFERROR(TEXTJOIN("", "", TRUE, FILTER(SRD!$A$2:$A$1000, EXACT(SRD!$A$2:$A$1000, J342))), """")"),"")</f>
        <v/>
      </c>
      <c r="BJ342" s="29"/>
      <c r="BK342" s="29"/>
    </row>
    <row r="343" ht="15.75" customHeight="1">
      <c r="A343" s="30" t="s">
        <v>1643</v>
      </c>
      <c r="B343" s="22"/>
      <c r="C343" s="16"/>
      <c r="D343" s="16" t="s">
        <v>1644</v>
      </c>
      <c r="E343" s="16"/>
      <c r="F343" s="32" t="s">
        <v>985</v>
      </c>
      <c r="G343" s="50" t="s">
        <v>1594</v>
      </c>
      <c r="H343" s="16" t="s">
        <v>85</v>
      </c>
      <c r="I343" s="16" t="str">
        <f t="array" ref="I343">INDEX(Validations!$C$2:$C$100, MATCH(TRUE, ISNUMBER(SEARCH(Validations!$B$2:$B$100, H343)), 0))</f>
        <v>T</v>
      </c>
      <c r="J343" s="17" t="s">
        <v>1645</v>
      </c>
      <c r="K343" s="18"/>
      <c r="L343" s="17"/>
      <c r="M343" s="17"/>
      <c r="N343" s="27"/>
      <c r="O343" s="17"/>
      <c r="P343" s="21"/>
      <c r="Q343" s="21"/>
      <c r="R343" s="22"/>
      <c r="S343" s="17" t="str">
        <f>IFERROR(__xludf.DUMMYFUNCTION("IFERROR(REGEXEXTRACT(J343, ""(\d{1,3}[dD]\d{1,3})""), """")"),"")</f>
        <v/>
      </c>
      <c r="T343" s="17" t="str">
        <f>IFERROR(__xludf.DUMMYFUNCTION("IF(COUNTIF(ARRAYFORMULA(LOWER(Validations!$O$2:$O$100)), LOWER(REGEXEXTRACT(J343, ""\d{1,3}[dD]\d{1,3}\s+(\w+)"")))&gt;0, REGEXEXTRACT(J343, ""\d{1,3}[dD]\d{1,3}\s+(\w+)""), """")"),"")</f>
        <v/>
      </c>
      <c r="U343" s="17" t="str">
        <f>IFERROR(__xludf.DUMMYFUNCTION("IF(COUNTIF(ARRAYFORMULA(LOWER(Validations!$P$2:$P$100)), LOWER(REGEXEXTRACT(J343, ""\d{1,3}[dD]\d{1,3}\s+(\w+)"")))&gt;0, REGEXEXTRACT(J343, ""\d{1,3}[dD]\d{1,3}\s+(\w+)""), """")"),"")</f>
        <v/>
      </c>
      <c r="V343" s="12" t="str">
        <f>IFERROR(__xludf.DUMMYFUNCTION("TEXTJOIN("", "", TRUE, FILTER(Validations!$L$2:$L$100, ISNUMBER(SEARCH(Validations!$L$2:$L$100, J343))))"),"")</f>
        <v/>
      </c>
      <c r="W343" s="12" t="str">
        <f>IFERROR(__xludf.DUMMYFUNCTION("IFERROR(TEXTJOIN("", "", TRUE, FILTER(Validations!$M$2:$M$100, ISNUMBER(SEARCH(Validations!$M$2:$M$100 &amp; "" saving throw"", J343)))), """")"),"Constitution")</f>
        <v>Constitution</v>
      </c>
      <c r="X343" s="12"/>
      <c r="Y343" s="12"/>
      <c r="Z343" s="12" t="str">
        <f>IFERROR(__xludf.DUMMYFUNCTION("IFERROR(TEXTJOIN("", "", TRUE, FILTER(Validations!$N$2:$N$100, ISNUMBER(SEARCH(Validations!$N$2:$N$100 &amp; "" check"", J343)))), """")"),"Arcana")</f>
        <v>Arcana</v>
      </c>
      <c r="AA343" s="12" t="str">
        <f>IFERROR(__xludf.DUMMYFUNCTION("IFERROR(TEXTJOIN("", "", TRUE, FILTER(Validations!$N$2:$N$100, ISNUMBER(SEARCH(Validations!$N$2:$N$100 &amp; "" check"", W343)))), """")"),"")</f>
        <v/>
      </c>
      <c r="AB343" s="23" t="str">
        <f>IFERROR(__xludf.DUMMYFUNCTION("IFERROR(CONCATENATE(IF(ISNUMBER(SEARCH(Validations!$M$2:$M$100 &amp; "" spell save"", J343)),""Spell Save"",""""), REGEXEXTRACT(J343, ""DC (\d+)"")), """")"),"18")</f>
        <v>18</v>
      </c>
      <c r="AC343" s="24" t="b">
        <v>0</v>
      </c>
      <c r="AD343" s="24" t="b">
        <v>0</v>
      </c>
      <c r="AE343" s="36" t="s">
        <v>69</v>
      </c>
      <c r="AF343" s="25">
        <f>IFERROR(__xludf.DUMMYFUNCTION("IFERROR(VALUE(REGEXEXTRACT(AE343, ""\d+"")), 1)"),1.0)</f>
        <v>1</v>
      </c>
      <c r="AG343" s="12" t="str">
        <f>IFERROR(__xludf.DUMMYFUNCTION("IF(
  ISNUMBER(SEARCH(""Bonus Action"", AE343)),
  ""Bonus Action"",
  IF(
    ISNUMBER(SEARCH(""Reaction"", AE343)),
    ""Reaction"",
    IF(
      ISNUMBER(SEARCH(""Action"", AE343)),
      ""Action"",
      TEXTJOIN("", "", TRUE, FILTER(Validations!$S"&amp;"$2:$S$100, ISNUMBER(SEARCH(Validations!$S$2:$S$100, AE343))))
    )
  )
)"),"Action")</f>
        <v>Action</v>
      </c>
      <c r="AH343" s="36"/>
      <c r="AI343" s="20" t="s">
        <v>296</v>
      </c>
      <c r="AJ343" s="26" t="str">
        <f>IFERROR(__xludf.DUMMYFUNCTION("TEXTJOIN("", "", TRUE, FILTER(Validations!$T$2:$T$100, ISNUMBER(SEARCH(Validations!$T$2:$T$100, AI343))))"),"")</f>
        <v/>
      </c>
      <c r="AK343" s="26">
        <f>IFERROR(__xludf.DUMMYFUNCTION("IFERROR(VALUE(REGEXEXTRACT(AI343, ""\d+"")), """")"),1.0)</f>
        <v>1</v>
      </c>
      <c r="AL343" s="26" t="str">
        <f>IFERROR(__xludf.DUMMYFUNCTION("TEXTJOIN("", "", TRUE, FILTER(Validations!$U$2:$U$100, ISNUMBER(SEARCH(Validations!$U$2:$U$100, AI343))))"),"Hours")</f>
        <v>Hours</v>
      </c>
      <c r="AM343" s="24" t="b">
        <f t="shared" si="1"/>
        <v>0</v>
      </c>
      <c r="AN343" s="24" t="b">
        <v>1</v>
      </c>
      <c r="AO343" s="22" t="s">
        <v>112</v>
      </c>
      <c r="AP343" s="12" t="str">
        <f>IFERROR(__xludf.DUMMYFUNCTION("IF(TEXTJOIN("", "", TRUE, FILTER(Validations!$Q$2:$Q$100, ISNUMBER(SEARCH(Validations!$Q$2:$Q$100, AO343)))) = """", Validations!$Q$2, TEXTJOIN("", "", TRUE, FILTER(Validations!$Q$2:$Q$100, ISNUMBER(SEARCH(Validations!$Q$2:$Q$100, AO343)))))"),"Point")</f>
        <v>Point</v>
      </c>
      <c r="AQ343" s="12">
        <f>IFERROR(__xludf.DUMMYFUNCTION("IFERROR(VALUE(REGEXEXTRACT(AO343, ""\d+"")), """")"),30.0)</f>
        <v>30</v>
      </c>
      <c r="AR343" s="12" t="str">
        <f>IFERROR(__xludf.DUMMYFUNCTION("TEXTJOIN("", "", TRUE, FILTER(Validations!$R$2:$R$100, ISNUMBER(SEARCH(Validations!$R$2:$R$100, AO343))))"),"Feet")</f>
        <v>Feet</v>
      </c>
      <c r="AS343" s="27"/>
      <c r="AT343" s="12" t="str">
        <f>IFERROR(__xludf.DUMMYFUNCTION("IFERROR(TEXTJOIN("", "", TRUE, FILTER(Validations!$I$2:$I$100, ISNUMBER(SEARCH(Validations!$I$2:$I$100, AS343)))), """")"),"")</f>
        <v/>
      </c>
      <c r="AU343" s="16" t="str">
        <f t="array" ref="AU343">IFERROR(INDEX(Validations!$J$2:$J$100, MATCH(TRUE, ISNUMBER(SEARCH(Validations!$I$2:$I$100, AT343)), 0)), "")</f>
        <v/>
      </c>
      <c r="AV343" s="12" t="str">
        <f>IFERROR(__xludf.DUMMYFUNCTION("IFERROR(VALUE(REGEXEXTRACT(AS343, ""\d+"")), """")"),"")</f>
        <v/>
      </c>
      <c r="AW343" s="12" t="str">
        <f>IFERROR(__xludf.DUMMYFUNCTION("IFERROR(TEXTJOIN("", "", TRUE, FILTER(Validations!$Q$2:$Q$100, ISNUMBER(SEARCH(Validations!$Q$2:$Q$100, AS343)))), """")"),"")</f>
        <v/>
      </c>
      <c r="AX343" s="28" t="s">
        <v>152</v>
      </c>
      <c r="AY343" s="28" t="str">
        <f>IFERROR(__xludf.DUMMYFUNCTION("TEXTJOIN("", "", TRUE, FILTER(Validations!$Y$2:$Y$100, ISNUMBER(SEARCH(Validations!$X$2:$X$100, AX343))))"),"V, S, R")</f>
        <v>V, S, R</v>
      </c>
      <c r="AZ343" s="20" t="s">
        <v>1646</v>
      </c>
      <c r="BA343" s="22"/>
      <c r="BB343" s="22"/>
      <c r="BC343" s="22"/>
      <c r="BD343" s="22"/>
      <c r="BE343" s="27"/>
      <c r="BF343" s="22"/>
      <c r="BG343" s="27"/>
      <c r="BH343" s="27"/>
      <c r="BI343" s="12" t="str">
        <f>IFERROR(__xludf.DUMMYFUNCTION("IFERROR(TEXTJOIN("", "", TRUE, FILTER(SRD!$A$2:$A$1000, EXACT(SRD!$A$2:$A$1000, J343))), """")"),"")</f>
        <v/>
      </c>
      <c r="BJ343" s="29"/>
      <c r="BK343" s="29"/>
    </row>
    <row r="344" ht="15.75" customHeight="1">
      <c r="A344" s="38" t="s">
        <v>1647</v>
      </c>
      <c r="B344" s="12"/>
      <c r="C344" s="13"/>
      <c r="D344" s="13" t="s">
        <v>727</v>
      </c>
      <c r="E344" s="13"/>
      <c r="F344" s="14" t="s">
        <v>649</v>
      </c>
      <c r="G344" s="50" t="s">
        <v>1594</v>
      </c>
      <c r="H344" s="31" t="s">
        <v>76</v>
      </c>
      <c r="I344" s="16" t="str">
        <f t="array" ref="I344">INDEX(Validations!$C$2:$C$100, MATCH(TRUE, ISNUMBER(SEARCH(Validations!$B$2:$B$100, H344)), 0))</f>
        <v>V</v>
      </c>
      <c r="J344" s="17" t="s">
        <v>1648</v>
      </c>
      <c r="K344" s="51"/>
      <c r="L344" s="17"/>
      <c r="M344" s="52"/>
      <c r="N344" s="20" t="s">
        <v>1649</v>
      </c>
      <c r="O344" s="17" t="s">
        <v>1650</v>
      </c>
      <c r="P344" s="21"/>
      <c r="Q344" s="21"/>
      <c r="R344" s="36" t="s">
        <v>1651</v>
      </c>
      <c r="S344" s="17" t="str">
        <f>IFERROR(__xludf.DUMMYFUNCTION("IFERROR(REGEXEXTRACT(J344, ""(\d{1,3}[dD]\d{1,3})""), """")"),"8d6")</f>
        <v>8d6</v>
      </c>
      <c r="T344" s="17" t="str">
        <f>IFERROR(__xludf.DUMMYFUNCTION("IF(COUNTIF(ARRAYFORMULA(LOWER(Validations!$O$2:$O$100)), LOWER(REGEXEXTRACT(J344, ""\d{1,3}[dD]\d{1,3}\s+(\w+)"")))&gt;0, REGEXEXTRACT(J344, ""\d{1,3}[dD]\d{1,3}\s+(\w+)""), """")"),"cognitive")</f>
        <v>cognitive</v>
      </c>
      <c r="U344" s="17" t="str">
        <f>IFERROR(__xludf.DUMMYFUNCTION("IF(COUNTIF(ARRAYFORMULA(LOWER(Validations!$P$2:$P$100)), LOWER(REGEXEXTRACT(J344, ""\d{1,3}[dD]\d{1,3}\s+(\w+)"")))&gt;0, REGEXEXTRACT(J344, ""\d{1,3}[dD]\d{1,3}\s+(\w+)""), """")"),"")</f>
        <v/>
      </c>
      <c r="V344" s="12" t="str">
        <f>IFERROR(__xludf.DUMMYFUNCTION("TEXTJOIN("", "", TRUE, FILTER(Validations!$L$2:$L$100, ISNUMBER(SEARCH(Validations!$L$2:$L$100, J344))))"),"Stunned")</f>
        <v>Stunned</v>
      </c>
      <c r="W344" s="12" t="str">
        <f>IFERROR(__xludf.DUMMYFUNCTION("IFERROR(TEXTJOIN("", "", TRUE, FILTER(Validations!$M$2:$M$100, ISNUMBER(SEARCH(Validations!$M$2:$M$100 &amp; "" saving throw"", J344)))), """")"),"Intelligence")</f>
        <v>Intelligence</v>
      </c>
      <c r="X344" s="12"/>
      <c r="Y344" s="12"/>
      <c r="Z344" s="12" t="str">
        <f>IFERROR(__xludf.DUMMYFUNCTION("IFERROR(TEXTJOIN("", "", TRUE, FILTER(Validations!$N$2:$N$100, ISNUMBER(SEARCH(Validations!$N$2:$N$100 &amp; "" check"", J344)))), """")"),"")</f>
        <v/>
      </c>
      <c r="AA344" s="12" t="str">
        <f>IFERROR(__xludf.DUMMYFUNCTION("IFERROR(TEXTJOIN("", "", TRUE, FILTER(Validations!$N$2:$N$100, ISNUMBER(SEARCH(Validations!$N$2:$N$100 &amp; "" check"", W344)))), """")"),"")</f>
        <v/>
      </c>
      <c r="AB344" s="23" t="str">
        <f>IFERROR(__xludf.DUMMYFUNCTION("IFERROR(CONCATENATE(IF(ISNUMBER(SEARCH(Validations!$M$2:$M$100 &amp; "" spell save"", J344)),""Spell Save"",""""), REGEXEXTRACT(J344, ""DC (\d+)"")), """")"),"")</f>
        <v/>
      </c>
      <c r="AC344" s="24" t="b">
        <v>0</v>
      </c>
      <c r="AD344" s="24" t="b">
        <v>0</v>
      </c>
      <c r="AE344" s="12" t="s">
        <v>69</v>
      </c>
      <c r="AF344" s="25">
        <f>IFERROR(__xludf.DUMMYFUNCTION("IFERROR(VALUE(REGEXEXTRACT(AE344, ""\d+"")), 1)"),1.0)</f>
        <v>1</v>
      </c>
      <c r="AG344" s="12" t="str">
        <f>IFERROR(__xludf.DUMMYFUNCTION("IF(
  ISNUMBER(SEARCH(""Bonus Action"", AE344)),
  ""Bonus Action"",
  IF(
    ISNUMBER(SEARCH(""Reaction"", AE344)),
    ""Reaction"",
    IF(
      ISNUMBER(SEARCH(""Action"", AE344)),
      ""Action"",
      TEXTJOIN("", "", TRUE, FILTER(Validations!$S"&amp;"$2:$S$100, ISNUMBER(SEARCH(Validations!$S$2:$S$100, AE344))))
    )
  )
)"),"Action")</f>
        <v>Action</v>
      </c>
      <c r="AH344" s="12"/>
      <c r="AI344" s="26" t="s">
        <v>70</v>
      </c>
      <c r="AJ344" s="26" t="str">
        <f>IFERROR(__xludf.DUMMYFUNCTION("TEXTJOIN("", "", TRUE, FILTER(Validations!$T$2:$T$100, ISNUMBER(SEARCH(Validations!$T$2:$T$100, AI344))))"),"Instantaneous")</f>
        <v>Instantaneous</v>
      </c>
      <c r="AK344" s="26" t="str">
        <f>IFERROR(__xludf.DUMMYFUNCTION("IFERROR(VALUE(REGEXEXTRACT(AI344, ""\d+"")), """")"),"")</f>
        <v/>
      </c>
      <c r="AL344" s="26" t="str">
        <f>IFERROR(__xludf.DUMMYFUNCTION("TEXTJOIN("", "", TRUE, FILTER(Validations!$U$2:$U$100, ISNUMBER(SEARCH(Validations!$U$2:$U$100, AI344))))"),"")</f>
        <v/>
      </c>
      <c r="AM344" s="24" t="b">
        <f t="shared" si="1"/>
        <v>0</v>
      </c>
      <c r="AN344" s="24" t="b">
        <v>0</v>
      </c>
      <c r="AO344" s="12" t="s">
        <v>502</v>
      </c>
      <c r="AP344" s="12" t="str">
        <f>IFERROR(__xludf.DUMMYFUNCTION("IF(TEXTJOIN("", "", TRUE, FILTER(Validations!$Q$2:$Q$100, ISNUMBER(SEARCH(Validations!$Q$2:$Q$100, AO344)))) = """", Validations!$Q$2, TEXTJOIN("", "", TRUE, FILTER(Validations!$Q$2:$Q$100, ISNUMBER(SEARCH(Validations!$Q$2:$Q$100, AO344)))))"),"Point")</f>
        <v>Point</v>
      </c>
      <c r="AQ344" s="12">
        <f>IFERROR(__xludf.DUMMYFUNCTION("IFERROR(VALUE(REGEXEXTRACT(AO344, ""\d+"")), """")"),120.0)</f>
        <v>120</v>
      </c>
      <c r="AR344" s="12" t="str">
        <f>IFERROR(__xludf.DUMMYFUNCTION("TEXTJOIN("", "", TRUE, FILTER(Validations!$R$2:$R$100, ISNUMBER(SEARCH(Validations!$R$2:$R$100, AO344))))"),"Feet")</f>
        <v>Feet</v>
      </c>
      <c r="AS344" s="26" t="s">
        <v>1652</v>
      </c>
      <c r="AT344" s="12" t="str">
        <f>IFERROR(__xludf.DUMMYFUNCTION("IFERROR(TEXTJOIN("", "", TRUE, FILTER(Validations!$I$2:$I$100, ISNUMBER(SEARCH(Validations!$I$2:$I$100, AS344)))), """")"),"Sphere")</f>
        <v>Sphere</v>
      </c>
      <c r="AU344" s="16" t="str">
        <f t="array" ref="AU344">IFERROR(INDEX(Validations!$J$2:$J$100, MATCH(TRUE, ISNUMBER(SEARCH(Validations!$I$2:$I$100, AT344)), 0)), "")</f>
        <v>S</v>
      </c>
      <c r="AV344" s="12">
        <f>IFERROR(__xludf.DUMMYFUNCTION("IFERROR(VALUE(REGEXEXTRACT(AS344, ""\d+"")), """")"),30.0)</f>
        <v>30</v>
      </c>
      <c r="AW344" s="12" t="str">
        <f>IFERROR(__xludf.DUMMYFUNCTION("IFERROR(TEXTJOIN("", "", TRUE, FILTER(Validations!$Q$2:$Q$100, ISNUMBER(SEARCH(Validations!$Q$2:$Q$100, AS344)))), """")"),"Radius, Sphere")</f>
        <v>Radius, Sphere</v>
      </c>
      <c r="AX344" s="28" t="s">
        <v>142</v>
      </c>
      <c r="AY344" s="28" t="str">
        <f>IFERROR(__xludf.DUMMYFUNCTION("TEXTJOIN("", "", TRUE, FILTER(Validations!$Y$2:$Y$100, ISNUMBER(SEARCH(Validations!$X$2:$X$100, AX344))))"),"V, S")</f>
        <v>V, S</v>
      </c>
      <c r="AZ344" s="26" t="s">
        <v>1653</v>
      </c>
      <c r="BA344" s="12"/>
      <c r="BB344" s="22"/>
      <c r="BC344" s="22"/>
      <c r="BD344" s="22"/>
      <c r="BE344" s="27"/>
      <c r="BF344" s="22"/>
      <c r="BG344" s="27"/>
      <c r="BH344" s="27"/>
      <c r="BI344" s="12" t="str">
        <f>IFERROR(__xludf.DUMMYFUNCTION("IFERROR(TEXTJOIN("", "", TRUE, FILTER(SRD!$A$2:$A$1000, EXACT(SRD!$A$2:$A$1000, J344))), """")"),"")</f>
        <v/>
      </c>
      <c r="BJ344" s="29"/>
      <c r="BK344" s="29"/>
    </row>
    <row r="345" ht="15.75" customHeight="1">
      <c r="A345" s="38" t="s">
        <v>1654</v>
      </c>
      <c r="B345" s="12"/>
      <c r="C345" s="16"/>
      <c r="D345" s="16" t="s">
        <v>1655</v>
      </c>
      <c r="E345" s="16"/>
      <c r="F345" s="32" t="s">
        <v>515</v>
      </c>
      <c r="G345" s="50" t="s">
        <v>1594</v>
      </c>
      <c r="H345" s="16" t="s">
        <v>103</v>
      </c>
      <c r="I345" s="16" t="str">
        <f t="array" ref="I345">INDEX(Validations!$C$2:$C$100, MATCH(TRUE, ISNUMBER(SEARCH(Validations!$B$2:$B$100, H345)), 0))</f>
        <v>C</v>
      </c>
      <c r="J345" s="17" t="s">
        <v>1656</v>
      </c>
      <c r="K345" s="18" t="s">
        <v>1657</v>
      </c>
      <c r="L345" s="17"/>
      <c r="M345" s="17"/>
      <c r="N345" s="27"/>
      <c r="O345" s="17"/>
      <c r="P345" s="21"/>
      <c r="Q345" s="21"/>
      <c r="R345" s="22"/>
      <c r="S345" s="17" t="str">
        <f>IFERROR(__xludf.DUMMYFUNCTION("IFERROR(REGEXEXTRACT(J345, ""(\d{1,3}[dD]\d{1,3})""), """")"),"")</f>
        <v/>
      </c>
      <c r="T345" s="17" t="str">
        <f>IFERROR(__xludf.DUMMYFUNCTION("IF(COUNTIF(ARRAYFORMULA(LOWER(Validations!$O$2:$O$100)), LOWER(REGEXEXTRACT(J345, ""\d{1,3}[dD]\d{1,3}\s+(\w+)"")))&gt;0, REGEXEXTRACT(J345, ""\d{1,3}[dD]\d{1,3}\s+(\w+)""), """")"),"")</f>
        <v/>
      </c>
      <c r="U345" s="17" t="str">
        <f>IFERROR(__xludf.DUMMYFUNCTION("IF(COUNTIF(ARRAYFORMULA(LOWER(Validations!$P$2:$P$100)), LOWER(REGEXEXTRACT(J345, ""\d{1,3}[dD]\d{1,3}\s+(\w+)"")))&gt;0, REGEXEXTRACT(J345, ""\d{1,3}[dD]\d{1,3}\s+(\w+)""), """")"),"")</f>
        <v/>
      </c>
      <c r="V345" s="12" t="str">
        <f>IFERROR(__xludf.DUMMYFUNCTION("TEXTJOIN("", "", TRUE, FILTER(Validations!$L$2:$L$100, ISNUMBER(SEARCH(Validations!$L$2:$L$100, J345))))"),"")</f>
        <v/>
      </c>
      <c r="W345" s="12" t="str">
        <f>IFERROR(__xludf.DUMMYFUNCTION("IFERROR(TEXTJOIN("", "", TRUE, FILTER(Validations!$M$2:$M$100, ISNUMBER(SEARCH(Validations!$M$2:$M$100 &amp; "" saving throw"", J345)))), """")"),"")</f>
        <v/>
      </c>
      <c r="X345" s="12"/>
      <c r="Y345" s="12"/>
      <c r="Z345" s="12" t="str">
        <f>IFERROR(__xludf.DUMMYFUNCTION("IFERROR(TEXTJOIN("", "", TRUE, FILTER(Validations!$N$2:$N$100, ISNUMBER(SEARCH(Validations!$N$2:$N$100 &amp; "" check"", J345)))), """")"),"")</f>
        <v/>
      </c>
      <c r="AA345" s="12" t="str">
        <f>IFERROR(__xludf.DUMMYFUNCTION("IFERROR(TEXTJOIN("", "", TRUE, FILTER(Validations!$N$2:$N$100, ISNUMBER(SEARCH(Validations!$N$2:$N$100 &amp; "" check"", W345)))), """")"),"")</f>
        <v/>
      </c>
      <c r="AB345" s="23" t="str">
        <f>IFERROR(__xludf.DUMMYFUNCTION("IFERROR(CONCATENATE(IF(ISNUMBER(SEARCH(Validations!$M$2:$M$100 &amp; "" spell save"", J345)),""Spell Save"",""""), REGEXEXTRACT(J345, ""DC (\d+)"")), """")"),"")</f>
        <v/>
      </c>
      <c r="AC345" s="24" t="b">
        <v>0</v>
      </c>
      <c r="AD345" s="24" t="b">
        <v>0</v>
      </c>
      <c r="AE345" s="36" t="s">
        <v>134</v>
      </c>
      <c r="AF345" s="25">
        <f>IFERROR(__xludf.DUMMYFUNCTION("IFERROR(VALUE(REGEXEXTRACT(AE345, ""\d+"")), 1)"),10.0)</f>
        <v>10</v>
      </c>
      <c r="AG345" s="12" t="str">
        <f>IFERROR(__xludf.DUMMYFUNCTION("IF(
  ISNUMBER(SEARCH(""Bonus Action"", AE345)),
  ""Bonus Action"",
  IF(
    ISNUMBER(SEARCH(""Reaction"", AE345)),
    ""Reaction"",
    IF(
      ISNUMBER(SEARCH(""Action"", AE345)),
      ""Action"",
      TEXTJOIN("", "", TRUE, FILTER(Validations!$S"&amp;"$2:$S$100, ISNUMBER(SEARCH(Validations!$S$2:$S$100, AE345))))
    )
  )
)"),"Minutes")</f>
        <v>Minutes</v>
      </c>
      <c r="AH345" s="22"/>
      <c r="AI345" s="20" t="s">
        <v>296</v>
      </c>
      <c r="AJ345" s="26" t="str">
        <f>IFERROR(__xludf.DUMMYFUNCTION("TEXTJOIN("", "", TRUE, FILTER(Validations!$T$2:$T$100, ISNUMBER(SEARCH(Validations!$T$2:$T$100, AI345))))"),"")</f>
        <v/>
      </c>
      <c r="AK345" s="26">
        <f>IFERROR(__xludf.DUMMYFUNCTION("IFERROR(VALUE(REGEXEXTRACT(AI345, ""\d+"")), """")"),1.0)</f>
        <v>1</v>
      </c>
      <c r="AL345" s="26" t="str">
        <f>IFERROR(__xludf.DUMMYFUNCTION("TEXTJOIN("", "", TRUE, FILTER(Validations!$U$2:$U$100, ISNUMBER(SEARCH(Validations!$U$2:$U$100, AI345))))"),"Hours")</f>
        <v>Hours</v>
      </c>
      <c r="AM345" s="24" t="b">
        <f t="shared" si="1"/>
        <v>0</v>
      </c>
      <c r="AN345" s="24" t="b">
        <v>0</v>
      </c>
      <c r="AO345" s="36" t="s">
        <v>243</v>
      </c>
      <c r="AP345" s="12" t="str">
        <f>IFERROR(__xludf.DUMMYFUNCTION("IF(TEXTJOIN("", "", TRUE, FILTER(Validations!$Q$2:$Q$100, ISNUMBER(SEARCH(Validations!$Q$2:$Q$100, AO345)))) = """", Validations!$Q$2, TEXTJOIN("", "", TRUE, FILTER(Validations!$Q$2:$Q$100, ISNUMBER(SEARCH(Validations!$Q$2:$Q$100, AO345)))))"),"Radius")</f>
        <v>Radius</v>
      </c>
      <c r="AQ345" s="12">
        <f>IFERROR(__xludf.DUMMYFUNCTION("IFERROR(VALUE(REGEXEXTRACT(AO345, ""\d+"")), """")"),30.0)</f>
        <v>30</v>
      </c>
      <c r="AR345" s="12" t="str">
        <f>IFERROR(__xludf.DUMMYFUNCTION("TEXTJOIN("", "", TRUE, FILTER(Validations!$R$2:$R$100, ISNUMBER(SEARCH(Validations!$R$2:$R$100, AO345))))"),"Self, Feet")</f>
        <v>Self, Feet</v>
      </c>
      <c r="AS345" s="27"/>
      <c r="AT345" s="12" t="str">
        <f>IFERROR(__xludf.DUMMYFUNCTION("IFERROR(TEXTJOIN("", "", TRUE, FILTER(Validations!$I$2:$I$100, ISNUMBER(SEARCH(Validations!$I$2:$I$100, AS345)))), """")"),"")</f>
        <v/>
      </c>
      <c r="AU345" s="16" t="str">
        <f t="array" ref="AU345">IFERROR(INDEX(Validations!$J$2:$J$100, MATCH(TRUE, ISNUMBER(SEARCH(Validations!$I$2:$I$100, AT345)), 0)), "")</f>
        <v/>
      </c>
      <c r="AV345" s="12" t="str">
        <f>IFERROR(__xludf.DUMMYFUNCTION("IFERROR(VALUE(REGEXEXTRACT(AS345, ""\d+"")), """")"),"")</f>
        <v/>
      </c>
      <c r="AW345" s="12" t="str">
        <f>IFERROR(__xludf.DUMMYFUNCTION("IFERROR(TEXTJOIN("", "", TRUE, FILTER(Validations!$Q$2:$Q$100, ISNUMBER(SEARCH(Validations!$Q$2:$Q$100, AS345)))), """")"),"")</f>
        <v/>
      </c>
      <c r="AX345" s="28" t="s">
        <v>152</v>
      </c>
      <c r="AY345" s="28" t="str">
        <f>IFERROR(__xludf.DUMMYFUNCTION("TEXTJOIN("", "", TRUE, FILTER(Validations!$Y$2:$Y$100, ISNUMBER(SEARCH(Validations!$X$2:$X$100, AX345))))"),"V, S, R")</f>
        <v>V, S, R</v>
      </c>
      <c r="AZ345" s="20" t="s">
        <v>1658</v>
      </c>
      <c r="BA345" s="22"/>
      <c r="BB345" s="22"/>
      <c r="BC345" s="22"/>
      <c r="BD345" s="22"/>
      <c r="BE345" s="27"/>
      <c r="BF345" s="22"/>
      <c r="BG345" s="27"/>
      <c r="BH345" s="27"/>
      <c r="BI345" s="12" t="str">
        <f>IFERROR(__xludf.DUMMYFUNCTION("IFERROR(TEXTJOIN("", "", TRUE, FILTER(SRD!$A$2:$A$1000, EXACT(SRD!$A$2:$A$1000, J345))), """")"),"")</f>
        <v/>
      </c>
      <c r="BJ345" s="29"/>
      <c r="BK345" s="29"/>
    </row>
    <row r="346" ht="15.75" customHeight="1">
      <c r="A346" s="30" t="s">
        <v>1659</v>
      </c>
      <c r="B346" s="22"/>
      <c r="C346" s="31"/>
      <c r="D346" s="31" t="s">
        <v>74</v>
      </c>
      <c r="E346" s="31"/>
      <c r="F346" s="40" t="s">
        <v>515</v>
      </c>
      <c r="G346" s="50" t="s">
        <v>1594</v>
      </c>
      <c r="H346" s="16" t="s">
        <v>103</v>
      </c>
      <c r="I346" s="16" t="str">
        <f t="array" ref="I346">INDEX(Validations!$C$2:$C$100, MATCH(TRUE, ISNUMBER(SEARCH(Validations!$B$2:$B$100, H346)), 0))</f>
        <v>C</v>
      </c>
      <c r="J346" s="17" t="s">
        <v>1660</v>
      </c>
      <c r="K346" s="18"/>
      <c r="L346" s="17"/>
      <c r="M346" s="17"/>
      <c r="N346" s="27"/>
      <c r="O346" s="17"/>
      <c r="P346" s="21"/>
      <c r="Q346" s="21"/>
      <c r="R346" s="22"/>
      <c r="S346" s="17" t="str">
        <f>IFERROR(__xludf.DUMMYFUNCTION("IFERROR(REGEXEXTRACT(J346, ""(\d{1,3}[dD]\d{1,3})""), """")"),"")</f>
        <v/>
      </c>
      <c r="T346" s="17" t="str">
        <f>IFERROR(__xludf.DUMMYFUNCTION("IF(COUNTIF(ARRAYFORMULA(LOWER(Validations!$O$2:$O$100)), LOWER(REGEXEXTRACT(J346, ""\d{1,3}[dD]\d{1,3}\s+(\w+)"")))&gt;0, REGEXEXTRACT(J346, ""\d{1,3}[dD]\d{1,3}\s+(\w+)""), """")"),"")</f>
        <v/>
      </c>
      <c r="U346" s="17" t="str">
        <f>IFERROR(__xludf.DUMMYFUNCTION("IF(COUNTIF(ARRAYFORMULA(LOWER(Validations!$P$2:$P$100)), LOWER(REGEXEXTRACT(J346, ""\d{1,3}[dD]\d{1,3}\s+(\w+)"")))&gt;0, REGEXEXTRACT(J346, ""\d{1,3}[dD]\d{1,3}\s+(\w+)""), """")"),"")</f>
        <v/>
      </c>
      <c r="V346" s="12" t="str">
        <f>IFERROR(__xludf.DUMMYFUNCTION("TEXTJOIN("", "", TRUE, FILTER(Validations!$L$2:$L$100, ISNUMBER(SEARCH(Validations!$L$2:$L$100, J346))))"),"")</f>
        <v/>
      </c>
      <c r="W346" s="12" t="str">
        <f>IFERROR(__xludf.DUMMYFUNCTION("IFERROR(TEXTJOIN("", "", TRUE, FILTER(Validations!$M$2:$M$100, ISNUMBER(SEARCH(Validations!$M$2:$M$100 &amp; "" saving throw"", J346)))), """")"),"Wisdom")</f>
        <v>Wisdom</v>
      </c>
      <c r="X346" s="12"/>
      <c r="Y346" s="12"/>
      <c r="Z346" s="12" t="str">
        <f>IFERROR(__xludf.DUMMYFUNCTION("IFERROR(TEXTJOIN("", "", TRUE, FILTER(Validations!$N$2:$N$100, ISNUMBER(SEARCH(Validations!$N$2:$N$100 &amp; "" check"", J346)))), """")"),"")</f>
        <v/>
      </c>
      <c r="AA346" s="12" t="str">
        <f>IFERROR(__xludf.DUMMYFUNCTION("IFERROR(TEXTJOIN("", "", TRUE, FILTER(Validations!$N$2:$N$100, ISNUMBER(SEARCH(Validations!$N$2:$N$100 &amp; "" check"", W346)))), """")"),"")</f>
        <v/>
      </c>
      <c r="AB346" s="23" t="str">
        <f>IFERROR(__xludf.DUMMYFUNCTION("IFERROR(CONCATENATE(IF(ISNUMBER(SEARCH(Validations!$M$2:$M$100 &amp; "" spell save"", J346)),""Spell Save"",""""), REGEXEXTRACT(J346, ""DC (\d+)"")), """")"),"")</f>
        <v/>
      </c>
      <c r="AC346" s="24" t="b">
        <v>0</v>
      </c>
      <c r="AD346" s="24" t="b">
        <v>0</v>
      </c>
      <c r="AE346" s="36" t="s">
        <v>92</v>
      </c>
      <c r="AF346" s="25">
        <f>IFERROR(__xludf.DUMMYFUNCTION("IFERROR(VALUE(REGEXEXTRACT(AE346, ""\d+"")), 1)"),1.0)</f>
        <v>1</v>
      </c>
      <c r="AG346" s="12" t="str">
        <f>IFERROR(__xludf.DUMMYFUNCTION("IF(
  ISNUMBER(SEARCH(""Bonus Action"", AE346)),
  ""Bonus Action"",
  IF(
    ISNUMBER(SEARCH(""Reaction"", AE346)),
    ""Reaction"",
    IF(
      ISNUMBER(SEARCH(""Action"", AE346)),
      ""Action"",
      TEXTJOIN("", "", TRUE, FILTER(Validations!$S"&amp;"$2:$S$100, ISNUMBER(SEARCH(Validations!$S$2:$S$100, AE346))))
    )
  )
)"),"Minutes")</f>
        <v>Minutes</v>
      </c>
      <c r="AH346" s="22"/>
      <c r="AI346" s="20" t="s">
        <v>92</v>
      </c>
      <c r="AJ346" s="26" t="str">
        <f>IFERROR(__xludf.DUMMYFUNCTION("TEXTJOIN("", "", TRUE, FILTER(Validations!$T$2:$T$100, ISNUMBER(SEARCH(Validations!$T$2:$T$100, AI346))))"),"")</f>
        <v/>
      </c>
      <c r="AK346" s="26">
        <f>IFERROR(__xludf.DUMMYFUNCTION("IFERROR(VALUE(REGEXEXTRACT(AI346, ""\d+"")), """")"),1.0)</f>
        <v>1</v>
      </c>
      <c r="AL346" s="26" t="str">
        <f>IFERROR(__xludf.DUMMYFUNCTION("TEXTJOIN("", "", TRUE, FILTER(Validations!$U$2:$U$100, ISNUMBER(SEARCH(Validations!$U$2:$U$100, AI346))))"),"Minutes")</f>
        <v>Minutes</v>
      </c>
      <c r="AM346" s="24" t="b">
        <f t="shared" si="1"/>
        <v>0</v>
      </c>
      <c r="AN346" s="24" t="b">
        <v>0</v>
      </c>
      <c r="AO346" s="22" t="s">
        <v>112</v>
      </c>
      <c r="AP346" s="12" t="str">
        <f>IFERROR(__xludf.DUMMYFUNCTION("IF(TEXTJOIN("", "", TRUE, FILTER(Validations!$Q$2:$Q$100, ISNUMBER(SEARCH(Validations!$Q$2:$Q$100, AO346)))) = """", Validations!$Q$2, TEXTJOIN("", "", TRUE, FILTER(Validations!$Q$2:$Q$100, ISNUMBER(SEARCH(Validations!$Q$2:$Q$100, AO346)))))"),"Point")</f>
        <v>Point</v>
      </c>
      <c r="AQ346" s="12">
        <f>IFERROR(__xludf.DUMMYFUNCTION("IFERROR(VALUE(REGEXEXTRACT(AO346, ""\d+"")), """")"),30.0)</f>
        <v>30</v>
      </c>
      <c r="AR346" s="12" t="str">
        <f>IFERROR(__xludf.DUMMYFUNCTION("TEXTJOIN("", "", TRUE, FILTER(Validations!$R$2:$R$100, ISNUMBER(SEARCH(Validations!$R$2:$R$100, AO346))))"),"Feet")</f>
        <v>Feet</v>
      </c>
      <c r="AS346" s="27"/>
      <c r="AT346" s="12" t="str">
        <f>IFERROR(__xludf.DUMMYFUNCTION("IFERROR(TEXTJOIN("", "", TRUE, FILTER(Validations!$I$2:$I$100, ISNUMBER(SEARCH(Validations!$I$2:$I$100, AS346)))), """")"),"")</f>
        <v/>
      </c>
      <c r="AU346" s="16" t="str">
        <f t="array" ref="AU346">IFERROR(INDEX(Validations!$J$2:$J$100, MATCH(TRUE, ISNUMBER(SEARCH(Validations!$I$2:$I$100, AT346)), 0)), "")</f>
        <v/>
      </c>
      <c r="AV346" s="12" t="str">
        <f>IFERROR(__xludf.DUMMYFUNCTION("IFERROR(VALUE(REGEXEXTRACT(AS346, ""\d+"")), """")"),"")</f>
        <v/>
      </c>
      <c r="AW346" s="12" t="str">
        <f>IFERROR(__xludf.DUMMYFUNCTION("IFERROR(TEXTJOIN("", "", TRUE, FILTER(Validations!$Q$2:$Q$100, ISNUMBER(SEARCH(Validations!$Q$2:$Q$100, AS346)))), """")"),"")</f>
        <v/>
      </c>
      <c r="AX346" s="28" t="s">
        <v>152</v>
      </c>
      <c r="AY346" s="28" t="str">
        <f>IFERROR(__xludf.DUMMYFUNCTION("TEXTJOIN("", "", TRUE, FILTER(Validations!$Y$2:$Y$100, ISNUMBER(SEARCH(Validations!$X$2:$X$100, AX346))))"),"V, S, R")</f>
        <v>V, S, R</v>
      </c>
      <c r="AZ346" s="20" t="s">
        <v>1661</v>
      </c>
      <c r="BA346" s="22"/>
      <c r="BB346" s="22"/>
      <c r="BC346" s="22"/>
      <c r="BD346" s="22"/>
      <c r="BE346" s="27"/>
      <c r="BF346" s="22"/>
      <c r="BG346" s="27"/>
      <c r="BH346" s="27"/>
      <c r="BI346" s="12" t="str">
        <f>IFERROR(__xludf.DUMMYFUNCTION("IFERROR(TEXTJOIN("", "", TRUE, FILTER(SRD!$A$2:$A$1000, EXACT(SRD!$A$2:$A$1000, J346))), """")"),"")</f>
        <v/>
      </c>
      <c r="BJ346" s="29"/>
      <c r="BK346" s="29"/>
    </row>
    <row r="347" ht="15.75" customHeight="1">
      <c r="A347" s="11" t="s">
        <v>1662</v>
      </c>
      <c r="B347" s="12"/>
      <c r="C347" s="16"/>
      <c r="D347" s="16" t="s">
        <v>538</v>
      </c>
      <c r="E347" s="16"/>
      <c r="F347" s="32" t="s">
        <v>1256</v>
      </c>
      <c r="G347" s="15" t="s">
        <v>1594</v>
      </c>
      <c r="H347" s="16" t="s">
        <v>76</v>
      </c>
      <c r="I347" s="16" t="str">
        <f t="array" ref="I347">INDEX(Validations!$C$2:$C$100, MATCH(TRUE, ISNUMBER(SEARCH(Validations!$B$2:$B$100, H347)), 0))</f>
        <v>V</v>
      </c>
      <c r="J347" s="17" t="s">
        <v>1663</v>
      </c>
      <c r="K347" s="18"/>
      <c r="L347" s="17"/>
      <c r="M347" s="17"/>
      <c r="N347" s="27"/>
      <c r="O347" s="17"/>
      <c r="P347" s="21"/>
      <c r="Q347" s="21"/>
      <c r="R347" s="22"/>
      <c r="S347" s="17" t="str">
        <f>IFERROR(__xludf.DUMMYFUNCTION("IFERROR(REGEXEXTRACT(J347, ""(\d{1,3}[dD]\d{1,3})""), """")"),"7d8")</f>
        <v>7d8</v>
      </c>
      <c r="T347" s="17" t="str">
        <f>IFERROR(__xludf.DUMMYFUNCTION("IF(COUNTIF(ARRAYFORMULA(LOWER(Validations!$O$2:$O$100)), LOWER(REGEXEXTRACT(J347, ""\d{1,3}[dD]\d{1,3}\s+(\w+)"")))&gt;0, REGEXEXTRACT(J347, ""\d{1,3}[dD]\d{1,3}\s+(\w+)""), """")"),"Chiaric")</f>
        <v>Chiaric</v>
      </c>
      <c r="U347" s="17" t="str">
        <f>IFERROR(__xludf.DUMMYFUNCTION("IF(COUNTIF(ARRAYFORMULA(LOWER(Validations!$P$2:$P$100)), LOWER(REGEXEXTRACT(J347, ""\d{1,3}[dD]\d{1,3}\s+(\w+)"")))&gt;0, REGEXEXTRACT(J347, ""\d{1,3}[dD]\d{1,3}\s+(\w+)""), """")"),"")</f>
        <v/>
      </c>
      <c r="V347" s="12" t="str">
        <f>IFERROR(__xludf.DUMMYFUNCTION("TEXTJOIN("", "", TRUE, FILTER(Validations!$L$2:$L$100, ISNUMBER(SEARCH(Validations!$L$2:$L$100, J347))))"),"Bleeding, Blinded")</f>
        <v>Bleeding, Blinded</v>
      </c>
      <c r="W347" s="12" t="str">
        <f>IFERROR(__xludf.DUMMYFUNCTION("IFERROR(TEXTJOIN("", "", TRUE, FILTER(Validations!$M$2:$M$100, ISNUMBER(SEARCH(Validations!$M$2:$M$100 &amp; "" saving throw"", J347)))), """")"),"Constitution")</f>
        <v>Constitution</v>
      </c>
      <c r="X347" s="12"/>
      <c r="Y347" s="12"/>
      <c r="Z347" s="12" t="str">
        <f>IFERROR(__xludf.DUMMYFUNCTION("IFERROR(TEXTJOIN("", "", TRUE, FILTER(Validations!$N$2:$N$100, ISNUMBER(SEARCH(Validations!$N$2:$N$100 &amp; "" check"", J347)))), """")"),"")</f>
        <v/>
      </c>
      <c r="AA347" s="12" t="str">
        <f>IFERROR(__xludf.DUMMYFUNCTION("IFERROR(TEXTJOIN("", "", TRUE, FILTER(Validations!$N$2:$N$100, ISNUMBER(SEARCH(Validations!$N$2:$N$100 &amp; "" check"", W347)))), """")"),"")</f>
        <v/>
      </c>
      <c r="AB347" s="23" t="str">
        <f>IFERROR(__xludf.DUMMYFUNCTION("IFERROR(CONCATENATE(IF(ISNUMBER(SEARCH(Validations!$M$2:$M$100 &amp; "" spell save"", J347)),""Spell Save"",""""), REGEXEXTRACT(J347, ""DC (\d+)"")), """")"),"")</f>
        <v/>
      </c>
      <c r="AC347" s="24" t="b">
        <v>0</v>
      </c>
      <c r="AD347" s="24" t="b">
        <v>0</v>
      </c>
      <c r="AE347" s="36" t="s">
        <v>69</v>
      </c>
      <c r="AF347" s="25">
        <f>IFERROR(__xludf.DUMMYFUNCTION("IFERROR(VALUE(REGEXEXTRACT(AE347, ""\d+"")), 1)"),1.0)</f>
        <v>1</v>
      </c>
      <c r="AG347" s="12" t="str">
        <f>IFERROR(__xludf.DUMMYFUNCTION("IF(
  ISNUMBER(SEARCH(""Bonus Action"", AE347)),
  ""Bonus Action"",
  IF(
    ISNUMBER(SEARCH(""Reaction"", AE347)),
    ""Reaction"",
    IF(
      ISNUMBER(SEARCH(""Action"", AE347)),
      ""Action"",
      TEXTJOIN("", "", TRUE, FILTER(Validations!$S"&amp;"$2:$S$100, ISNUMBER(SEARCH(Validations!$S$2:$S$100, AE347))))
    )
  )
)"),"Action")</f>
        <v>Action</v>
      </c>
      <c r="AH347" s="36"/>
      <c r="AI347" s="20" t="s">
        <v>936</v>
      </c>
      <c r="AJ347" s="26" t="str">
        <f>IFERROR(__xludf.DUMMYFUNCTION("TEXTJOIN("", "", TRUE, FILTER(Validations!$T$2:$T$100, ISNUMBER(SEARCH(Validations!$T$2:$T$100, AI347))))"),"")</f>
        <v/>
      </c>
      <c r="AK347" s="26">
        <f>IFERROR(__xludf.DUMMYFUNCTION("IFERROR(VALUE(REGEXEXTRACT(AI347, ""\d+"")), """")"),1.0)</f>
        <v>1</v>
      </c>
      <c r="AL347" s="26" t="str">
        <f>IFERROR(__xludf.DUMMYFUNCTION("TEXTJOIN("", "", TRUE, FILTER(Validations!$U$2:$U$100, ISNUMBER(SEARCH(Validations!$U$2:$U$100, AI347))))"),"Minutes")</f>
        <v>Minutes</v>
      </c>
      <c r="AM347" s="24" t="b">
        <f t="shared" si="1"/>
        <v>1</v>
      </c>
      <c r="AN347" s="42" t="b">
        <v>1</v>
      </c>
      <c r="AO347" s="36" t="s">
        <v>78</v>
      </c>
      <c r="AP347" s="12" t="str">
        <f>IFERROR(__xludf.DUMMYFUNCTION("IF(TEXTJOIN("", "", TRUE, FILTER(Validations!$Q$2:$Q$100, ISNUMBER(SEARCH(Validations!$Q$2:$Q$100, AO347)))) = """", Validations!$Q$2, TEXTJOIN("", "", TRUE, FILTER(Validations!$Q$2:$Q$100, ISNUMBER(SEARCH(Validations!$Q$2:$Q$100, AO347)))))"),"Point")</f>
        <v>Point</v>
      </c>
      <c r="AQ347" s="12" t="str">
        <f>IFERROR(__xludf.DUMMYFUNCTION("IFERROR(VALUE(REGEXEXTRACT(AO347, ""\d+"")), """")"),"")</f>
        <v/>
      </c>
      <c r="AR347" s="12" t="str">
        <f>IFERROR(__xludf.DUMMYFUNCTION("TEXTJOIN("", "", TRUE, FILTER(Validations!$R$2:$R$100, ISNUMBER(SEARCH(Validations!$R$2:$R$100, AO347))))"),"Self")</f>
        <v>Self</v>
      </c>
      <c r="AS347" s="20" t="s">
        <v>1664</v>
      </c>
      <c r="AT347" s="12" t="str">
        <f>IFERROR(__xludf.DUMMYFUNCTION("IFERROR(TEXTJOIN("", "", TRUE, FILTER(Validations!$I$2:$I$100, ISNUMBER(SEARCH(Validations!$I$2:$I$100, AS347)))), """")"),"Cone")</f>
        <v>Cone</v>
      </c>
      <c r="AU347" s="16" t="str">
        <f t="array" ref="AU347">IFERROR(INDEX(Validations!$J$2:$J$100, MATCH(TRUE, ISNUMBER(SEARCH(Validations!$I$2:$I$100, AT347)), 0)), "")</f>
        <v>N</v>
      </c>
      <c r="AV347" s="12">
        <f>IFERROR(__xludf.DUMMYFUNCTION("IFERROR(VALUE(REGEXEXTRACT(AS347, ""\d+"")), """")"),30.0)</f>
        <v>30</v>
      </c>
      <c r="AW347" s="12" t="str">
        <f>IFERROR(__xludf.DUMMYFUNCTION("IFERROR(TEXTJOIN("", "", TRUE, FILTER(Validations!$Q$2:$Q$100, ISNUMBER(SEARCH(Validations!$Q$2:$Q$100, AS347)))), """")"),"Cone")</f>
        <v>Cone</v>
      </c>
      <c r="AX347" s="28" t="s">
        <v>262</v>
      </c>
      <c r="AY347" s="28" t="str">
        <f>IFERROR(__xludf.DUMMYFUNCTION("TEXTJOIN("", "", TRUE, FILTER(Validations!$Y$2:$Y$100, ISNUMBER(SEARCH(Validations!$X$2:$X$100, AX347))))"),"V, S, R")</f>
        <v>V, S, R</v>
      </c>
      <c r="AZ347" s="20" t="s">
        <v>1665</v>
      </c>
      <c r="BA347" s="22"/>
      <c r="BB347" s="22"/>
      <c r="BC347" s="22"/>
      <c r="BD347" s="22"/>
      <c r="BE347" s="27"/>
      <c r="BF347" s="28"/>
      <c r="BG347" s="27"/>
      <c r="BH347" s="27"/>
      <c r="BI347" s="12" t="str">
        <f>IFERROR(__xludf.DUMMYFUNCTION("IFERROR(TEXTJOIN("", "", TRUE, FILTER(SRD!$A$2:$A$1000, EXACT(SRD!$A$2:$A$1000, J347))), """")"),"")</f>
        <v/>
      </c>
      <c r="BJ347" s="29"/>
      <c r="BK347" s="29"/>
    </row>
    <row r="348" ht="15.75" customHeight="1">
      <c r="A348" s="30" t="s">
        <v>1666</v>
      </c>
      <c r="B348" s="22"/>
      <c r="C348" s="16"/>
      <c r="D348" s="16" t="s">
        <v>1667</v>
      </c>
      <c r="E348" s="16"/>
      <c r="F348" s="40" t="s">
        <v>199</v>
      </c>
      <c r="G348" s="50" t="s">
        <v>1594</v>
      </c>
      <c r="H348" s="16" t="s">
        <v>103</v>
      </c>
      <c r="I348" s="16" t="str">
        <f t="array" ref="I348">INDEX(Validations!$C$2:$C$100, MATCH(TRUE, ISNUMBER(SEARCH(Validations!$B$2:$B$100, H348)), 0))</f>
        <v>C</v>
      </c>
      <c r="J348" s="17" t="s">
        <v>1668</v>
      </c>
      <c r="K348" s="18"/>
      <c r="L348" s="17"/>
      <c r="M348" s="17"/>
      <c r="N348" s="27"/>
      <c r="O348" s="17"/>
      <c r="P348" s="21"/>
      <c r="Q348" s="21"/>
      <c r="R348" s="22"/>
      <c r="S348" s="17" t="str">
        <f>IFERROR(__xludf.DUMMYFUNCTION("IFERROR(REGEXEXTRACT(J348, ""(\d{1,3}[dD]\d{1,3})""), """")"),"")</f>
        <v/>
      </c>
      <c r="T348" s="17" t="str">
        <f>IFERROR(__xludf.DUMMYFUNCTION("IF(COUNTIF(ARRAYFORMULA(LOWER(Validations!$O$2:$O$100)), LOWER(REGEXEXTRACT(J348, ""\d{1,3}[dD]\d{1,3}\s+(\w+)"")))&gt;0, REGEXEXTRACT(J348, ""\d{1,3}[dD]\d{1,3}\s+(\w+)""), """")"),"")</f>
        <v/>
      </c>
      <c r="U348" s="17" t="str">
        <f>IFERROR(__xludf.DUMMYFUNCTION("IF(COUNTIF(ARRAYFORMULA(LOWER(Validations!$P$2:$P$100)), LOWER(REGEXEXTRACT(J348, ""\d{1,3}[dD]\d{1,3}\s+(\w+)"")))&gt;0, REGEXEXTRACT(J348, ""\d{1,3}[dD]\d{1,3}\s+(\w+)""), """")"),"")</f>
        <v/>
      </c>
      <c r="V348" s="12" t="str">
        <f>IFERROR(__xludf.DUMMYFUNCTION("TEXTJOIN("", "", TRUE, FILTER(Validations!$L$2:$L$100, ISNUMBER(SEARCH(Validations!$L$2:$L$100, J348))))"),"")</f>
        <v/>
      </c>
      <c r="W348" s="12" t="str">
        <f>IFERROR(__xludf.DUMMYFUNCTION("IFERROR(TEXTJOIN("", "", TRUE, FILTER(Validations!$M$2:$M$100, ISNUMBER(SEARCH(Validations!$M$2:$M$100 &amp; "" saving throw"", J348)))), """")"),"")</f>
        <v/>
      </c>
      <c r="X348" s="12"/>
      <c r="Y348" s="12"/>
      <c r="Z348" s="12" t="str">
        <f>IFERROR(__xludf.DUMMYFUNCTION("IFERROR(TEXTJOIN("", "", TRUE, FILTER(Validations!$N$2:$N$100, ISNUMBER(SEARCH(Validations!$N$2:$N$100 &amp; "" check"", J348)))), """")"),"")</f>
        <v/>
      </c>
      <c r="AA348" s="12" t="str">
        <f>IFERROR(__xludf.DUMMYFUNCTION("IFERROR(TEXTJOIN("", "", TRUE, FILTER(Validations!$N$2:$N$100, ISNUMBER(SEARCH(Validations!$N$2:$N$100 &amp; "" check"", W348)))), """")"),"")</f>
        <v/>
      </c>
      <c r="AB348" s="23" t="str">
        <f>IFERROR(__xludf.DUMMYFUNCTION("IFERROR(CONCATENATE(IF(ISNUMBER(SEARCH(Validations!$M$2:$M$100 &amp; "" spell save"", J348)),""Spell Save"",""""), REGEXEXTRACT(J348, ""DC (\d+)"")), """")"),"")</f>
        <v/>
      </c>
      <c r="AC348" s="24" t="b">
        <v>0</v>
      </c>
      <c r="AD348" s="24" t="b">
        <v>0</v>
      </c>
      <c r="AE348" s="36" t="s">
        <v>69</v>
      </c>
      <c r="AF348" s="25">
        <f>IFERROR(__xludf.DUMMYFUNCTION("IFERROR(VALUE(REGEXEXTRACT(AE348, ""\d+"")), 1)"),1.0)</f>
        <v>1</v>
      </c>
      <c r="AG348" s="12" t="str">
        <f>IFERROR(__xludf.DUMMYFUNCTION("IF(
  ISNUMBER(SEARCH(""Bonus Action"", AE348)),
  ""Bonus Action"",
  IF(
    ISNUMBER(SEARCH(""Reaction"", AE348)),
    ""Reaction"",
    IF(
      ISNUMBER(SEARCH(""Action"", AE348)),
      ""Action"",
      TEXTJOIN("", "", TRUE, FILTER(Validations!$S"&amp;"$2:$S$100, ISNUMBER(SEARCH(Validations!$S$2:$S$100, AE348))))
    )
  )
)"),"Action")</f>
        <v>Action</v>
      </c>
      <c r="AH348" s="36"/>
      <c r="AI348" s="20" t="s">
        <v>92</v>
      </c>
      <c r="AJ348" s="26" t="str">
        <f>IFERROR(__xludf.DUMMYFUNCTION("TEXTJOIN("", "", TRUE, FILTER(Validations!$T$2:$T$100, ISNUMBER(SEARCH(Validations!$T$2:$T$100, AI348))))"),"")</f>
        <v/>
      </c>
      <c r="AK348" s="26">
        <f>IFERROR(__xludf.DUMMYFUNCTION("IFERROR(VALUE(REGEXEXTRACT(AI348, ""\d+"")), """")"),1.0)</f>
        <v>1</v>
      </c>
      <c r="AL348" s="26" t="str">
        <f>IFERROR(__xludf.DUMMYFUNCTION("TEXTJOIN("", "", TRUE, FILTER(Validations!$U$2:$U$100, ISNUMBER(SEARCH(Validations!$U$2:$U$100, AI348))))"),"Minutes")</f>
        <v>Minutes</v>
      </c>
      <c r="AM348" s="24" t="b">
        <f t="shared" si="1"/>
        <v>0</v>
      </c>
      <c r="AN348" s="24" t="b">
        <v>0</v>
      </c>
      <c r="AO348" s="22" t="s">
        <v>78</v>
      </c>
      <c r="AP348" s="12" t="str">
        <f>IFERROR(__xludf.DUMMYFUNCTION("IF(TEXTJOIN("", "", TRUE, FILTER(Validations!$Q$2:$Q$100, ISNUMBER(SEARCH(Validations!$Q$2:$Q$100, AO348)))) = """", Validations!$Q$2, TEXTJOIN("", "", TRUE, FILTER(Validations!$Q$2:$Q$100, ISNUMBER(SEARCH(Validations!$Q$2:$Q$100, AO348)))))"),"Point")</f>
        <v>Point</v>
      </c>
      <c r="AQ348" s="12" t="str">
        <f>IFERROR(__xludf.DUMMYFUNCTION("IFERROR(VALUE(REGEXEXTRACT(AO348, ""\d+"")), """")"),"")</f>
        <v/>
      </c>
      <c r="AR348" s="12" t="str">
        <f>IFERROR(__xludf.DUMMYFUNCTION("TEXTJOIN("", "", TRUE, FILTER(Validations!$R$2:$R$100, ISNUMBER(SEARCH(Validations!$R$2:$R$100, AO348))))"),"Self")</f>
        <v>Self</v>
      </c>
      <c r="AS348" s="27"/>
      <c r="AT348" s="12" t="str">
        <f>IFERROR(__xludf.DUMMYFUNCTION("IFERROR(TEXTJOIN("", "", TRUE, FILTER(Validations!$I$2:$I$100, ISNUMBER(SEARCH(Validations!$I$2:$I$100, AS348)))), """")"),"")</f>
        <v/>
      </c>
      <c r="AU348" s="16" t="str">
        <f t="array" ref="AU348">IFERROR(INDEX(Validations!$J$2:$J$100, MATCH(TRUE, ISNUMBER(SEARCH(Validations!$I$2:$I$100, AT348)), 0)), "")</f>
        <v/>
      </c>
      <c r="AV348" s="12" t="str">
        <f>IFERROR(__xludf.DUMMYFUNCTION("IFERROR(VALUE(REGEXEXTRACT(AS348, ""\d+"")), """")"),"")</f>
        <v/>
      </c>
      <c r="AW348" s="12" t="str">
        <f>IFERROR(__xludf.DUMMYFUNCTION("IFERROR(TEXTJOIN("", "", TRUE, FILTER(Validations!$Q$2:$Q$100, ISNUMBER(SEARCH(Validations!$Q$2:$Q$100, AS348)))), """")"),"")</f>
        <v/>
      </c>
      <c r="AX348" s="28" t="s">
        <v>142</v>
      </c>
      <c r="AY348" s="28" t="str">
        <f>IFERROR(__xludf.DUMMYFUNCTION("TEXTJOIN("", "", TRUE, FILTER(Validations!$Y$2:$Y$100, ISNUMBER(SEARCH(Validations!$X$2:$X$100, AX348))))"),"V, S")</f>
        <v>V, S</v>
      </c>
      <c r="AZ348" s="27"/>
      <c r="BA348" s="22"/>
      <c r="BB348" s="22"/>
      <c r="BC348" s="22"/>
      <c r="BD348" s="22"/>
      <c r="BE348" s="27"/>
      <c r="BF348" s="22"/>
      <c r="BG348" s="27"/>
      <c r="BH348" s="27"/>
      <c r="BI348" s="12" t="str">
        <f>IFERROR(__xludf.DUMMYFUNCTION("IFERROR(TEXTJOIN("", "", TRUE, FILTER(SRD!$A$2:$A$1000, EXACT(SRD!$A$2:$A$1000, J348))), """")"),"")</f>
        <v/>
      </c>
      <c r="BJ348" s="29"/>
      <c r="BK348" s="29"/>
    </row>
    <row r="349" ht="15.75" customHeight="1">
      <c r="A349" s="38" t="s">
        <v>1669</v>
      </c>
      <c r="B349" s="12"/>
      <c r="C349" s="13"/>
      <c r="D349" s="13" t="s">
        <v>62</v>
      </c>
      <c r="E349" s="13"/>
      <c r="F349" s="14" t="s">
        <v>1670</v>
      </c>
      <c r="G349" s="15" t="s">
        <v>1594</v>
      </c>
      <c r="H349" s="31" t="s">
        <v>103</v>
      </c>
      <c r="I349" s="16" t="str">
        <f t="array" ref="I349">INDEX(Validations!$C$2:$C$100, MATCH(TRUE, ISNUMBER(SEARCH(Validations!$B$2:$B$100, H349)), 0))</f>
        <v>C</v>
      </c>
      <c r="J349" s="17" t="s">
        <v>1671</v>
      </c>
      <c r="K349" s="18"/>
      <c r="L349" s="17" t="s">
        <v>1672</v>
      </c>
      <c r="M349" s="37" t="s">
        <v>1673</v>
      </c>
      <c r="N349" s="27"/>
      <c r="O349" s="17"/>
      <c r="P349" s="21"/>
      <c r="Q349" s="21"/>
      <c r="R349" s="22"/>
      <c r="S349" s="17" t="str">
        <f>IFERROR(__xludf.DUMMYFUNCTION("IFERROR(REGEXEXTRACT(J349, ""(\d{1,3}[dD]\d{1,3})""), """")"),"")</f>
        <v/>
      </c>
      <c r="T349" s="17" t="str">
        <f>IFERROR(__xludf.DUMMYFUNCTION("IF(COUNTIF(ARRAYFORMULA(LOWER(Validations!$O$2:$O$100)), LOWER(REGEXEXTRACT(J349, ""\d{1,3}[dD]\d{1,3}\s+(\w+)"")))&gt;0, REGEXEXTRACT(J349, ""\d{1,3}[dD]\d{1,3}\s+(\w+)""), """")"),"")</f>
        <v/>
      </c>
      <c r="U349" s="17" t="str">
        <f>IFERROR(__xludf.DUMMYFUNCTION("IF(COUNTIF(ARRAYFORMULA(LOWER(Validations!$P$2:$P$100)), LOWER(REGEXEXTRACT(J349, ""\d{1,3}[dD]\d{1,3}\s+(\w+)"")))&gt;0, REGEXEXTRACT(J349, ""\d{1,3}[dD]\d{1,3}\s+(\w+)""), """")"),"")</f>
        <v/>
      </c>
      <c r="V349" s="12" t="str">
        <f>IFERROR(__xludf.DUMMYFUNCTION("TEXTJOIN("", "", TRUE, FILTER(Validations!$L$2:$L$100, ISNUMBER(SEARCH(Validations!$L$2:$L$100, J349))))"),"")</f>
        <v/>
      </c>
      <c r="W349" s="12" t="str">
        <f>IFERROR(__xludf.DUMMYFUNCTION("IFERROR(TEXTJOIN("", "", TRUE, FILTER(Validations!$M$2:$M$100, ISNUMBER(SEARCH(Validations!$M$2:$M$100 &amp; "" saving throw"", J349)))), """")"),"")</f>
        <v/>
      </c>
      <c r="X349" s="12"/>
      <c r="Y349" s="12"/>
      <c r="Z349" s="12" t="str">
        <f>IFERROR(__xludf.DUMMYFUNCTION("IFERROR(TEXTJOIN("", "", TRUE, FILTER(Validations!$N$2:$N$100, ISNUMBER(SEARCH(Validations!$N$2:$N$100 &amp; "" check"", J349)))), """")"),"")</f>
        <v/>
      </c>
      <c r="AA349" s="12" t="str">
        <f>IFERROR(__xludf.DUMMYFUNCTION("IFERROR(TEXTJOIN("", "", TRUE, FILTER(Validations!$N$2:$N$100, ISNUMBER(SEARCH(Validations!$N$2:$N$100 &amp; "" check"", W349)))), """")"),"")</f>
        <v/>
      </c>
      <c r="AB349" s="23" t="str">
        <f>IFERROR(__xludf.DUMMYFUNCTION("IFERROR(CONCATENATE(IF(ISNUMBER(SEARCH(Validations!$M$2:$M$100 &amp; "" spell save"", J349)),""Spell Save"",""""), REGEXEXTRACT(J349, ""DC (\d+)"")), """")"),"")</f>
        <v/>
      </c>
      <c r="AC349" s="24" t="b">
        <v>0</v>
      </c>
      <c r="AD349" s="24" t="b">
        <v>0</v>
      </c>
      <c r="AE349" s="12" t="s">
        <v>69</v>
      </c>
      <c r="AF349" s="25">
        <f>IFERROR(__xludf.DUMMYFUNCTION("IFERROR(VALUE(REGEXEXTRACT(AE349, ""\d+"")), 1)"),1.0)</f>
        <v>1</v>
      </c>
      <c r="AG349" s="12" t="str">
        <f>IFERROR(__xludf.DUMMYFUNCTION("IF(
  ISNUMBER(SEARCH(""Bonus Action"", AE349)),
  ""Bonus Action"",
  IF(
    ISNUMBER(SEARCH(""Reaction"", AE349)),
    ""Reaction"",
    IF(
      ISNUMBER(SEARCH(""Action"", AE349)),
      ""Action"",
      TEXTJOIN("", "", TRUE, FILTER(Validations!$S"&amp;"$2:$S$100, ISNUMBER(SEARCH(Validations!$S$2:$S$100, AE349))))
    )
  )
)"),"Action")</f>
        <v>Action</v>
      </c>
      <c r="AH349" s="12"/>
      <c r="AI349" s="26" t="s">
        <v>70</v>
      </c>
      <c r="AJ349" s="26" t="str">
        <f>IFERROR(__xludf.DUMMYFUNCTION("TEXTJOIN("", "", TRUE, FILTER(Validations!$T$2:$T$100, ISNUMBER(SEARCH(Validations!$T$2:$T$100, AI349))))"),"Instantaneous")</f>
        <v>Instantaneous</v>
      </c>
      <c r="AK349" s="26" t="str">
        <f>IFERROR(__xludf.DUMMYFUNCTION("IFERROR(VALUE(REGEXEXTRACT(AI349, ""\d+"")), """")"),"")</f>
        <v/>
      </c>
      <c r="AL349" s="26" t="str">
        <f>IFERROR(__xludf.DUMMYFUNCTION("TEXTJOIN("", "", TRUE, FILTER(Validations!$U$2:$U$100, ISNUMBER(SEARCH(Validations!$U$2:$U$100, AI349))))"),"")</f>
        <v/>
      </c>
      <c r="AM349" s="24" t="b">
        <f t="shared" si="1"/>
        <v>0</v>
      </c>
      <c r="AN349" s="24" t="b">
        <v>0</v>
      </c>
      <c r="AO349" s="36" t="s">
        <v>502</v>
      </c>
      <c r="AP349" s="12" t="str">
        <f>IFERROR(__xludf.DUMMYFUNCTION("IF(TEXTJOIN("", "", TRUE, FILTER(Validations!$Q$2:$Q$100, ISNUMBER(SEARCH(Validations!$Q$2:$Q$100, AO349)))) = """", Validations!$Q$2, TEXTJOIN("", "", TRUE, FILTER(Validations!$Q$2:$Q$100, ISNUMBER(SEARCH(Validations!$Q$2:$Q$100, AO349)))))"),"Point")</f>
        <v>Point</v>
      </c>
      <c r="AQ349" s="12">
        <f>IFERROR(__xludf.DUMMYFUNCTION("IFERROR(VALUE(REGEXEXTRACT(AO349, ""\d+"")), """")"),120.0)</f>
        <v>120</v>
      </c>
      <c r="AR349" s="12" t="str">
        <f>IFERROR(__xludf.DUMMYFUNCTION("TEXTJOIN("", "", TRUE, FILTER(Validations!$R$2:$R$100, ISNUMBER(SEARCH(Validations!$R$2:$R$100, AO349))))"),"Feet")</f>
        <v>Feet</v>
      </c>
      <c r="AS349" s="27"/>
      <c r="AT349" s="12" t="str">
        <f>IFERROR(__xludf.DUMMYFUNCTION("IFERROR(TEXTJOIN("", "", TRUE, FILTER(Validations!$I$2:$I$100, ISNUMBER(SEARCH(Validations!$I$2:$I$100, AS349)))), """")"),"")</f>
        <v/>
      </c>
      <c r="AU349" s="16" t="str">
        <f t="array" ref="AU349">IFERROR(INDEX(Validations!$J$2:$J$100, MATCH(TRUE, ISNUMBER(SEARCH(Validations!$I$2:$I$100, AT349)), 0)), "")</f>
        <v/>
      </c>
      <c r="AV349" s="12" t="str">
        <f>IFERROR(__xludf.DUMMYFUNCTION("IFERROR(VALUE(REGEXEXTRACT(AS349, ""\d+"")), """")"),"")</f>
        <v/>
      </c>
      <c r="AW349" s="12" t="str">
        <f>IFERROR(__xludf.DUMMYFUNCTION("IFERROR(TEXTJOIN("", "", TRUE, FILTER(Validations!$Q$2:$Q$100, ISNUMBER(SEARCH(Validations!$Q$2:$Q$100, AS349)))), """")"),"")</f>
        <v/>
      </c>
      <c r="AX349" s="28" t="s">
        <v>262</v>
      </c>
      <c r="AY349" s="28" t="str">
        <f>IFERROR(__xludf.DUMMYFUNCTION("TEXTJOIN("", "", TRUE, FILTER(Validations!$Y$2:$Y$100, ISNUMBER(SEARCH(Validations!$X$2:$X$100, AX349))))"),"V, S, R")</f>
        <v>V, S, R</v>
      </c>
      <c r="AZ349" s="20" t="s">
        <v>809</v>
      </c>
      <c r="BA349" s="12"/>
      <c r="BB349" s="22"/>
      <c r="BC349" s="22"/>
      <c r="BD349" s="22"/>
      <c r="BE349" s="27"/>
      <c r="BF349" s="22"/>
      <c r="BG349" s="27"/>
      <c r="BH349" s="27"/>
      <c r="BI349" s="12" t="str">
        <f>IFERROR(__xludf.DUMMYFUNCTION("IFERROR(TEXTJOIN("", "", TRUE, FILTER(SRD!$A$2:$A$1000, EXACT(SRD!$A$2:$A$1000, J349))), """")"),"")</f>
        <v/>
      </c>
      <c r="BJ349" s="29"/>
      <c r="BK349" s="29"/>
    </row>
    <row r="350" ht="15.75" customHeight="1">
      <c r="A350" s="38" t="s">
        <v>1674</v>
      </c>
      <c r="B350" s="12"/>
      <c r="C350" s="16"/>
      <c r="D350" s="16" t="s">
        <v>302</v>
      </c>
      <c r="E350" s="16"/>
      <c r="F350" s="32" t="s">
        <v>97</v>
      </c>
      <c r="G350" s="50" t="s">
        <v>1594</v>
      </c>
      <c r="H350" s="16" t="s">
        <v>140</v>
      </c>
      <c r="I350" s="16" t="str">
        <f t="array" ref="I350">INDEX(Validations!$C$2:$C$100, MATCH(TRUE, ISNUMBER(SEARCH(Validations!$B$2:$B$100, H350)), 0))</f>
        <v>N</v>
      </c>
      <c r="J350" s="17" t="s">
        <v>1675</v>
      </c>
      <c r="K350" s="18"/>
      <c r="L350" s="17"/>
      <c r="M350" s="17"/>
      <c r="N350" s="27"/>
      <c r="O350" s="17" t="s">
        <v>1676</v>
      </c>
      <c r="P350" s="21"/>
      <c r="Q350" s="21"/>
      <c r="R350" s="22"/>
      <c r="S350" s="17" t="str">
        <f>IFERROR(__xludf.DUMMYFUNCTION("IFERROR(REGEXEXTRACT(J350, ""(\d{1,3}[dD]\d{1,3})""), """")"),"1d6")</f>
        <v>1d6</v>
      </c>
      <c r="T350" s="17" t="str">
        <f>IFERROR(__xludf.DUMMYFUNCTION("IF(COUNTIF(ARRAYFORMULA(LOWER(Validations!$O$2:$O$100)), LOWER(REGEXEXTRACT(J350, ""\d{1,3}[dD]\d{1,3}\s+(\w+)"")))&gt;0, REGEXEXTRACT(J350, ""\d{1,3}[dD]\d{1,3}\s+(\w+)""), """")"),"")</f>
        <v/>
      </c>
      <c r="U350" s="17" t="str">
        <f>IFERROR(__xludf.DUMMYFUNCTION("IF(COUNTIF(ARRAYFORMULA(LOWER(Validations!$P$2:$P$100)), LOWER(REGEXEXTRACT(J350, ""\d{1,3}[dD]\d{1,3}\s+(\w+)"")))&gt;0, REGEXEXTRACT(J350, ""\d{1,3}[dD]\d{1,3}\s+(\w+)""), """")"),"")</f>
        <v/>
      </c>
      <c r="V350" s="12" t="str">
        <f>IFERROR(__xludf.DUMMYFUNCTION("TEXTJOIN("", "", TRUE, FILTER(Validations!$L$2:$L$100, ISNUMBER(SEARCH(Validations!$L$2:$L$100, J350))))"),"")</f>
        <v/>
      </c>
      <c r="W350" s="12" t="str">
        <f>IFERROR(__xludf.DUMMYFUNCTION("IFERROR(TEXTJOIN("", "", TRUE, FILTER(Validations!$M$2:$M$100, ISNUMBER(SEARCH(Validations!$M$2:$M$100 &amp; "" saving throw"", J350)))), """")"),"")</f>
        <v/>
      </c>
      <c r="X350" s="12"/>
      <c r="Y350" s="12"/>
      <c r="Z350" s="12" t="str">
        <f>IFERROR(__xludf.DUMMYFUNCTION("IFERROR(TEXTJOIN("", "", TRUE, FILTER(Validations!$N$2:$N$100, ISNUMBER(SEARCH(Validations!$N$2:$N$100 &amp; "" check"", J350)))), """")"),"")</f>
        <v/>
      </c>
      <c r="AA350" s="12" t="str">
        <f>IFERROR(__xludf.DUMMYFUNCTION("IFERROR(TEXTJOIN("", "", TRUE, FILTER(Validations!$N$2:$N$100, ISNUMBER(SEARCH(Validations!$N$2:$N$100 &amp; "" check"", W350)))), """")"),"")</f>
        <v/>
      </c>
      <c r="AB350" s="23" t="str">
        <f>IFERROR(__xludf.DUMMYFUNCTION("IFERROR(CONCATENATE(IF(ISNUMBER(SEARCH(Validations!$M$2:$M$100 &amp; "" spell save"", J350)),""Spell Save"",""""), REGEXEXTRACT(J350, ""DC (\d+)"")), """")"),"")</f>
        <v/>
      </c>
      <c r="AC350" s="24" t="b">
        <v>0</v>
      </c>
      <c r="AD350" s="24" t="b">
        <v>0</v>
      </c>
      <c r="AE350" s="36" t="s">
        <v>296</v>
      </c>
      <c r="AF350" s="25">
        <f>IFERROR(__xludf.DUMMYFUNCTION("IFERROR(VALUE(REGEXEXTRACT(AE350, ""\d+"")), 1)"),1.0)</f>
        <v>1</v>
      </c>
      <c r="AG350" s="12" t="str">
        <f>IFERROR(__xludf.DUMMYFUNCTION("IF(
  ISNUMBER(SEARCH(""Bonus Action"", AE350)),
  ""Bonus Action"",
  IF(
    ISNUMBER(SEARCH(""Reaction"", AE350)),
    ""Reaction"",
    IF(
      ISNUMBER(SEARCH(""Action"", AE350)),
      ""Action"",
      TEXTJOIN("", "", TRUE, FILTER(Validations!$S"&amp;"$2:$S$100, ISNUMBER(SEARCH(Validations!$S$2:$S$100, AE350))))
    )
  )
)"),"Hours")</f>
        <v>Hours</v>
      </c>
      <c r="AH350" s="22"/>
      <c r="AI350" s="27" t="s">
        <v>1677</v>
      </c>
      <c r="AJ350" s="26" t="str">
        <f>IFERROR(__xludf.DUMMYFUNCTION("TEXTJOIN("", "", TRUE, FILTER(Validations!$T$2:$T$100, ISNUMBER(SEARCH(Validations!$T$2:$T$100, AI350))))"),"Permanent")</f>
        <v>Permanent</v>
      </c>
      <c r="AK350" s="26" t="str">
        <f>IFERROR(__xludf.DUMMYFUNCTION("IFERROR(VALUE(REGEXEXTRACT(AI350, ""\d+"")), """")"),"")</f>
        <v/>
      </c>
      <c r="AL350" s="26" t="str">
        <f>IFERROR(__xludf.DUMMYFUNCTION("TEXTJOIN("", "", TRUE, FILTER(Validations!$U$2:$U$100, ISNUMBER(SEARCH(Validations!$U$2:$U$100, AI350))))"),"")</f>
        <v/>
      </c>
      <c r="AM350" s="24" t="b">
        <f t="shared" si="1"/>
        <v>0</v>
      </c>
      <c r="AN350" s="24" t="b">
        <v>0</v>
      </c>
      <c r="AO350" s="22" t="s">
        <v>71</v>
      </c>
      <c r="AP350" s="12" t="str">
        <f>IFERROR(__xludf.DUMMYFUNCTION("IF(TEXTJOIN("", "", TRUE, FILTER(Validations!$Q$2:$Q$100, ISNUMBER(SEARCH(Validations!$Q$2:$Q$100, AO350)))) = """", Validations!$Q$2, TEXTJOIN("", "", TRUE, FILTER(Validations!$Q$2:$Q$100, ISNUMBER(SEARCH(Validations!$Q$2:$Q$100, AO350)))))"),"Point")</f>
        <v>Point</v>
      </c>
      <c r="AQ350" s="12" t="str">
        <f>IFERROR(__xludf.DUMMYFUNCTION("IFERROR(VALUE(REGEXEXTRACT(AO350, ""\d+"")), """")"),"")</f>
        <v/>
      </c>
      <c r="AR350" s="12" t="str">
        <f>IFERROR(__xludf.DUMMYFUNCTION("TEXTJOIN("", "", TRUE, FILTER(Validations!$R$2:$R$100, ISNUMBER(SEARCH(Validations!$R$2:$R$100, AO350))))"),"Touch")</f>
        <v>Touch</v>
      </c>
      <c r="AS350" s="27"/>
      <c r="AT350" s="12" t="str">
        <f>IFERROR(__xludf.DUMMYFUNCTION("IFERROR(TEXTJOIN("", "", TRUE, FILTER(Validations!$I$2:$I$100, ISNUMBER(SEARCH(Validations!$I$2:$I$100, AS350)))), """")"),"")</f>
        <v/>
      </c>
      <c r="AU350" s="16" t="str">
        <f t="array" ref="AU350">IFERROR(INDEX(Validations!$J$2:$J$100, MATCH(TRUE, ISNUMBER(SEARCH(Validations!$I$2:$I$100, AT350)), 0)), "")</f>
        <v/>
      </c>
      <c r="AV350" s="12" t="str">
        <f>IFERROR(__xludf.DUMMYFUNCTION("IFERROR(VALUE(REGEXEXTRACT(AS350, ""\d+"")), """")"),"")</f>
        <v/>
      </c>
      <c r="AW350" s="12" t="str">
        <f>IFERROR(__xludf.DUMMYFUNCTION("IFERROR(TEXTJOIN("", "", TRUE, FILTER(Validations!$Q$2:$Q$100, ISNUMBER(SEARCH(Validations!$Q$2:$Q$100, AS350)))), """")"),"")</f>
        <v/>
      </c>
      <c r="AX350" s="28" t="s">
        <v>152</v>
      </c>
      <c r="AY350" s="28" t="str">
        <f>IFERROR(__xludf.DUMMYFUNCTION("TEXTJOIN("", "", TRUE, FILTER(Validations!$Y$2:$Y$100, ISNUMBER(SEARCH(Validations!$X$2:$X$100, AX350))))"),"V, S, R")</f>
        <v>V, S, R</v>
      </c>
      <c r="AZ350" s="20" t="s">
        <v>1678</v>
      </c>
      <c r="BA350" s="22"/>
      <c r="BB350" s="22"/>
      <c r="BC350" s="22"/>
      <c r="BD350" s="22"/>
      <c r="BE350" s="27"/>
      <c r="BF350" s="22"/>
      <c r="BG350" s="27"/>
      <c r="BH350" s="27"/>
      <c r="BI350" s="12" t="str">
        <f>IFERROR(__xludf.DUMMYFUNCTION("IFERROR(TEXTJOIN("", "", TRUE, FILTER(SRD!$A$2:$A$1000, EXACT(SRD!$A$2:$A$1000, J350))), """")"),"")</f>
        <v/>
      </c>
      <c r="BJ350" s="29"/>
      <c r="BK350" s="29"/>
    </row>
    <row r="351" ht="15.75" customHeight="1">
      <c r="A351" s="30" t="s">
        <v>1679</v>
      </c>
      <c r="B351" s="22"/>
      <c r="C351" s="16"/>
      <c r="D351" s="16" t="s">
        <v>1680</v>
      </c>
      <c r="E351" s="16"/>
      <c r="F351" s="40" t="s">
        <v>139</v>
      </c>
      <c r="G351" s="50" t="s">
        <v>1594</v>
      </c>
      <c r="H351" s="16" t="s">
        <v>76</v>
      </c>
      <c r="I351" s="16" t="str">
        <f t="array" ref="I351">INDEX(Validations!$C$2:$C$100, MATCH(TRUE, ISNUMBER(SEARCH(Validations!$B$2:$B$100, H351)), 0))</f>
        <v>V</v>
      </c>
      <c r="J351" s="17" t="s">
        <v>1681</v>
      </c>
      <c r="K351" s="18"/>
      <c r="L351" s="17"/>
      <c r="M351" s="17"/>
      <c r="N351" s="27"/>
      <c r="O351" s="17"/>
      <c r="P351" s="21"/>
      <c r="Q351" s="21"/>
      <c r="R351" s="22"/>
      <c r="S351" s="17" t="str">
        <f>IFERROR(__xludf.DUMMYFUNCTION("IFERROR(REGEXEXTRACT(J351, ""(\d{1,3}[dD]\d{1,3})""), """")"),"")</f>
        <v/>
      </c>
      <c r="T351" s="17" t="str">
        <f>IFERROR(__xludf.DUMMYFUNCTION("IF(COUNTIF(ARRAYFORMULA(LOWER(Validations!$O$2:$O$100)), LOWER(REGEXEXTRACT(J351, ""\d{1,3}[dD]\d{1,3}\s+(\w+)"")))&gt;0, REGEXEXTRACT(J351, ""\d{1,3}[dD]\d{1,3}\s+(\w+)""), """")"),"")</f>
        <v/>
      </c>
      <c r="U351" s="17" t="str">
        <f>IFERROR(__xludf.DUMMYFUNCTION("IF(COUNTIF(ARRAYFORMULA(LOWER(Validations!$P$2:$P$100)), LOWER(REGEXEXTRACT(J351, ""\d{1,3}[dD]\d{1,3}\s+(\w+)"")))&gt;0, REGEXEXTRACT(J351, ""\d{1,3}[dD]\d{1,3}\s+(\w+)""), """")"),"")</f>
        <v/>
      </c>
      <c r="V351" s="12" t="str">
        <f>IFERROR(__xludf.DUMMYFUNCTION("TEXTJOIN("", "", TRUE, FILTER(Validations!$L$2:$L$100, ISNUMBER(SEARCH(Validations!$L$2:$L$100, J351))))"),"Altered, Stunned")</f>
        <v>Altered, Stunned</v>
      </c>
      <c r="W351" s="12" t="str">
        <f>IFERROR(__xludf.DUMMYFUNCTION("IFERROR(TEXTJOIN("", "", TRUE, FILTER(Validations!$M$2:$M$100, ISNUMBER(SEARCH(Validations!$M$2:$M$100 &amp; "" saving throw"", J351)))), """")"),"Constitution")</f>
        <v>Constitution</v>
      </c>
      <c r="X351" s="12"/>
      <c r="Y351" s="12"/>
      <c r="Z351" s="12" t="str">
        <f>IFERROR(__xludf.DUMMYFUNCTION("IFERROR(TEXTJOIN("", "", TRUE, FILTER(Validations!$N$2:$N$100, ISNUMBER(SEARCH(Validations!$N$2:$N$100 &amp; "" check"", J351)))), """")"),"")</f>
        <v/>
      </c>
      <c r="AA351" s="12" t="str">
        <f>IFERROR(__xludf.DUMMYFUNCTION("IFERROR(TEXTJOIN("", "", TRUE, FILTER(Validations!$N$2:$N$100, ISNUMBER(SEARCH(Validations!$N$2:$N$100 &amp; "" check"", W351)))), """")"),"")</f>
        <v/>
      </c>
      <c r="AB351" s="23" t="str">
        <f>IFERROR(__xludf.DUMMYFUNCTION("IFERROR(CONCATENATE(IF(ISNUMBER(SEARCH(Validations!$M$2:$M$100 &amp; "" spell save"", J351)),""Spell Save"",""""), REGEXEXTRACT(J351, ""DC (\d+)"")), """")"),"")</f>
        <v/>
      </c>
      <c r="AC351" s="24" t="b">
        <v>0</v>
      </c>
      <c r="AD351" s="24" t="b">
        <v>0</v>
      </c>
      <c r="AE351" s="36" t="s">
        <v>69</v>
      </c>
      <c r="AF351" s="25">
        <f>IFERROR(__xludf.DUMMYFUNCTION("IFERROR(VALUE(REGEXEXTRACT(AE351, ""\d+"")), 1)"),1.0)</f>
        <v>1</v>
      </c>
      <c r="AG351" s="12" t="str">
        <f>IFERROR(__xludf.DUMMYFUNCTION("IF(
  ISNUMBER(SEARCH(""Bonus Action"", AE351)),
  ""Bonus Action"",
  IF(
    ISNUMBER(SEARCH(""Reaction"", AE351)),
    ""Reaction"",
    IF(
      ISNUMBER(SEARCH(""Action"", AE351)),
      ""Action"",
      TEXTJOIN("", "", TRUE, FILTER(Validations!$S"&amp;"$2:$S$100, ISNUMBER(SEARCH(Validations!$S$2:$S$100, AE351))))
    )
  )
)"),"Action")</f>
        <v>Action</v>
      </c>
      <c r="AH351" s="36"/>
      <c r="AI351" s="27" t="s">
        <v>70</v>
      </c>
      <c r="AJ351" s="26" t="str">
        <f>IFERROR(__xludf.DUMMYFUNCTION("TEXTJOIN("", "", TRUE, FILTER(Validations!$T$2:$T$100, ISNUMBER(SEARCH(Validations!$T$2:$T$100, AI351))))"),"Instantaneous")</f>
        <v>Instantaneous</v>
      </c>
      <c r="AK351" s="26" t="str">
        <f>IFERROR(__xludf.DUMMYFUNCTION("IFERROR(VALUE(REGEXEXTRACT(AI351, ""\d+"")), """")"),"")</f>
        <v/>
      </c>
      <c r="AL351" s="26" t="str">
        <f>IFERROR(__xludf.DUMMYFUNCTION("TEXTJOIN("", "", TRUE, FILTER(Validations!$U$2:$U$100, ISNUMBER(SEARCH(Validations!$U$2:$U$100, AI351))))"),"")</f>
        <v/>
      </c>
      <c r="AM351" s="24" t="b">
        <f t="shared" si="1"/>
        <v>0</v>
      </c>
      <c r="AN351" s="24" t="b">
        <v>0</v>
      </c>
      <c r="AO351" s="22" t="s">
        <v>71</v>
      </c>
      <c r="AP351" s="12" t="str">
        <f>IFERROR(__xludf.DUMMYFUNCTION("IF(TEXTJOIN("", "", TRUE, FILTER(Validations!$Q$2:$Q$100, ISNUMBER(SEARCH(Validations!$Q$2:$Q$100, AO351)))) = """", Validations!$Q$2, TEXTJOIN("", "", TRUE, FILTER(Validations!$Q$2:$Q$100, ISNUMBER(SEARCH(Validations!$Q$2:$Q$100, AO351)))))"),"Point")</f>
        <v>Point</v>
      </c>
      <c r="AQ351" s="12" t="str">
        <f>IFERROR(__xludf.DUMMYFUNCTION("IFERROR(VALUE(REGEXEXTRACT(AO351, ""\d+"")), """")"),"")</f>
        <v/>
      </c>
      <c r="AR351" s="12" t="str">
        <f>IFERROR(__xludf.DUMMYFUNCTION("TEXTJOIN("", "", TRUE, FILTER(Validations!$R$2:$R$100, ISNUMBER(SEARCH(Validations!$R$2:$R$100, AO351))))"),"Touch")</f>
        <v>Touch</v>
      </c>
      <c r="AS351" s="27"/>
      <c r="AT351" s="12" t="str">
        <f>IFERROR(__xludf.DUMMYFUNCTION("IFERROR(TEXTJOIN("", "", TRUE, FILTER(Validations!$I$2:$I$100, ISNUMBER(SEARCH(Validations!$I$2:$I$100, AS351)))), """")"),"")</f>
        <v/>
      </c>
      <c r="AU351" s="16" t="str">
        <f t="array" ref="AU351">IFERROR(INDEX(Validations!$J$2:$J$100, MATCH(TRUE, ISNUMBER(SEARCH(Validations!$I$2:$I$100, AT351)), 0)), "")</f>
        <v/>
      </c>
      <c r="AV351" s="12" t="str">
        <f>IFERROR(__xludf.DUMMYFUNCTION("IFERROR(VALUE(REGEXEXTRACT(AS351, ""\d+"")), """")"),"")</f>
        <v/>
      </c>
      <c r="AW351" s="12" t="str">
        <f>IFERROR(__xludf.DUMMYFUNCTION("IFERROR(TEXTJOIN("", "", TRUE, FILTER(Validations!$Q$2:$Q$100, ISNUMBER(SEARCH(Validations!$Q$2:$Q$100, AS351)))), """")"),"")</f>
        <v/>
      </c>
      <c r="AX351" s="28" t="s">
        <v>152</v>
      </c>
      <c r="AY351" s="28" t="str">
        <f>IFERROR(__xludf.DUMMYFUNCTION("TEXTJOIN("", "", TRUE, FILTER(Validations!$Y$2:$Y$100, ISNUMBER(SEARCH(Validations!$X$2:$X$100, AX351))))"),"V, S, R")</f>
        <v>V, S, R</v>
      </c>
      <c r="AZ351" s="20" t="s">
        <v>1682</v>
      </c>
      <c r="BA351" s="22"/>
      <c r="BB351" s="22"/>
      <c r="BC351" s="22"/>
      <c r="BD351" s="22"/>
      <c r="BE351" s="27"/>
      <c r="BF351" s="22"/>
      <c r="BG351" s="27"/>
      <c r="BH351" s="27"/>
      <c r="BI351" s="12" t="str">
        <f>IFERROR(__xludf.DUMMYFUNCTION("IFERROR(TEXTJOIN("", "", TRUE, FILTER(SRD!$A$2:$A$1000, EXACT(SRD!$A$2:$A$1000, J351))), """")"),"")</f>
        <v/>
      </c>
      <c r="BJ351" s="29"/>
      <c r="BK351" s="29"/>
    </row>
    <row r="352" ht="15.75" customHeight="1">
      <c r="A352" s="30" t="s">
        <v>1683</v>
      </c>
      <c r="B352" s="22"/>
      <c r="C352" s="16"/>
      <c r="D352" s="16" t="s">
        <v>83</v>
      </c>
      <c r="E352" s="16"/>
      <c r="F352" s="32" t="s">
        <v>199</v>
      </c>
      <c r="G352" s="50" t="s">
        <v>1594</v>
      </c>
      <c r="H352" s="16" t="s">
        <v>103</v>
      </c>
      <c r="I352" s="16" t="str">
        <f t="array" ref="I352">INDEX(Validations!$C$2:$C$100, MATCH(TRUE, ISNUMBER(SEARCH(Validations!$B$2:$B$100, H352)), 0))</f>
        <v>C</v>
      </c>
      <c r="J352" s="17" t="s">
        <v>1684</v>
      </c>
      <c r="K352" s="18"/>
      <c r="L352" s="17"/>
      <c r="M352" s="17"/>
      <c r="N352" s="27"/>
      <c r="O352" s="17"/>
      <c r="P352" s="21"/>
      <c r="Q352" s="21"/>
      <c r="R352" s="22"/>
      <c r="S352" s="17" t="str">
        <f>IFERROR(__xludf.DUMMYFUNCTION("IFERROR(REGEXEXTRACT(J352, ""(\d{1,3}[dD]\d{1,3})""), """")"),"")</f>
        <v/>
      </c>
      <c r="T352" s="17" t="str">
        <f>IFERROR(__xludf.DUMMYFUNCTION("IF(COUNTIF(ARRAYFORMULA(LOWER(Validations!$O$2:$O$100)), LOWER(REGEXEXTRACT(J352, ""\d{1,3}[dD]\d{1,3}\s+(\w+)"")))&gt;0, REGEXEXTRACT(J352, ""\d{1,3}[dD]\d{1,3}\s+(\w+)""), """")"),"")</f>
        <v/>
      </c>
      <c r="U352" s="17" t="str">
        <f>IFERROR(__xludf.DUMMYFUNCTION("IF(COUNTIF(ARRAYFORMULA(LOWER(Validations!$P$2:$P$100)), LOWER(REGEXEXTRACT(J352, ""\d{1,3}[dD]\d{1,3}\s+(\w+)"")))&gt;0, REGEXEXTRACT(J352, ""\d{1,3}[dD]\d{1,3}\s+(\w+)""), """")"),"")</f>
        <v/>
      </c>
      <c r="V352" s="12" t="str">
        <f>IFERROR(__xludf.DUMMYFUNCTION("TEXTJOIN("", "", TRUE, FILTER(Validations!$L$2:$L$100, ISNUMBER(SEARCH(Validations!$L$2:$L$100, J352))))"),"Displaced")</f>
        <v>Displaced</v>
      </c>
      <c r="W352" s="12" t="str">
        <f>IFERROR(__xludf.DUMMYFUNCTION("IFERROR(TEXTJOIN("", "", TRUE, FILTER(Validations!$M$2:$M$100, ISNUMBER(SEARCH(Validations!$M$2:$M$100 &amp; "" saving throw"", J352)))), """")"),"Dexterity")</f>
        <v>Dexterity</v>
      </c>
      <c r="X352" s="12"/>
      <c r="Y352" s="12"/>
      <c r="Z352" s="12" t="str">
        <f>IFERROR(__xludf.DUMMYFUNCTION("IFERROR(TEXTJOIN("", "", TRUE, FILTER(Validations!$N$2:$N$100, ISNUMBER(SEARCH(Validations!$N$2:$N$100 &amp; "" check"", J352)))), """")"),"Arcana")</f>
        <v>Arcana</v>
      </c>
      <c r="AA352" s="12" t="str">
        <f>IFERROR(__xludf.DUMMYFUNCTION("IFERROR(TEXTJOIN("", "", TRUE, FILTER(Validations!$N$2:$N$100, ISNUMBER(SEARCH(Validations!$N$2:$N$100 &amp; "" check"", W352)))), """")"),"")</f>
        <v/>
      </c>
      <c r="AB352" s="23" t="str">
        <f>IFERROR(__xludf.DUMMYFUNCTION("IFERROR(CONCATENATE(IF(ISNUMBER(SEARCH(Validations!$M$2:$M$100 &amp; "" spell save"", J352)),""Spell Save"",""""), REGEXEXTRACT(J352, ""DC (\d+)"")), """")"),"20")</f>
        <v>20</v>
      </c>
      <c r="AC352" s="24" t="b">
        <v>0</v>
      </c>
      <c r="AD352" s="24" t="b">
        <v>0</v>
      </c>
      <c r="AE352" s="36" t="s">
        <v>69</v>
      </c>
      <c r="AF352" s="25">
        <f>IFERROR(__xludf.DUMMYFUNCTION("IFERROR(VALUE(REGEXEXTRACT(AE352, ""\d+"")), 1)"),1.0)</f>
        <v>1</v>
      </c>
      <c r="AG352" s="12" t="str">
        <f>IFERROR(__xludf.DUMMYFUNCTION("IF(
  ISNUMBER(SEARCH(""Bonus Action"", AE352)),
  ""Bonus Action"",
  IF(
    ISNUMBER(SEARCH(""Reaction"", AE352)),
    ""Reaction"",
    IF(
      ISNUMBER(SEARCH(""Action"", AE352)),
      ""Action"",
      TEXTJOIN("", "", TRUE, FILTER(Validations!$S"&amp;"$2:$S$100, ISNUMBER(SEARCH(Validations!$S$2:$S$100, AE352))))
    )
  )
)"),"Action")</f>
        <v>Action</v>
      </c>
      <c r="AH352" s="36"/>
      <c r="AI352" s="20" t="s">
        <v>556</v>
      </c>
      <c r="AJ352" s="26" t="str">
        <f>IFERROR(__xludf.DUMMYFUNCTION("TEXTJOIN("", "", TRUE, FILTER(Validations!$T$2:$T$100, ISNUMBER(SEARCH(Validations!$T$2:$T$100, AI352))))"),"")</f>
        <v/>
      </c>
      <c r="AK352" s="26">
        <f>IFERROR(__xludf.DUMMYFUNCTION("IFERROR(VALUE(REGEXEXTRACT(AI352, ""\d+"")), """")"),1.0)</f>
        <v>1</v>
      </c>
      <c r="AL352" s="26" t="str">
        <f>IFERROR(__xludf.DUMMYFUNCTION("TEXTJOIN("", "", TRUE, FILTER(Validations!$U$2:$U$100, ISNUMBER(SEARCH(Validations!$U$2:$U$100, AI352))))"),"Minutes")</f>
        <v>Minutes</v>
      </c>
      <c r="AM352" s="24" t="b">
        <f t="shared" si="1"/>
        <v>1</v>
      </c>
      <c r="AN352" s="42" t="b">
        <v>1</v>
      </c>
      <c r="AO352" s="36" t="s">
        <v>440</v>
      </c>
      <c r="AP352" s="12" t="str">
        <f>IFERROR(__xludf.DUMMYFUNCTION("IF(TEXTJOIN("", "", TRUE, FILTER(Validations!$Q$2:$Q$100, ISNUMBER(SEARCH(Validations!$Q$2:$Q$100, AO352)))) = """", Validations!$Q$2, TEXTJOIN("", "", TRUE, FILTER(Validations!$Q$2:$Q$100, ISNUMBER(SEARCH(Validations!$Q$2:$Q$100, AO352)))))"),"Point")</f>
        <v>Point</v>
      </c>
      <c r="AQ352" s="12">
        <f>IFERROR(__xludf.DUMMYFUNCTION("IFERROR(VALUE(REGEXEXTRACT(AO352, ""\d+"")), """")"),60.0)</f>
        <v>60</v>
      </c>
      <c r="AR352" s="12" t="str">
        <f>IFERROR(__xludf.DUMMYFUNCTION("TEXTJOIN("", "", TRUE, FILTER(Validations!$R$2:$R$100, ISNUMBER(SEARCH(Validations!$R$2:$R$100, AO352))))"),"Feet")</f>
        <v>Feet</v>
      </c>
      <c r="AS352" s="27"/>
      <c r="AT352" s="12" t="str">
        <f>IFERROR(__xludf.DUMMYFUNCTION("IFERROR(TEXTJOIN("", "", TRUE, FILTER(Validations!$I$2:$I$100, ISNUMBER(SEARCH(Validations!$I$2:$I$100, AS352)))), """")"),"")</f>
        <v/>
      </c>
      <c r="AU352" s="16" t="str">
        <f t="array" ref="AU352">IFERROR(INDEX(Validations!$J$2:$J$100, MATCH(TRUE, ISNUMBER(SEARCH(Validations!$I$2:$I$100, AT352)), 0)), "")</f>
        <v/>
      </c>
      <c r="AV352" s="12" t="str">
        <f>IFERROR(__xludf.DUMMYFUNCTION("IFERROR(VALUE(REGEXEXTRACT(AS352, ""\d+"")), """")"),"")</f>
        <v/>
      </c>
      <c r="AW352" s="12" t="str">
        <f>IFERROR(__xludf.DUMMYFUNCTION("IFERROR(TEXTJOIN("", "", TRUE, FILTER(Validations!$Q$2:$Q$100, ISNUMBER(SEARCH(Validations!$Q$2:$Q$100, AS352)))), """")"),"")</f>
        <v/>
      </c>
      <c r="AX352" s="28" t="s">
        <v>152</v>
      </c>
      <c r="AY352" s="28" t="str">
        <f>IFERROR(__xludf.DUMMYFUNCTION("TEXTJOIN("", "", TRUE, FILTER(Validations!$Y$2:$Y$100, ISNUMBER(SEARCH(Validations!$X$2:$X$100, AX352))))"),"V, S, R")</f>
        <v>V, S, R</v>
      </c>
      <c r="AZ352" s="20" t="s">
        <v>1685</v>
      </c>
      <c r="BA352" s="22"/>
      <c r="BB352" s="22"/>
      <c r="BC352" s="22"/>
      <c r="BD352" s="22"/>
      <c r="BE352" s="27"/>
      <c r="BF352" s="22"/>
      <c r="BG352" s="27"/>
      <c r="BH352" s="27"/>
      <c r="BI352" s="12" t="str">
        <f>IFERROR(__xludf.DUMMYFUNCTION("IFERROR(TEXTJOIN("", "", TRUE, FILTER(SRD!$A$2:$A$1000, EXACT(SRD!$A$2:$A$1000, J352))), """")"),"")</f>
        <v/>
      </c>
      <c r="BJ352" s="29"/>
      <c r="BK352" s="29"/>
    </row>
    <row r="353" ht="15.75" customHeight="1">
      <c r="A353" s="30" t="s">
        <v>1686</v>
      </c>
      <c r="B353" s="22"/>
      <c r="C353" s="31"/>
      <c r="D353" s="31" t="s">
        <v>74</v>
      </c>
      <c r="E353" s="31"/>
      <c r="F353" s="32" t="s">
        <v>108</v>
      </c>
      <c r="G353" s="50" t="s">
        <v>1594</v>
      </c>
      <c r="H353" s="31" t="s">
        <v>140</v>
      </c>
      <c r="I353" s="16" t="str">
        <f t="array" ref="I353">INDEX(Validations!$C$2:$C$100, MATCH(TRUE, ISNUMBER(SEARCH(Validations!$B$2:$B$100, H353)), 0))</f>
        <v>N</v>
      </c>
      <c r="J353" s="17" t="s">
        <v>1687</v>
      </c>
      <c r="K353" s="18"/>
      <c r="L353" s="17"/>
      <c r="M353" s="17"/>
      <c r="N353" s="20" t="s">
        <v>1688</v>
      </c>
      <c r="O353" s="17"/>
      <c r="P353" s="21"/>
      <c r="Q353" s="21"/>
      <c r="R353" s="22"/>
      <c r="S353" s="17" t="str">
        <f>IFERROR(__xludf.DUMMYFUNCTION("IFERROR(REGEXEXTRACT(J353, ""(\d{1,3}[dD]\d{1,3})""), """")"),"10d10")</f>
        <v>10d10</v>
      </c>
      <c r="T353" s="17" t="str">
        <f>IFERROR(__xludf.DUMMYFUNCTION("IF(COUNTIF(ARRAYFORMULA(LOWER(Validations!$O$2:$O$100)), LOWER(REGEXEXTRACT(J353, ""\d{1,3}[dD]\d{1,3}\s+(\w+)"")))&gt;0, REGEXEXTRACT(J353, ""\d{1,3}[dD]\d{1,3}\s+(\w+)""), """")"),"chiaric")</f>
        <v>chiaric</v>
      </c>
      <c r="U353" s="17" t="str">
        <f>IFERROR(__xludf.DUMMYFUNCTION("IF(COUNTIF(ARRAYFORMULA(LOWER(Validations!$P$2:$P$100)), LOWER(REGEXEXTRACT(J353, ""\d{1,3}[dD]\d{1,3}\s+(\w+)"")))&gt;0, REGEXEXTRACT(J353, ""\d{1,3}[dD]\d{1,3}\s+(\w+)""), """")"),"")</f>
        <v/>
      </c>
      <c r="V353" s="12" t="str">
        <f>IFERROR(__xludf.DUMMYFUNCTION("TEXTJOIN("", "", TRUE, FILTER(Validations!$L$2:$L$100, ISNUMBER(SEARCH(Validations!$L$2:$L$100, J353))))"),"Frightened")</f>
        <v>Frightened</v>
      </c>
      <c r="W353" s="12" t="str">
        <f>IFERROR(__xludf.DUMMYFUNCTION("IFERROR(TEXTJOIN("", "", TRUE, FILTER(Validations!$M$2:$M$100, ISNUMBER(SEARCH(Validations!$M$2:$M$100 &amp; "" saving throw"", J353)))), """")"),"Wisdom, Charisma")</f>
        <v>Wisdom, Charisma</v>
      </c>
      <c r="X353" s="12"/>
      <c r="Y353" s="12"/>
      <c r="Z353" s="12" t="str">
        <f>IFERROR(__xludf.DUMMYFUNCTION("IFERROR(TEXTJOIN("", "", TRUE, FILTER(Validations!$N$2:$N$100, ISNUMBER(SEARCH(Validations!$N$2:$N$100 &amp; "" check"", J353)))), """")"),"")</f>
        <v/>
      </c>
      <c r="AA353" s="12" t="str">
        <f>IFERROR(__xludf.DUMMYFUNCTION("IFERROR(TEXTJOIN("", "", TRUE, FILTER(Validations!$N$2:$N$100, ISNUMBER(SEARCH(Validations!$N$2:$N$100 &amp; "" check"", W353)))), """")"),"")</f>
        <v/>
      </c>
      <c r="AB353" s="23" t="str">
        <f>IFERROR(__xludf.DUMMYFUNCTION("IFERROR(CONCATENATE(IF(ISNUMBER(SEARCH(Validations!$M$2:$M$100 &amp; "" spell save"", J353)),""Spell Save"",""""), REGEXEXTRACT(J353, ""DC (\d+)"")), """")"),"")</f>
        <v/>
      </c>
      <c r="AC353" s="24" t="b">
        <v>0</v>
      </c>
      <c r="AD353" s="24" t="b">
        <v>0</v>
      </c>
      <c r="AE353" s="36" t="s">
        <v>69</v>
      </c>
      <c r="AF353" s="25">
        <f>IFERROR(__xludf.DUMMYFUNCTION("IFERROR(VALUE(REGEXEXTRACT(AE353, ""\d+"")), 1)"),1.0)</f>
        <v>1</v>
      </c>
      <c r="AG353" s="12" t="str">
        <f>IFERROR(__xludf.DUMMYFUNCTION("IF(
  ISNUMBER(SEARCH(""Bonus Action"", AE353)),
  ""Bonus Action"",
  IF(
    ISNUMBER(SEARCH(""Reaction"", AE353)),
    ""Reaction"",
    IF(
      ISNUMBER(SEARCH(""Action"", AE353)),
      ""Action"",
      TEXTJOIN("", "", TRUE, FILTER(Validations!$S"&amp;"$2:$S$100, ISNUMBER(SEARCH(Validations!$S$2:$S$100, AE353))))
    )
  )
)"),"Action")</f>
        <v>Action</v>
      </c>
      <c r="AH353" s="36"/>
      <c r="AI353" s="20" t="s">
        <v>92</v>
      </c>
      <c r="AJ353" s="26" t="str">
        <f>IFERROR(__xludf.DUMMYFUNCTION("TEXTJOIN("", "", TRUE, FILTER(Validations!$T$2:$T$100, ISNUMBER(SEARCH(Validations!$T$2:$T$100, AI353))))"),"")</f>
        <v/>
      </c>
      <c r="AK353" s="26">
        <f>IFERROR(__xludf.DUMMYFUNCTION("IFERROR(VALUE(REGEXEXTRACT(AI353, ""\d+"")), """")"),1.0)</f>
        <v>1</v>
      </c>
      <c r="AL353" s="26" t="str">
        <f>IFERROR(__xludf.DUMMYFUNCTION("TEXTJOIN("", "", TRUE, FILTER(Validations!$U$2:$U$100, ISNUMBER(SEARCH(Validations!$U$2:$U$100, AI353))))"),"Minutes")</f>
        <v>Minutes</v>
      </c>
      <c r="AM353" s="24" t="b">
        <f t="shared" si="1"/>
        <v>0</v>
      </c>
      <c r="AN353" s="24" t="b">
        <v>1</v>
      </c>
      <c r="AO353" s="22" t="s">
        <v>440</v>
      </c>
      <c r="AP353" s="12" t="str">
        <f>IFERROR(__xludf.DUMMYFUNCTION("IF(TEXTJOIN("", "", TRUE, FILTER(Validations!$Q$2:$Q$100, ISNUMBER(SEARCH(Validations!$Q$2:$Q$100, AO353)))) = """", Validations!$Q$2, TEXTJOIN("", "", TRUE, FILTER(Validations!$Q$2:$Q$100, ISNUMBER(SEARCH(Validations!$Q$2:$Q$100, AO353)))))"),"Point")</f>
        <v>Point</v>
      </c>
      <c r="AQ353" s="12">
        <f>IFERROR(__xludf.DUMMYFUNCTION("IFERROR(VALUE(REGEXEXTRACT(AO353, ""\d+"")), """")"),60.0)</f>
        <v>60</v>
      </c>
      <c r="AR353" s="12" t="str">
        <f>IFERROR(__xludf.DUMMYFUNCTION("TEXTJOIN("", "", TRUE, FILTER(Validations!$R$2:$R$100, ISNUMBER(SEARCH(Validations!$R$2:$R$100, AO353))))"),"Feet")</f>
        <v>Feet</v>
      </c>
      <c r="AS353" s="27"/>
      <c r="AT353" s="12" t="str">
        <f>IFERROR(__xludf.DUMMYFUNCTION("IFERROR(TEXTJOIN("", "", TRUE, FILTER(Validations!$I$2:$I$100, ISNUMBER(SEARCH(Validations!$I$2:$I$100, AS353)))), """")"),"")</f>
        <v/>
      </c>
      <c r="AU353" s="16" t="str">
        <f t="array" ref="AU353">IFERROR(INDEX(Validations!$J$2:$J$100, MATCH(TRUE, ISNUMBER(SEARCH(Validations!$I$2:$I$100, AT353)), 0)), "")</f>
        <v/>
      </c>
      <c r="AV353" s="12" t="str">
        <f>IFERROR(__xludf.DUMMYFUNCTION("IFERROR(VALUE(REGEXEXTRACT(AS353, ""\d+"")), """")"),"")</f>
        <v/>
      </c>
      <c r="AW353" s="12" t="str">
        <f>IFERROR(__xludf.DUMMYFUNCTION("IFERROR(TEXTJOIN("", "", TRUE, FILTER(Validations!$Q$2:$Q$100, ISNUMBER(SEARCH(Validations!$Q$2:$Q$100, AS353)))), """")"),"")</f>
        <v/>
      </c>
      <c r="AX353" s="28" t="s">
        <v>152</v>
      </c>
      <c r="AY353" s="28" t="str">
        <f>IFERROR(__xludf.DUMMYFUNCTION("TEXTJOIN("", "", TRUE, FILTER(Validations!$Y$2:$Y$100, ISNUMBER(SEARCH(Validations!$X$2:$X$100, AX353))))"),"V, S, R")</f>
        <v>V, S, R</v>
      </c>
      <c r="AZ353" s="20" t="s">
        <v>1689</v>
      </c>
      <c r="BA353" s="22"/>
      <c r="BB353" s="22"/>
      <c r="BC353" s="22"/>
      <c r="BD353" s="22"/>
      <c r="BE353" s="27"/>
      <c r="BF353" s="22"/>
      <c r="BG353" s="27"/>
      <c r="BH353" s="27"/>
      <c r="BI353" s="12" t="str">
        <f>IFERROR(__xludf.DUMMYFUNCTION("IFERROR(TEXTJOIN("", "", TRUE, FILTER(SRD!$A$2:$A$1000, EXACT(SRD!$A$2:$A$1000, J353))), """")"),"")</f>
        <v/>
      </c>
      <c r="BJ353" s="29"/>
      <c r="BK353" s="29"/>
    </row>
    <row r="354" ht="15.75" customHeight="1">
      <c r="A354" s="30" t="s">
        <v>1690</v>
      </c>
      <c r="B354" s="22"/>
      <c r="C354" s="31"/>
      <c r="D354" s="31" t="s">
        <v>74</v>
      </c>
      <c r="E354" s="31"/>
      <c r="F354" s="32" t="s">
        <v>1012</v>
      </c>
      <c r="G354" s="50" t="s">
        <v>1594</v>
      </c>
      <c r="H354" s="16" t="s">
        <v>178</v>
      </c>
      <c r="I354" s="16" t="str">
        <f t="array" ref="I354">INDEX(Validations!$C$2:$C$100, MATCH(TRUE, ISNUMBER(SEARCH(Validations!$B$2:$B$100, H354)), 0))</f>
        <v>A</v>
      </c>
      <c r="J354" s="17" t="s">
        <v>1691</v>
      </c>
      <c r="K354" s="18"/>
      <c r="L354" s="17"/>
      <c r="M354" s="17"/>
      <c r="N354" s="27"/>
      <c r="O354" s="17"/>
      <c r="P354" s="21"/>
      <c r="Q354" s="21"/>
      <c r="R354" s="22"/>
      <c r="S354" s="17" t="str">
        <f>IFERROR(__xludf.DUMMYFUNCTION("IFERROR(REGEXEXTRACT(J354, ""(\d{1,3}[dD]\d{1,3})""), """")"),"")</f>
        <v/>
      </c>
      <c r="T354" s="17" t="str">
        <f>IFERROR(__xludf.DUMMYFUNCTION("IF(COUNTIF(ARRAYFORMULA(LOWER(Validations!$O$2:$O$100)), LOWER(REGEXEXTRACT(J354, ""\d{1,3}[dD]\d{1,3}\s+(\w+)"")))&gt;0, REGEXEXTRACT(J354, ""\d{1,3}[dD]\d{1,3}\s+(\w+)""), """")"),"")</f>
        <v/>
      </c>
      <c r="U354" s="17" t="str">
        <f>IFERROR(__xludf.DUMMYFUNCTION("IF(COUNTIF(ARRAYFORMULA(LOWER(Validations!$P$2:$P$100)), LOWER(REGEXEXTRACT(J354, ""\d{1,3}[dD]\d{1,3}\s+(\w+)"")))&gt;0, REGEXEXTRACT(J354, ""\d{1,3}[dD]\d{1,3}\s+(\w+)""), """")"),"")</f>
        <v/>
      </c>
      <c r="V354" s="12" t="str">
        <f>IFERROR(__xludf.DUMMYFUNCTION("TEXTJOIN("", "", TRUE, FILTER(Validations!$L$2:$L$100, ISNUMBER(SEARCH(Validations!$L$2:$L$100, J354))))"),"")</f>
        <v/>
      </c>
      <c r="W354" s="12" t="str">
        <f>IFERROR(__xludf.DUMMYFUNCTION("IFERROR(TEXTJOIN("", "", TRUE, FILTER(Validations!$M$2:$M$100, ISNUMBER(SEARCH(Validations!$M$2:$M$100 &amp; "" saving throw"", J354)))), """")"),"")</f>
        <v/>
      </c>
      <c r="X354" s="12"/>
      <c r="Y354" s="12"/>
      <c r="Z354" s="12" t="str">
        <f>IFERROR(__xludf.DUMMYFUNCTION("IFERROR(TEXTJOIN("", "", TRUE, FILTER(Validations!$N$2:$N$100, ISNUMBER(SEARCH(Validations!$N$2:$N$100 &amp; "" check"", J354)))), """")"),"")</f>
        <v/>
      </c>
      <c r="AA354" s="12" t="str">
        <f>IFERROR(__xludf.DUMMYFUNCTION("IFERROR(TEXTJOIN("", "", TRUE, FILTER(Validations!$N$2:$N$100, ISNUMBER(SEARCH(Validations!$N$2:$N$100 &amp; "" check"", W354)))), """")"),"")</f>
        <v/>
      </c>
      <c r="AB354" s="23" t="str">
        <f>IFERROR(__xludf.DUMMYFUNCTION("IFERROR(CONCATENATE(IF(ISNUMBER(SEARCH(Validations!$M$2:$M$100 &amp; "" spell save"", J354)),""Spell Save"",""""), REGEXEXTRACT(J354, ""DC (\d+)"")), """")"),"")</f>
        <v/>
      </c>
      <c r="AC354" s="24" t="b">
        <v>0</v>
      </c>
      <c r="AD354" s="24" t="b">
        <v>0</v>
      </c>
      <c r="AE354" s="36" t="s">
        <v>69</v>
      </c>
      <c r="AF354" s="25">
        <f>IFERROR(__xludf.DUMMYFUNCTION("IFERROR(VALUE(REGEXEXTRACT(AE354, ""\d+"")), 1)"),1.0)</f>
        <v>1</v>
      </c>
      <c r="AG354" s="12" t="str">
        <f>IFERROR(__xludf.DUMMYFUNCTION("IF(
  ISNUMBER(SEARCH(""Bonus Action"", AE354)),
  ""Bonus Action"",
  IF(
    ISNUMBER(SEARCH(""Reaction"", AE354)),
    ""Reaction"",
    IF(
      ISNUMBER(SEARCH(""Action"", AE354)),
      ""Action"",
      TEXTJOIN("", "", TRUE, FILTER(Validations!$S"&amp;"$2:$S$100, ISNUMBER(SEARCH(Validations!$S$2:$S$100, AE354))))
    )
  )
)"),"Action")</f>
        <v>Action</v>
      </c>
      <c r="AH354" s="36"/>
      <c r="AI354" s="27" t="s">
        <v>70</v>
      </c>
      <c r="AJ354" s="26" t="str">
        <f>IFERROR(__xludf.DUMMYFUNCTION("TEXTJOIN("", "", TRUE, FILTER(Validations!$T$2:$T$100, ISNUMBER(SEARCH(Validations!$T$2:$T$100, AI354))))"),"Instantaneous")</f>
        <v>Instantaneous</v>
      </c>
      <c r="AK354" s="26" t="str">
        <f>IFERROR(__xludf.DUMMYFUNCTION("IFERROR(VALUE(REGEXEXTRACT(AI354, ""\d+"")), """")"),"")</f>
        <v/>
      </c>
      <c r="AL354" s="26" t="str">
        <f>IFERROR(__xludf.DUMMYFUNCTION("TEXTJOIN("", "", TRUE, FILTER(Validations!$U$2:$U$100, ISNUMBER(SEARCH(Validations!$U$2:$U$100, AI354))))"),"")</f>
        <v/>
      </c>
      <c r="AM354" s="24" t="b">
        <f t="shared" si="1"/>
        <v>0</v>
      </c>
      <c r="AN354" s="24" t="b">
        <v>0</v>
      </c>
      <c r="AO354" s="22" t="s">
        <v>105</v>
      </c>
      <c r="AP354" s="12" t="str">
        <f>IFERROR(__xludf.DUMMYFUNCTION("IF(TEXTJOIN("", "", TRUE, FILTER(Validations!$Q$2:$Q$100, ISNUMBER(SEARCH(Validations!$Q$2:$Q$100, AO354)))) = """", Validations!$Q$2, TEXTJOIN("", "", TRUE, FILTER(Validations!$Q$2:$Q$100, ISNUMBER(SEARCH(Validations!$Q$2:$Q$100, AO354)))))"),"Point")</f>
        <v>Point</v>
      </c>
      <c r="AQ354" s="12">
        <f>IFERROR(__xludf.DUMMYFUNCTION("IFERROR(VALUE(REGEXEXTRACT(AO354, ""\d+"")), """")"),10.0)</f>
        <v>10</v>
      </c>
      <c r="AR354" s="12" t="str">
        <f>IFERROR(__xludf.DUMMYFUNCTION("TEXTJOIN("", "", TRUE, FILTER(Validations!$R$2:$R$100, ISNUMBER(SEARCH(Validations!$R$2:$R$100, AO354))))"),"Feet")</f>
        <v>Feet</v>
      </c>
      <c r="AS354" s="27"/>
      <c r="AT354" s="12" t="str">
        <f>IFERROR(__xludf.DUMMYFUNCTION("IFERROR(TEXTJOIN("", "", TRUE, FILTER(Validations!$I$2:$I$100, ISNUMBER(SEARCH(Validations!$I$2:$I$100, AS354)))), """")"),"")</f>
        <v/>
      </c>
      <c r="AU354" s="16" t="str">
        <f t="array" ref="AU354">IFERROR(INDEX(Validations!$J$2:$J$100, MATCH(TRUE, ISNUMBER(SEARCH(Validations!$I$2:$I$100, AT354)), 0)), "")</f>
        <v/>
      </c>
      <c r="AV354" s="12" t="str">
        <f>IFERROR(__xludf.DUMMYFUNCTION("IFERROR(VALUE(REGEXEXTRACT(AS354, ""\d+"")), """")"),"")</f>
        <v/>
      </c>
      <c r="AW354" s="12" t="str">
        <f>IFERROR(__xludf.DUMMYFUNCTION("IFERROR(TEXTJOIN("", "", TRUE, FILTER(Validations!$Q$2:$Q$100, ISNUMBER(SEARCH(Validations!$Q$2:$Q$100, AS354)))), """")"),"")</f>
        <v/>
      </c>
      <c r="AX354" s="28" t="s">
        <v>152</v>
      </c>
      <c r="AY354" s="28" t="str">
        <f>IFERROR(__xludf.DUMMYFUNCTION("TEXTJOIN("", "", TRUE, FILTER(Validations!$Y$2:$Y$100, ISNUMBER(SEARCH(Validations!$X$2:$X$100, AX354))))"),"V, S, R")</f>
        <v>V, S, R</v>
      </c>
      <c r="AZ354" s="20" t="s">
        <v>1692</v>
      </c>
      <c r="BA354" s="22"/>
      <c r="BB354" s="22"/>
      <c r="BC354" s="22"/>
      <c r="BD354" s="22"/>
      <c r="BE354" s="27"/>
      <c r="BF354" s="22"/>
      <c r="BG354" s="27"/>
      <c r="BH354" s="27"/>
      <c r="BI354" s="12" t="str">
        <f>IFERROR(__xludf.DUMMYFUNCTION("IFERROR(TEXTJOIN("", "", TRUE, FILTER(SRD!$A$2:$A$1000, EXACT(SRD!$A$2:$A$1000, J354))), """")"),"")</f>
        <v/>
      </c>
      <c r="BJ354" s="29"/>
      <c r="BK354" s="29"/>
    </row>
    <row r="355" ht="15.75" customHeight="1">
      <c r="A355" s="30" t="s">
        <v>1693</v>
      </c>
      <c r="B355" s="22"/>
      <c r="C355" s="31"/>
      <c r="D355" s="31" t="s">
        <v>74</v>
      </c>
      <c r="E355" s="31"/>
      <c r="F355" s="32" t="s">
        <v>139</v>
      </c>
      <c r="G355" s="15" t="s">
        <v>1594</v>
      </c>
      <c r="H355" s="31" t="s">
        <v>140</v>
      </c>
      <c r="I355" s="16" t="str">
        <f t="array" ref="I355">INDEX(Validations!$C$2:$C$100, MATCH(TRUE, ISNUMBER(SEARCH(Validations!$B$2:$B$100, H355)), 0))</f>
        <v>N</v>
      </c>
      <c r="J355" s="17" t="s">
        <v>1694</v>
      </c>
      <c r="K355" s="18"/>
      <c r="L355" s="17"/>
      <c r="M355" s="17"/>
      <c r="N355" s="27"/>
      <c r="O355" s="17"/>
      <c r="P355" s="21"/>
      <c r="Q355" s="21"/>
      <c r="R355" s="22"/>
      <c r="S355" s="17" t="str">
        <f>IFERROR(__xludf.DUMMYFUNCTION("IFERROR(REGEXEXTRACT(J355, ""(\d{1,3}[dD]\d{1,3})""), """")"),"")</f>
        <v/>
      </c>
      <c r="T355" s="17" t="str">
        <f>IFERROR(__xludf.DUMMYFUNCTION("IF(COUNTIF(ARRAYFORMULA(LOWER(Validations!$O$2:$O$100)), LOWER(REGEXEXTRACT(J355, ""\d{1,3}[dD]\d{1,3}\s+(\w+)"")))&gt;0, REGEXEXTRACT(J355, ""\d{1,3}[dD]\d{1,3}\s+(\w+)""), """")"),"")</f>
        <v/>
      </c>
      <c r="U355" s="17" t="str">
        <f>IFERROR(__xludf.DUMMYFUNCTION("IF(COUNTIF(ARRAYFORMULA(LOWER(Validations!$P$2:$P$100)), LOWER(REGEXEXTRACT(J355, ""\d{1,3}[dD]\d{1,3}\s+(\w+)"")))&gt;0, REGEXEXTRACT(J355, ""\d{1,3}[dD]\d{1,3}\s+(\w+)""), """")"),"")</f>
        <v/>
      </c>
      <c r="V355" s="12" t="str">
        <f>IFERROR(__xludf.DUMMYFUNCTION("TEXTJOIN("", "", TRUE, FILTER(Validations!$L$2:$L$100, ISNUMBER(SEARCH(Validations!$L$2:$L$100, J355))))"),"Invisible, Exhaustion")</f>
        <v>Invisible, Exhaustion</v>
      </c>
      <c r="W355" s="12" t="str">
        <f>IFERROR(__xludf.DUMMYFUNCTION("IFERROR(TEXTJOIN("", "", TRUE, FILTER(Validations!$M$2:$M$100, ISNUMBER(SEARCH(Validations!$M$2:$M$100 &amp; "" saving throw"", J355)))), """")"),"Wisdom")</f>
        <v>Wisdom</v>
      </c>
      <c r="X355" s="12"/>
      <c r="Y355" s="12"/>
      <c r="Z355" s="12" t="str">
        <f>IFERROR(__xludf.DUMMYFUNCTION("IFERROR(TEXTJOIN("", "", TRUE, FILTER(Validations!$N$2:$N$100, ISNUMBER(SEARCH(Validations!$N$2:$N$100 &amp; "" check"", J355)))), """")"),"")</f>
        <v/>
      </c>
      <c r="AA355" s="12" t="str">
        <f>IFERROR(__xludf.DUMMYFUNCTION("IFERROR(TEXTJOIN("", "", TRUE, FILTER(Validations!$N$2:$N$100, ISNUMBER(SEARCH(Validations!$N$2:$N$100 &amp; "" check"", W355)))), """")"),"")</f>
        <v/>
      </c>
      <c r="AB355" s="23" t="str">
        <f>IFERROR(__xludf.DUMMYFUNCTION("IFERROR(CONCATENATE(IF(ISNUMBER(SEARCH(Validations!$M$2:$M$100 &amp; "" spell save"", J355)),""Spell Save"",""""), REGEXEXTRACT(J355, ""DC (\d+)"")), """")"),"18")</f>
        <v>18</v>
      </c>
      <c r="AC355" s="24" t="b">
        <v>0</v>
      </c>
      <c r="AD355" s="24" t="b">
        <v>0</v>
      </c>
      <c r="AE355" s="36" t="s">
        <v>296</v>
      </c>
      <c r="AF355" s="25">
        <f>IFERROR(__xludf.DUMMYFUNCTION("IFERROR(VALUE(REGEXEXTRACT(AE355, ""\d+"")), 1)"),1.0)</f>
        <v>1</v>
      </c>
      <c r="AG355" s="12" t="str">
        <f>IFERROR(__xludf.DUMMYFUNCTION("IF(
  ISNUMBER(SEARCH(""Bonus Action"", AE355)),
  ""Bonus Action"",
  IF(
    ISNUMBER(SEARCH(""Reaction"", AE355)),
    ""Reaction"",
    IF(
      ISNUMBER(SEARCH(""Action"", AE355)),
      ""Action"",
      TEXTJOIN("", "", TRUE, FILTER(Validations!$S"&amp;"$2:$S$100, ISNUMBER(SEARCH(Validations!$S$2:$S$100, AE355))))
    )
  )
)"),"Hours")</f>
        <v>Hours</v>
      </c>
      <c r="AH355" s="22"/>
      <c r="AI355" s="27" t="s">
        <v>1677</v>
      </c>
      <c r="AJ355" s="26" t="str">
        <f>IFERROR(__xludf.DUMMYFUNCTION("TEXTJOIN("", "", TRUE, FILTER(Validations!$T$2:$T$100, ISNUMBER(SEARCH(Validations!$T$2:$T$100, AI355))))"),"Permanent")</f>
        <v>Permanent</v>
      </c>
      <c r="AK355" s="26" t="str">
        <f>IFERROR(__xludf.DUMMYFUNCTION("IFERROR(VALUE(REGEXEXTRACT(AI355, ""\d+"")), """")"),"")</f>
        <v/>
      </c>
      <c r="AL355" s="26" t="str">
        <f>IFERROR(__xludf.DUMMYFUNCTION("TEXTJOIN("", "", TRUE, FILTER(Validations!$U$2:$U$100, ISNUMBER(SEARCH(Validations!$U$2:$U$100, AI355))))"),"")</f>
        <v/>
      </c>
      <c r="AM355" s="24" t="b">
        <f t="shared" si="1"/>
        <v>0</v>
      </c>
      <c r="AN355" s="24" t="b">
        <v>0</v>
      </c>
      <c r="AO355" s="22" t="s">
        <v>755</v>
      </c>
      <c r="AP355" s="12" t="str">
        <f>IFERROR(__xludf.DUMMYFUNCTION("IF(TEXTJOIN("", "", TRUE, FILTER(Validations!$Q$2:$Q$100, ISNUMBER(SEARCH(Validations!$Q$2:$Q$100, AO355)))) = """", Validations!$Q$2, TEXTJOIN("", "", TRUE, FILTER(Validations!$Q$2:$Q$100, ISNUMBER(SEARCH(Validations!$Q$2:$Q$100, AO355)))))"),"Point")</f>
        <v>Point</v>
      </c>
      <c r="AQ355" s="12">
        <f>IFERROR(__xludf.DUMMYFUNCTION("IFERROR(VALUE(REGEXEXTRACT(AO355, ""\d+"")), """")"),1.0)</f>
        <v>1</v>
      </c>
      <c r="AR355" s="12" t="str">
        <f>IFERROR(__xludf.DUMMYFUNCTION("TEXTJOIN("", "", TRUE, FILTER(Validations!$R$2:$R$100, ISNUMBER(SEARCH(Validations!$R$2:$R$100, AO355))))"),"")</f>
        <v/>
      </c>
      <c r="AS355" s="27"/>
      <c r="AT355" s="12" t="str">
        <f>IFERROR(__xludf.DUMMYFUNCTION("IFERROR(TEXTJOIN("", "", TRUE, FILTER(Validations!$I$2:$I$100, ISNUMBER(SEARCH(Validations!$I$2:$I$100, AS355)))), """")"),"")</f>
        <v/>
      </c>
      <c r="AU355" s="16" t="str">
        <f t="array" ref="AU355">IFERROR(INDEX(Validations!$J$2:$J$100, MATCH(TRUE, ISNUMBER(SEARCH(Validations!$I$2:$I$100, AT355)), 0)), "")</f>
        <v/>
      </c>
      <c r="AV355" s="12" t="str">
        <f>IFERROR(__xludf.DUMMYFUNCTION("IFERROR(VALUE(REGEXEXTRACT(AS355, ""\d+"")), """")"),"")</f>
        <v/>
      </c>
      <c r="AW355" s="12" t="str">
        <f>IFERROR(__xludf.DUMMYFUNCTION("IFERROR(TEXTJOIN("", "", TRUE, FILTER(Validations!$Q$2:$Q$100, ISNUMBER(SEARCH(Validations!$Q$2:$Q$100, AS355)))), """")"),"")</f>
        <v/>
      </c>
      <c r="AX355" s="28" t="s">
        <v>152</v>
      </c>
      <c r="AY355" s="28" t="str">
        <f>IFERROR(__xludf.DUMMYFUNCTION("TEXTJOIN("", "", TRUE, FILTER(Validations!$Y$2:$Y$100, ISNUMBER(SEARCH(Validations!$X$2:$X$100, AX355))))"),"V, S, R")</f>
        <v>V, S, R</v>
      </c>
      <c r="AZ355" s="20" t="s">
        <v>1695</v>
      </c>
      <c r="BA355" s="22"/>
      <c r="BB355" s="22"/>
      <c r="BC355" s="22"/>
      <c r="BD355" s="22"/>
      <c r="BE355" s="27"/>
      <c r="BF355" s="28" t="s">
        <v>352</v>
      </c>
      <c r="BG355" s="27"/>
      <c r="BH355" s="27"/>
      <c r="BI355" s="12" t="str">
        <f>IFERROR(__xludf.DUMMYFUNCTION("IFERROR(TEXTJOIN("", "", TRUE, FILTER(SRD!$A$2:$A$1000, EXACT(SRD!$A$2:$A$1000, J355))), """")"),"")</f>
        <v/>
      </c>
      <c r="BJ355" s="29"/>
      <c r="BK355" s="29"/>
    </row>
    <row r="356" ht="15.75" customHeight="1">
      <c r="A356" s="38" t="s">
        <v>1696</v>
      </c>
      <c r="B356" s="12"/>
      <c r="C356" s="16"/>
      <c r="D356" s="16" t="s">
        <v>1273</v>
      </c>
      <c r="E356" s="16"/>
      <c r="F356" s="39" t="s">
        <v>649</v>
      </c>
      <c r="G356" s="15" t="s">
        <v>1594</v>
      </c>
      <c r="H356" s="31" t="s">
        <v>140</v>
      </c>
      <c r="I356" s="16" t="str">
        <f t="array" ref="I356">INDEX(Validations!$C$2:$C$100, MATCH(TRUE, ISNUMBER(SEARCH(Validations!$B$2:$B$100, H356)), 0))</f>
        <v>N</v>
      </c>
      <c r="J356" s="17" t="s">
        <v>1697</v>
      </c>
      <c r="K356" s="18"/>
      <c r="L356" s="52"/>
      <c r="M356" s="52"/>
      <c r="N356" s="26" t="s">
        <v>1698</v>
      </c>
      <c r="O356" s="17" t="s">
        <v>1699</v>
      </c>
      <c r="P356" s="21"/>
      <c r="Q356" s="21"/>
      <c r="R356" s="36" t="s">
        <v>840</v>
      </c>
      <c r="S356" s="17" t="str">
        <f>IFERROR(__xludf.DUMMYFUNCTION("IFERROR(REGEXEXTRACT(J356, ""(\d{1,3}[dD]\d{1,3})""), """")"),"2d10")</f>
        <v>2d10</v>
      </c>
      <c r="T356" s="17" t="str">
        <f>IFERROR(__xludf.DUMMYFUNCTION("IF(COUNTIF(ARRAYFORMULA(LOWER(Validations!$O$2:$O$100)), LOWER(REGEXEXTRACT(J356, ""\d{1,3}[dD]\d{1,3}\s+(\w+)"")))&gt;0, REGEXEXTRACT(J356, ""\d{1,3}[dD]\d{1,3}\s+(\w+)""), """")"),"chiaric")</f>
        <v>chiaric</v>
      </c>
      <c r="U356" s="17" t="str">
        <f>IFERROR(__xludf.DUMMYFUNCTION("IF(COUNTIF(ARRAYFORMULA(LOWER(Validations!$P$2:$P$100)), LOWER(REGEXEXTRACT(J356, ""\d{1,3}[dD]\d{1,3}\s+(\w+)"")))&gt;0, REGEXEXTRACT(J356, ""\d{1,3}[dD]\d{1,3}\s+(\w+)""), """")"),"")</f>
        <v/>
      </c>
      <c r="V356" s="12" t="str">
        <f>IFERROR(__xludf.DUMMYFUNCTION("TEXTJOIN("", "", TRUE, FILTER(Validations!$L$2:$L$100, ISNUMBER(SEARCH(Validations!$L$2:$L$100, J356))))"),"Altered, Frightened")</f>
        <v>Altered, Frightened</v>
      </c>
      <c r="W356" s="12" t="str">
        <f>IFERROR(__xludf.DUMMYFUNCTION("IFERROR(TEXTJOIN("", "", TRUE, FILTER(Validations!$M$2:$M$100, ISNUMBER(SEARCH(Validations!$M$2:$M$100 &amp; "" saving throw"", J356)))), """")"),"Constitution")</f>
        <v>Constitution</v>
      </c>
      <c r="X356" s="12"/>
      <c r="Y356" s="12"/>
      <c r="Z356" s="12" t="str">
        <f>IFERROR(__xludf.DUMMYFUNCTION("IFERROR(TEXTJOIN("", "", TRUE, FILTER(Validations!$N$2:$N$100, ISNUMBER(SEARCH(Validations!$N$2:$N$100 &amp; "" check"", J356)))), """")"),"")</f>
        <v/>
      </c>
      <c r="AA356" s="12" t="str">
        <f>IFERROR(__xludf.DUMMYFUNCTION("IFERROR(TEXTJOIN("", "", TRUE, FILTER(Validations!$N$2:$N$100, ISNUMBER(SEARCH(Validations!$N$2:$N$100 &amp; "" check"", W356)))), """")"),"")</f>
        <v/>
      </c>
      <c r="AB356" s="23" t="str">
        <f>IFERROR(__xludf.DUMMYFUNCTION("IFERROR(CONCATENATE(IF(ISNUMBER(SEARCH(Validations!$M$2:$M$100 &amp; "" spell save"", J356)),""Spell Save"",""""), REGEXEXTRACT(J356, ""DC (\d+)"")), """")"),"")</f>
        <v/>
      </c>
      <c r="AC356" s="24" t="b">
        <v>0</v>
      </c>
      <c r="AD356" s="24" t="b">
        <v>0</v>
      </c>
      <c r="AE356" s="12" t="s">
        <v>69</v>
      </c>
      <c r="AF356" s="25">
        <f>IFERROR(__xludf.DUMMYFUNCTION("IFERROR(VALUE(REGEXEXTRACT(AE356, ""\d+"")), 1)"),1.0)</f>
        <v>1</v>
      </c>
      <c r="AG356" s="12" t="str">
        <f>IFERROR(__xludf.DUMMYFUNCTION("IF(
  ISNUMBER(SEARCH(""Bonus Action"", AE356)),
  ""Bonus Action"",
  IF(
    ISNUMBER(SEARCH(""Reaction"", AE356)),
    ""Reaction"",
    IF(
      ISNUMBER(SEARCH(""Action"", AE356)),
      ""Action"",
      TEXTJOIN("", "", TRUE, FILTER(Validations!$S"&amp;"$2:$S$100, ISNUMBER(SEARCH(Validations!$S$2:$S$100, AE356))))
    )
  )
)"),"Action")</f>
        <v>Action</v>
      </c>
      <c r="AH356" s="12"/>
      <c r="AI356" s="20" t="s">
        <v>92</v>
      </c>
      <c r="AJ356" s="26" t="str">
        <f>IFERROR(__xludf.DUMMYFUNCTION("TEXTJOIN("", "", TRUE, FILTER(Validations!$T$2:$T$100, ISNUMBER(SEARCH(Validations!$T$2:$T$100, AI356))))"),"")</f>
        <v/>
      </c>
      <c r="AK356" s="26">
        <f>IFERROR(__xludf.DUMMYFUNCTION("IFERROR(VALUE(REGEXEXTRACT(AI356, ""\d+"")), """")"),1.0)</f>
        <v>1</v>
      </c>
      <c r="AL356" s="26" t="str">
        <f>IFERROR(__xludf.DUMMYFUNCTION("TEXTJOIN("", "", TRUE, FILTER(Validations!$U$2:$U$100, ISNUMBER(SEARCH(Validations!$U$2:$U$100, AI356))))"),"Minutes")</f>
        <v>Minutes</v>
      </c>
      <c r="AM356" s="24" t="b">
        <f t="shared" si="1"/>
        <v>0</v>
      </c>
      <c r="AN356" s="24" t="b">
        <v>0</v>
      </c>
      <c r="AO356" s="36" t="s">
        <v>243</v>
      </c>
      <c r="AP356" s="12" t="str">
        <f>IFERROR(__xludf.DUMMYFUNCTION("IF(TEXTJOIN("", "", TRUE, FILTER(Validations!$Q$2:$Q$100, ISNUMBER(SEARCH(Validations!$Q$2:$Q$100, AO356)))) = """", Validations!$Q$2, TEXTJOIN("", "", TRUE, FILTER(Validations!$Q$2:$Q$100, ISNUMBER(SEARCH(Validations!$Q$2:$Q$100, AO356)))))"),"Radius")</f>
        <v>Radius</v>
      </c>
      <c r="AQ356" s="12">
        <f>IFERROR(__xludf.DUMMYFUNCTION("IFERROR(VALUE(REGEXEXTRACT(AO356, ""\d+"")), """")"),30.0)</f>
        <v>30</v>
      </c>
      <c r="AR356" s="12" t="str">
        <f>IFERROR(__xludf.DUMMYFUNCTION("TEXTJOIN("", "", TRUE, FILTER(Validations!$R$2:$R$100, ISNUMBER(SEARCH(Validations!$R$2:$R$100, AO356))))"),"Self, Feet")</f>
        <v>Self, Feet</v>
      </c>
      <c r="AS356" s="26"/>
      <c r="AT356" s="12" t="str">
        <f>IFERROR(__xludf.DUMMYFUNCTION("IFERROR(TEXTJOIN("", "", TRUE, FILTER(Validations!$I$2:$I$100, ISNUMBER(SEARCH(Validations!$I$2:$I$100, AS356)))), """")"),"")</f>
        <v/>
      </c>
      <c r="AU356" s="16" t="str">
        <f t="array" ref="AU356">IFERROR(INDEX(Validations!$J$2:$J$100, MATCH(TRUE, ISNUMBER(SEARCH(Validations!$I$2:$I$100, AT356)), 0)), "")</f>
        <v/>
      </c>
      <c r="AV356" s="12" t="str">
        <f>IFERROR(__xludf.DUMMYFUNCTION("IFERROR(VALUE(REGEXEXTRACT(AS356, ""\d+"")), """")"),"")</f>
        <v/>
      </c>
      <c r="AW356" s="12" t="str">
        <f>IFERROR(__xludf.DUMMYFUNCTION("IFERROR(TEXTJOIN("", "", TRUE, FILTER(Validations!$Q$2:$Q$100, ISNUMBER(SEARCH(Validations!$Q$2:$Q$100, AS356)))), """")"),"")</f>
        <v/>
      </c>
      <c r="AX356" s="36" t="s">
        <v>152</v>
      </c>
      <c r="AY356" s="28" t="str">
        <f>IFERROR(__xludf.DUMMYFUNCTION("TEXTJOIN("", "", TRUE, FILTER(Validations!$Y$2:$Y$100, ISNUMBER(SEARCH(Validations!$X$2:$X$100, AX356))))"),"V, S, R")</f>
        <v>V, S, R</v>
      </c>
      <c r="AZ356" s="26" t="s">
        <v>1700</v>
      </c>
      <c r="BA356" s="12"/>
      <c r="BB356" s="22"/>
      <c r="BC356" s="22"/>
      <c r="BD356" s="22"/>
      <c r="BE356" s="27"/>
      <c r="BF356" s="22"/>
      <c r="BG356" s="27"/>
      <c r="BH356" s="27"/>
      <c r="BI356" s="12" t="str">
        <f>IFERROR(__xludf.DUMMYFUNCTION("IFERROR(TEXTJOIN("", "", TRUE, FILTER(SRD!$A$2:$A$1000, EXACT(SRD!$A$2:$A$1000, J356))), """")"),"")</f>
        <v/>
      </c>
      <c r="BJ356" s="29"/>
      <c r="BK356" s="29"/>
    </row>
    <row r="357" ht="15.75" customHeight="1">
      <c r="A357" s="38" t="s">
        <v>1701</v>
      </c>
      <c r="B357" s="12"/>
      <c r="C357" s="16"/>
      <c r="D357" s="16" t="s">
        <v>1273</v>
      </c>
      <c r="E357" s="16"/>
      <c r="F357" s="32" t="s">
        <v>250</v>
      </c>
      <c r="G357" s="15" t="s">
        <v>1594</v>
      </c>
      <c r="H357" s="31" t="s">
        <v>140</v>
      </c>
      <c r="I357" s="16" t="str">
        <f t="array" ref="I357">INDEX(Validations!$C$2:$C$100, MATCH(TRUE, ISNUMBER(SEARCH(Validations!$B$2:$B$100, H357)), 0))</f>
        <v>N</v>
      </c>
      <c r="J357" s="17" t="s">
        <v>1702</v>
      </c>
      <c r="K357" s="51"/>
      <c r="L357" s="17"/>
      <c r="M357" s="17" t="s">
        <v>1703</v>
      </c>
      <c r="N357" s="20" t="s">
        <v>1704</v>
      </c>
      <c r="O357" s="17" t="s">
        <v>1705</v>
      </c>
      <c r="P357" s="21"/>
      <c r="Q357" s="21" t="s">
        <v>1706</v>
      </c>
      <c r="R357" s="36" t="s">
        <v>840</v>
      </c>
      <c r="S357" s="17" t="str">
        <f>IFERROR(__xludf.DUMMYFUNCTION("IFERROR(REGEXEXTRACT(J357, ""(\d{1,3}[dD]\d{1,3})""), """")"),"5d10")</f>
        <v>5d10</v>
      </c>
      <c r="T357" s="17" t="str">
        <f>IFERROR(__xludf.DUMMYFUNCTION("IF(COUNTIF(ARRAYFORMULA(LOWER(Validations!$O$2:$O$100)), LOWER(REGEXEXTRACT(J357, ""\d{1,3}[dD]\d{1,3}\s+(\w+)"")))&gt;0, REGEXEXTRACT(J357, ""\d{1,3}[dD]\d{1,3}\s+(\w+)""), """")"),"chiaric")</f>
        <v>chiaric</v>
      </c>
      <c r="U357" s="17" t="str">
        <f>IFERROR(__xludf.DUMMYFUNCTION("IF(COUNTIF(ARRAYFORMULA(LOWER(Validations!$P$2:$P$100)), LOWER(REGEXEXTRACT(J357, ""\d{1,3}[dD]\d{1,3}\s+(\w+)"")))&gt;0, REGEXEXTRACT(J357, ""\d{1,3}[dD]\d{1,3}\s+(\w+)""), """")"),"")</f>
        <v/>
      </c>
      <c r="V357" s="12" t="str">
        <f>IFERROR(__xludf.DUMMYFUNCTION("TEXTJOIN("", "", TRUE, FILTER(Validations!$L$2:$L$100, ISNUMBER(SEARCH(Validations!$L$2:$L$100, J357))))"),"")</f>
        <v/>
      </c>
      <c r="W357" s="12" t="str">
        <f>IFERROR(__xludf.DUMMYFUNCTION("IFERROR(TEXTJOIN("", "", TRUE, FILTER(Validations!$M$2:$M$100, ISNUMBER(SEARCH(Validations!$M$2:$M$100 &amp; "" saving throw"", J357)))), """")"),"Constitution")</f>
        <v>Constitution</v>
      </c>
      <c r="X357" s="12"/>
      <c r="Y357" s="12"/>
      <c r="Z357" s="12" t="str">
        <f>IFERROR(__xludf.DUMMYFUNCTION("IFERROR(TEXTJOIN("", "", TRUE, FILTER(Validations!$N$2:$N$100, ISNUMBER(SEARCH(Validations!$N$2:$N$100 &amp; "" check"", J357)))), """")"),"")</f>
        <v/>
      </c>
      <c r="AA357" s="12" t="str">
        <f>IFERROR(__xludf.DUMMYFUNCTION("IFERROR(TEXTJOIN("", "", TRUE, FILTER(Validations!$N$2:$N$100, ISNUMBER(SEARCH(Validations!$N$2:$N$100 &amp; "" check"", W357)))), """")"),"")</f>
        <v/>
      </c>
      <c r="AB357" s="23" t="str">
        <f>IFERROR(__xludf.DUMMYFUNCTION("IFERROR(CONCATENATE(IF(ISNUMBER(SEARCH(Validations!$M$2:$M$100 &amp; "" spell save"", J357)),""Spell Save"",""""), REGEXEXTRACT(J357, ""DC (\d+)"")), """")"),"")</f>
        <v/>
      </c>
      <c r="AC357" s="24" t="b">
        <v>0</v>
      </c>
      <c r="AD357" s="24" t="b">
        <v>0</v>
      </c>
      <c r="AE357" s="12" t="s">
        <v>69</v>
      </c>
      <c r="AF357" s="25">
        <f>IFERROR(__xludf.DUMMYFUNCTION("IFERROR(VALUE(REGEXEXTRACT(AE357, ""\d+"")), 1)"),1.0)</f>
        <v>1</v>
      </c>
      <c r="AG357" s="12" t="str">
        <f>IFERROR(__xludf.DUMMYFUNCTION("IF(
  ISNUMBER(SEARCH(""Bonus Action"", AE357)),
  ""Bonus Action"",
  IF(
    ISNUMBER(SEARCH(""Reaction"", AE357)),
    ""Reaction"",
    IF(
      ISNUMBER(SEARCH(""Action"", AE357)),
      ""Action"",
      TEXTJOIN("", "", TRUE, FILTER(Validations!$S"&amp;"$2:$S$100, ISNUMBER(SEARCH(Validations!$S$2:$S$100, AE357))))
    )
  )
)"),"Action")</f>
        <v>Action</v>
      </c>
      <c r="AH357" s="12"/>
      <c r="AI357" s="20" t="s">
        <v>70</v>
      </c>
      <c r="AJ357" s="26" t="str">
        <f>IFERROR(__xludf.DUMMYFUNCTION("TEXTJOIN("", "", TRUE, FILTER(Validations!$T$2:$T$100, ISNUMBER(SEARCH(Validations!$T$2:$T$100, AI357))))"),"Instantaneous")</f>
        <v>Instantaneous</v>
      </c>
      <c r="AK357" s="26" t="str">
        <f>IFERROR(__xludf.DUMMYFUNCTION("IFERROR(VALUE(REGEXEXTRACT(AI357, ""\d+"")), """")"),"")</f>
        <v/>
      </c>
      <c r="AL357" s="26" t="str">
        <f>IFERROR(__xludf.DUMMYFUNCTION("TEXTJOIN("", "", TRUE, FILTER(Validations!$U$2:$U$100, ISNUMBER(SEARCH(Validations!$U$2:$U$100, AI357))))"),"")</f>
        <v/>
      </c>
      <c r="AM357" s="24" t="b">
        <f t="shared" si="1"/>
        <v>0</v>
      </c>
      <c r="AN357" s="24" t="b">
        <v>0</v>
      </c>
      <c r="AO357" s="12" t="s">
        <v>71</v>
      </c>
      <c r="AP357" s="12" t="str">
        <f>IFERROR(__xludf.DUMMYFUNCTION("IF(TEXTJOIN("", "", TRUE, FILTER(Validations!$Q$2:$Q$100, ISNUMBER(SEARCH(Validations!$Q$2:$Q$100, AO357)))) = """", Validations!$Q$2, TEXTJOIN("", "", TRUE, FILTER(Validations!$Q$2:$Q$100, ISNUMBER(SEARCH(Validations!$Q$2:$Q$100, AO357)))))"),"Point")</f>
        <v>Point</v>
      </c>
      <c r="AQ357" s="12" t="str">
        <f>IFERROR(__xludf.DUMMYFUNCTION("IFERROR(VALUE(REGEXEXTRACT(AO357, ""\d+"")), """")"),"")</f>
        <v/>
      </c>
      <c r="AR357" s="12" t="str">
        <f>IFERROR(__xludf.DUMMYFUNCTION("TEXTJOIN("", "", TRUE, FILTER(Validations!$R$2:$R$100, ISNUMBER(SEARCH(Validations!$R$2:$R$100, AO357))))"),"Touch")</f>
        <v>Touch</v>
      </c>
      <c r="AS357" s="27"/>
      <c r="AT357" s="12" t="str">
        <f>IFERROR(__xludf.DUMMYFUNCTION("IFERROR(TEXTJOIN("", "", TRUE, FILTER(Validations!$I$2:$I$100, ISNUMBER(SEARCH(Validations!$I$2:$I$100, AS357)))), """")"),"")</f>
        <v/>
      </c>
      <c r="AU357" s="16" t="str">
        <f t="array" ref="AU357">IFERROR(INDEX(Validations!$J$2:$J$100, MATCH(TRUE, ISNUMBER(SEARCH(Validations!$I$2:$I$100, AT357)), 0)), "")</f>
        <v/>
      </c>
      <c r="AV357" s="12" t="str">
        <f>IFERROR(__xludf.DUMMYFUNCTION("IFERROR(VALUE(REGEXEXTRACT(AS357, ""\d+"")), """")"),"")</f>
        <v/>
      </c>
      <c r="AW357" s="12" t="str">
        <f>IFERROR(__xludf.DUMMYFUNCTION("IFERROR(TEXTJOIN("", "", TRUE, FILTER(Validations!$Q$2:$Q$100, ISNUMBER(SEARCH(Validations!$Q$2:$Q$100, AS357)))), """")"),"")</f>
        <v/>
      </c>
      <c r="AX357" s="36" t="s">
        <v>152</v>
      </c>
      <c r="AY357" s="28" t="str">
        <f>IFERROR(__xludf.DUMMYFUNCTION("TEXTJOIN("", "", TRUE, FILTER(Validations!$Y$2:$Y$100, ISNUMBER(SEARCH(Validations!$X$2:$X$100, AX357))))"),"V, S, R")</f>
        <v>V, S, R</v>
      </c>
      <c r="AZ357" s="26" t="s">
        <v>1707</v>
      </c>
      <c r="BA357" s="12"/>
      <c r="BB357" s="22"/>
      <c r="BC357" s="22"/>
      <c r="BD357" s="22"/>
      <c r="BE357" s="27"/>
      <c r="BF357" s="22"/>
      <c r="BG357" s="27"/>
      <c r="BH357" s="27"/>
      <c r="BI357" s="12" t="str">
        <f>IFERROR(__xludf.DUMMYFUNCTION("IFERROR(TEXTJOIN("", "", TRUE, FILTER(SRD!$A$2:$A$1000, EXACT(SRD!$A$2:$A$1000, J357))), """")"),"")</f>
        <v/>
      </c>
      <c r="BJ357" s="29"/>
      <c r="BK357" s="29"/>
    </row>
    <row r="358" ht="15.75" customHeight="1">
      <c r="A358" s="30" t="s">
        <v>1708</v>
      </c>
      <c r="B358" s="22"/>
      <c r="C358" s="16"/>
      <c r="D358" s="16" t="s">
        <v>538</v>
      </c>
      <c r="E358" s="16"/>
      <c r="F358" s="32" t="s">
        <v>1079</v>
      </c>
      <c r="G358" s="15" t="s">
        <v>1709</v>
      </c>
      <c r="H358" s="16" t="s">
        <v>140</v>
      </c>
      <c r="I358" s="16" t="str">
        <f t="array" ref="I358">INDEX(Validations!$C$2:$C$100, MATCH(TRUE, ISNUMBER(SEARCH(Validations!$B$2:$B$100, H358)), 0))</f>
        <v>N</v>
      </c>
      <c r="J358" s="17" t="s">
        <v>1710</v>
      </c>
      <c r="K358" s="18"/>
      <c r="L358" s="17"/>
      <c r="M358" s="17"/>
      <c r="N358" s="27"/>
      <c r="O358" s="17" t="s">
        <v>1711</v>
      </c>
      <c r="P358" s="21"/>
      <c r="Q358" s="21"/>
      <c r="R358" s="36" t="s">
        <v>1712</v>
      </c>
      <c r="S358" s="17" t="str">
        <f>IFERROR(__xludf.DUMMYFUNCTION("IFERROR(REGEXEXTRACT(J358, ""(\d{1,3}[dD]\d{1,3})""), """")"),"4d10")</f>
        <v>4d10</v>
      </c>
      <c r="T358" s="17" t="str">
        <f>IFERROR(__xludf.DUMMYFUNCTION("IF(COUNTIF(ARRAYFORMULA(LOWER(Validations!$O$2:$O$100)), LOWER(REGEXEXTRACT(J358, ""\d{1,3}[dD]\d{1,3}\s+(\w+)"")))&gt;0, REGEXEXTRACT(J358, ""\d{1,3}[dD]\d{1,3}\s+(\w+)""), """")"),"chiaric")</f>
        <v>chiaric</v>
      </c>
      <c r="U358" s="17" t="str">
        <f>IFERROR(__xludf.DUMMYFUNCTION("IF(COUNTIF(ARRAYFORMULA(LOWER(Validations!$P$2:$P$100)), LOWER(REGEXEXTRACT(J358, ""\d{1,3}[dD]\d{1,3}\s+(\w+)"")))&gt;0, REGEXEXTRACT(J358, ""\d{1,3}[dD]\d{1,3}\s+(\w+)""), """")"),"")</f>
        <v/>
      </c>
      <c r="V358" s="12" t="str">
        <f>IFERROR(__xludf.DUMMYFUNCTION("TEXTJOIN("", "", TRUE, FILTER(Validations!$L$2:$L$100, ISNUMBER(SEARCH(Validations!$L$2:$L$100, J358))))"),"Invisible")</f>
        <v>Invisible</v>
      </c>
      <c r="W358" s="12" t="str">
        <f>IFERROR(__xludf.DUMMYFUNCTION("IFERROR(TEXTJOIN("", "", TRUE, FILTER(Validations!$M$2:$M$100, ISNUMBER(SEARCH(Validations!$M$2:$M$100 &amp; "" saving throw"", J358)))), """")"),"Constitution")</f>
        <v>Constitution</v>
      </c>
      <c r="X358" s="12"/>
      <c r="Y358" s="12"/>
      <c r="Z358" s="12" t="str">
        <f>IFERROR(__xludf.DUMMYFUNCTION("IFERROR(TEXTJOIN("", "", TRUE, FILTER(Validations!$N$2:$N$100, ISNUMBER(SEARCH(Validations!$N$2:$N$100 &amp; "" check"", J358)))), """")"),"")</f>
        <v/>
      </c>
      <c r="AA358" s="12" t="str">
        <f>IFERROR(__xludf.DUMMYFUNCTION("IFERROR(TEXTJOIN("", "", TRUE, FILTER(Validations!$N$2:$N$100, ISNUMBER(SEARCH(Validations!$N$2:$N$100 &amp; "" check"", W358)))), """")"),"")</f>
        <v/>
      </c>
      <c r="AB358" s="23" t="str">
        <f>IFERROR(__xludf.DUMMYFUNCTION("IFERROR(CONCATENATE(IF(ISNUMBER(SEARCH(Validations!$M$2:$M$100 &amp; "" spell save"", J358)),""Spell Save"",""""), REGEXEXTRACT(J358, ""DC (\d+)"")), """")"),"")</f>
        <v/>
      </c>
      <c r="AC358" s="24" t="b">
        <v>0</v>
      </c>
      <c r="AD358" s="24" t="b">
        <v>0</v>
      </c>
      <c r="AE358" s="36" t="s">
        <v>69</v>
      </c>
      <c r="AF358" s="25">
        <f>IFERROR(__xludf.DUMMYFUNCTION("IFERROR(VALUE(REGEXEXTRACT(AE358, ""\d+"")), 1)"),1.0)</f>
        <v>1</v>
      </c>
      <c r="AG358" s="12" t="str">
        <f>IFERROR(__xludf.DUMMYFUNCTION("IF(
  ISNUMBER(SEARCH(""Bonus Action"", AE358)),
  ""Bonus Action"",
  IF(
    ISNUMBER(SEARCH(""Reaction"", AE358)),
    ""Reaction"",
    IF(
      ISNUMBER(SEARCH(""Action"", AE358)),
      ""Action"",
      TEXTJOIN("", "", TRUE, FILTER(Validations!$S"&amp;"$2:$S$100, ISNUMBER(SEARCH(Validations!$S$2:$S$100, AE358))))
    )
  )
)"),"Action")</f>
        <v>Action</v>
      </c>
      <c r="AH358" s="36"/>
      <c r="AI358" s="20" t="s">
        <v>92</v>
      </c>
      <c r="AJ358" s="26" t="str">
        <f>IFERROR(__xludf.DUMMYFUNCTION("TEXTJOIN("", "", TRUE, FILTER(Validations!$T$2:$T$100, ISNUMBER(SEARCH(Validations!$T$2:$T$100, AI358))))"),"")</f>
        <v/>
      </c>
      <c r="AK358" s="26">
        <f>IFERROR(__xludf.DUMMYFUNCTION("IFERROR(VALUE(REGEXEXTRACT(AI358, ""\d+"")), """")"),1.0)</f>
        <v>1</v>
      </c>
      <c r="AL358" s="26" t="str">
        <f>IFERROR(__xludf.DUMMYFUNCTION("TEXTJOIN("", "", TRUE, FILTER(Validations!$U$2:$U$100, ISNUMBER(SEARCH(Validations!$U$2:$U$100, AI358))))"),"Minutes")</f>
        <v>Minutes</v>
      </c>
      <c r="AM358" s="24" t="b">
        <f t="shared" si="1"/>
        <v>0</v>
      </c>
      <c r="AN358" s="24" t="b">
        <v>1</v>
      </c>
      <c r="AO358" s="22" t="s">
        <v>112</v>
      </c>
      <c r="AP358" s="12" t="str">
        <f>IFERROR(__xludf.DUMMYFUNCTION("IF(TEXTJOIN("", "", TRUE, FILTER(Validations!$Q$2:$Q$100, ISNUMBER(SEARCH(Validations!$Q$2:$Q$100, AO358)))) = """", Validations!$Q$2, TEXTJOIN("", "", TRUE, FILTER(Validations!$Q$2:$Q$100, ISNUMBER(SEARCH(Validations!$Q$2:$Q$100, AO358)))))"),"Point")</f>
        <v>Point</v>
      </c>
      <c r="AQ358" s="12">
        <f>IFERROR(__xludf.DUMMYFUNCTION("IFERROR(VALUE(REGEXEXTRACT(AO358, ""\d+"")), """")"),30.0)</f>
        <v>30</v>
      </c>
      <c r="AR358" s="12" t="str">
        <f>IFERROR(__xludf.DUMMYFUNCTION("TEXTJOIN("", "", TRUE, FILTER(Validations!$R$2:$R$100, ISNUMBER(SEARCH(Validations!$R$2:$R$100, AO358))))"),"Feet")</f>
        <v>Feet</v>
      </c>
      <c r="AS358" s="27"/>
      <c r="AT358" s="12" t="str">
        <f>IFERROR(__xludf.DUMMYFUNCTION("IFERROR(TEXTJOIN("", "", TRUE, FILTER(Validations!$I$2:$I$100, ISNUMBER(SEARCH(Validations!$I$2:$I$100, AS358)))), """")"),"")</f>
        <v/>
      </c>
      <c r="AU358" s="16" t="str">
        <f t="array" ref="AU358">IFERROR(INDEX(Validations!$J$2:$J$100, MATCH(TRUE, ISNUMBER(SEARCH(Validations!$I$2:$I$100, AT358)), 0)), "")</f>
        <v/>
      </c>
      <c r="AV358" s="12" t="str">
        <f>IFERROR(__xludf.DUMMYFUNCTION("IFERROR(VALUE(REGEXEXTRACT(AS358, ""\d+"")), """")"),"")</f>
        <v/>
      </c>
      <c r="AW358" s="12" t="str">
        <f>IFERROR(__xludf.DUMMYFUNCTION("IFERROR(TEXTJOIN("", "", TRUE, FILTER(Validations!$Q$2:$Q$100, ISNUMBER(SEARCH(Validations!$Q$2:$Q$100, AS358)))), """")"),"")</f>
        <v/>
      </c>
      <c r="AX358" s="28" t="s">
        <v>152</v>
      </c>
      <c r="AY358" s="28" t="str">
        <f>IFERROR(__xludf.DUMMYFUNCTION("TEXTJOIN("", "", TRUE, FILTER(Validations!$Y$2:$Y$100, ISNUMBER(SEARCH(Validations!$X$2:$X$100, AX358))))"),"V, S, R")</f>
        <v>V, S, R</v>
      </c>
      <c r="AZ358" s="20" t="s">
        <v>1713</v>
      </c>
      <c r="BA358" s="22"/>
      <c r="BB358" s="22"/>
      <c r="BC358" s="22"/>
      <c r="BD358" s="22"/>
      <c r="BE358" s="27"/>
      <c r="BF358" s="22"/>
      <c r="BG358" s="27"/>
      <c r="BH358" s="27"/>
      <c r="BI358" s="12" t="str">
        <f>IFERROR(__xludf.DUMMYFUNCTION("IFERROR(TEXTJOIN("", "", TRUE, FILTER(SRD!$A$2:$A$1000, EXACT(SRD!$A$2:$A$1000, J358))), """")"),"")</f>
        <v/>
      </c>
      <c r="BJ358" s="29"/>
      <c r="BK358" s="29"/>
    </row>
    <row r="359" ht="15.75" customHeight="1">
      <c r="A359" s="30" t="s">
        <v>1714</v>
      </c>
      <c r="B359" s="22"/>
      <c r="C359" s="31"/>
      <c r="D359" s="31" t="s">
        <v>1451</v>
      </c>
      <c r="E359" s="31"/>
      <c r="F359" s="40" t="s">
        <v>515</v>
      </c>
      <c r="G359" s="50" t="s">
        <v>1709</v>
      </c>
      <c r="H359" s="31" t="s">
        <v>178</v>
      </c>
      <c r="I359" s="16" t="str">
        <f t="array" ref="I359">INDEX(Validations!$C$2:$C$100, MATCH(TRUE, ISNUMBER(SEARCH(Validations!$B$2:$B$100, H359)), 0))</f>
        <v>A</v>
      </c>
      <c r="J359" s="17" t="s">
        <v>1715</v>
      </c>
      <c r="K359" s="18"/>
      <c r="L359" s="17"/>
      <c r="M359" s="17"/>
      <c r="N359" s="27"/>
      <c r="O359" s="17"/>
      <c r="P359" s="21"/>
      <c r="Q359" s="21"/>
      <c r="R359" s="22"/>
      <c r="S359" s="17" t="str">
        <f>IFERROR(__xludf.DUMMYFUNCTION("IFERROR(REGEXEXTRACT(J359, ""(\d{1,3}[dD]\d{1,3})""), """")"),"1d4")</f>
        <v>1d4</v>
      </c>
      <c r="T359" s="17" t="str">
        <f>IFERROR(__xludf.DUMMYFUNCTION("IF(COUNTIF(ARRAYFORMULA(LOWER(Validations!$O$2:$O$100)), LOWER(REGEXEXTRACT(J359, ""\d{1,3}[dD]\d{1,3}\s+(\w+)"")))&gt;0, REGEXEXTRACT(J359, ""\d{1,3}[dD]\d{1,3}\s+(\w+)""), """")"),"")</f>
        <v/>
      </c>
      <c r="U359" s="17" t="str">
        <f>IFERROR(__xludf.DUMMYFUNCTION("IF(COUNTIF(ARRAYFORMULA(LOWER(Validations!$P$2:$P$100)), LOWER(REGEXEXTRACT(J359, ""\d{1,3}[dD]\d{1,3}\s+(\w+)"")))&gt;0, REGEXEXTRACT(J359, ""\d{1,3}[dD]\d{1,3}\s+(\w+)""), """")"),"")</f>
        <v/>
      </c>
      <c r="V359" s="12" t="str">
        <f>IFERROR(__xludf.DUMMYFUNCTION("TEXTJOIN("", "", TRUE, FILTER(Validations!$L$2:$L$100, ISNUMBER(SEARCH(Validations!$L$2:$L$100, J359))))"),"Delayed")</f>
        <v>Delayed</v>
      </c>
      <c r="W359" s="12" t="str">
        <f>IFERROR(__xludf.DUMMYFUNCTION("IFERROR(TEXTJOIN("", "", TRUE, FILTER(Validations!$M$2:$M$100, ISNUMBER(SEARCH(Validations!$M$2:$M$100 &amp; "" saving throw"", J359)))), """")"),"")</f>
        <v/>
      </c>
      <c r="X359" s="12"/>
      <c r="Y359" s="12"/>
      <c r="Z359" s="12" t="str">
        <f>IFERROR(__xludf.DUMMYFUNCTION("IFERROR(TEXTJOIN("", "", TRUE, FILTER(Validations!$N$2:$N$100, ISNUMBER(SEARCH(Validations!$N$2:$N$100 &amp; "" check"", J359)))), """")"),"")</f>
        <v/>
      </c>
      <c r="AA359" s="12" t="str">
        <f>IFERROR(__xludf.DUMMYFUNCTION("IFERROR(TEXTJOIN("", "", TRUE, FILTER(Validations!$N$2:$N$100, ISNUMBER(SEARCH(Validations!$N$2:$N$100 &amp; "" check"", W359)))), """")"),"")</f>
        <v/>
      </c>
      <c r="AB359" s="23" t="str">
        <f>IFERROR(__xludf.DUMMYFUNCTION("IFERROR(CONCATENATE(IF(ISNUMBER(SEARCH(Validations!$M$2:$M$100 &amp; "" spell save"", J359)),""Spell Save"",""""), REGEXEXTRACT(J359, ""DC (\d+)"")), """")"),"")</f>
        <v/>
      </c>
      <c r="AC359" s="24" t="b">
        <v>0</v>
      </c>
      <c r="AD359" s="24" t="b">
        <v>0</v>
      </c>
      <c r="AE359" s="36" t="s">
        <v>208</v>
      </c>
      <c r="AF359" s="25">
        <f>IFERROR(__xludf.DUMMYFUNCTION("IFERROR(VALUE(REGEXEXTRACT(AE359, ""\d+"")), 1)"),1.0)</f>
        <v>1</v>
      </c>
      <c r="AG359" s="12" t="str">
        <f>IFERROR(__xludf.DUMMYFUNCTION("IF(
  ISNUMBER(SEARCH(""Bonus Action"", AE359)),
  ""Bonus Action"",
  IF(
    ISNUMBER(SEARCH(""Reaction"", AE359)),
    ""Reaction"",
    IF(
      ISNUMBER(SEARCH(""Action"", AE359)),
      ""Action"",
      TEXTJOIN("", "", TRUE, FILTER(Validations!$S"&amp;"$2:$S$100, ISNUMBER(SEARCH(Validations!$S$2:$S$100, AE359))))
    )
  )
)"),"Reaction")</f>
        <v>Reaction</v>
      </c>
      <c r="AH359" s="36" t="s">
        <v>1716</v>
      </c>
      <c r="AI359" s="27" t="s">
        <v>70</v>
      </c>
      <c r="AJ359" s="26" t="str">
        <f>IFERROR(__xludf.DUMMYFUNCTION("TEXTJOIN("", "", TRUE, FILTER(Validations!$T$2:$T$100, ISNUMBER(SEARCH(Validations!$T$2:$T$100, AI359))))"),"Instantaneous")</f>
        <v>Instantaneous</v>
      </c>
      <c r="AK359" s="26" t="str">
        <f>IFERROR(__xludf.DUMMYFUNCTION("IFERROR(VALUE(REGEXEXTRACT(AI359, ""\d+"")), """")"),"")</f>
        <v/>
      </c>
      <c r="AL359" s="26" t="str">
        <f>IFERROR(__xludf.DUMMYFUNCTION("TEXTJOIN("", "", TRUE, FILTER(Validations!$U$2:$U$100, ISNUMBER(SEARCH(Validations!$U$2:$U$100, AI359))))"),"")</f>
        <v/>
      </c>
      <c r="AM359" s="24" t="b">
        <f t="shared" si="1"/>
        <v>0</v>
      </c>
      <c r="AN359" s="24" t="b">
        <v>0</v>
      </c>
      <c r="AO359" s="22" t="s">
        <v>440</v>
      </c>
      <c r="AP359" s="12" t="str">
        <f>IFERROR(__xludf.DUMMYFUNCTION("IF(TEXTJOIN("", "", TRUE, FILTER(Validations!$Q$2:$Q$100, ISNUMBER(SEARCH(Validations!$Q$2:$Q$100, AO359)))) = """", Validations!$Q$2, TEXTJOIN("", "", TRUE, FILTER(Validations!$Q$2:$Q$100, ISNUMBER(SEARCH(Validations!$Q$2:$Q$100, AO359)))))"),"Point")</f>
        <v>Point</v>
      </c>
      <c r="AQ359" s="12">
        <f>IFERROR(__xludf.DUMMYFUNCTION("IFERROR(VALUE(REGEXEXTRACT(AO359, ""\d+"")), """")"),60.0)</f>
        <v>60</v>
      </c>
      <c r="AR359" s="12" t="str">
        <f>IFERROR(__xludf.DUMMYFUNCTION("TEXTJOIN("", "", TRUE, FILTER(Validations!$R$2:$R$100, ISNUMBER(SEARCH(Validations!$R$2:$R$100, AO359))))"),"Feet")</f>
        <v>Feet</v>
      </c>
      <c r="AS359" s="27"/>
      <c r="AT359" s="12" t="str">
        <f>IFERROR(__xludf.DUMMYFUNCTION("IFERROR(TEXTJOIN("", "", TRUE, FILTER(Validations!$I$2:$I$100, ISNUMBER(SEARCH(Validations!$I$2:$I$100, AS359)))), """")"),"")</f>
        <v/>
      </c>
      <c r="AU359" s="16" t="str">
        <f t="array" ref="AU359">IFERROR(INDEX(Validations!$J$2:$J$100, MATCH(TRUE, ISNUMBER(SEARCH(Validations!$I$2:$I$100, AT359)), 0)), "")</f>
        <v/>
      </c>
      <c r="AV359" s="12" t="str">
        <f>IFERROR(__xludf.DUMMYFUNCTION("IFERROR(VALUE(REGEXEXTRACT(AS359, ""\d+"")), """")"),"")</f>
        <v/>
      </c>
      <c r="AW359" s="12" t="str">
        <f>IFERROR(__xludf.DUMMYFUNCTION("IFERROR(TEXTJOIN("", "", TRUE, FILTER(Validations!$Q$2:$Q$100, ISNUMBER(SEARCH(Validations!$Q$2:$Q$100, AS359)))), """")"),"")</f>
        <v/>
      </c>
      <c r="AX359" s="28" t="s">
        <v>152</v>
      </c>
      <c r="AY359" s="28" t="str">
        <f>IFERROR(__xludf.DUMMYFUNCTION("TEXTJOIN("", "", TRUE, FILTER(Validations!$Y$2:$Y$100, ISNUMBER(SEARCH(Validations!$X$2:$X$100, AX359))))"),"V, S, R")</f>
        <v>V, S, R</v>
      </c>
      <c r="AZ359" s="20" t="s">
        <v>1717</v>
      </c>
      <c r="BA359" s="22"/>
      <c r="BB359" s="22"/>
      <c r="BC359" s="22"/>
      <c r="BD359" s="22"/>
      <c r="BE359" s="27"/>
      <c r="BF359" s="22"/>
      <c r="BG359" s="27"/>
      <c r="BH359" s="27"/>
      <c r="BI359" s="12" t="str">
        <f>IFERROR(__xludf.DUMMYFUNCTION("IFERROR(TEXTJOIN("", "", TRUE, FILTER(SRD!$A$2:$A$1000, EXACT(SRD!$A$2:$A$1000, J359))), """")"),"")</f>
        <v/>
      </c>
      <c r="BJ359" s="29"/>
      <c r="BK359" s="29"/>
    </row>
    <row r="360" ht="15.75" customHeight="1">
      <c r="A360" s="38" t="s">
        <v>1718</v>
      </c>
      <c r="B360" s="12"/>
      <c r="C360" s="16"/>
      <c r="D360" s="16" t="s">
        <v>1273</v>
      </c>
      <c r="E360" s="16"/>
      <c r="F360" s="39" t="s">
        <v>241</v>
      </c>
      <c r="G360" s="15" t="s">
        <v>1709</v>
      </c>
      <c r="H360" s="31" t="s">
        <v>140</v>
      </c>
      <c r="I360" s="16" t="str">
        <f t="array" ref="I360">INDEX(Validations!$C$2:$C$100, MATCH(TRUE, ISNUMBER(SEARCH(Validations!$B$2:$B$100, H360)), 0))</f>
        <v>N</v>
      </c>
      <c r="J360" s="17" t="s">
        <v>1719</v>
      </c>
      <c r="K360" s="51"/>
      <c r="L360" s="52"/>
      <c r="M360" s="52"/>
      <c r="N360" s="27"/>
      <c r="O360" s="17" t="s">
        <v>1720</v>
      </c>
      <c r="P360" s="21"/>
      <c r="Q360" s="21"/>
      <c r="R360" s="36" t="s">
        <v>1721</v>
      </c>
      <c r="S360" s="17" t="str">
        <f>IFERROR(__xludf.DUMMYFUNCTION("IFERROR(REGEXEXTRACT(J360, ""(\d{1,3}[dD]\d{1,3})""), """")"),"4d8")</f>
        <v>4d8</v>
      </c>
      <c r="T360" s="17" t="str">
        <f>IFERROR(__xludf.DUMMYFUNCTION("IF(COUNTIF(ARRAYFORMULA(LOWER(Validations!$O$2:$O$100)), LOWER(REGEXEXTRACT(J360, ""\d{1,3}[dD]\d{1,3}\s+(\w+)"")))&gt;0, REGEXEXTRACT(J360, ""\d{1,3}[dD]\d{1,3}\s+(\w+)""), """")"),"")</f>
        <v/>
      </c>
      <c r="U360" s="17" t="str">
        <f>IFERROR(__xludf.DUMMYFUNCTION("IF(COUNTIF(ARRAYFORMULA(LOWER(Validations!$P$2:$P$100)), LOWER(REGEXEXTRACT(J360, ""\d{1,3}[dD]\d{1,3}\s+(\w+)"")))&gt;0, REGEXEXTRACT(J360, ""\d{1,3}[dD]\d{1,3}\s+(\w+)""), """")"),"")</f>
        <v/>
      </c>
      <c r="V360" s="12" t="str">
        <f>IFERROR(__xludf.DUMMYFUNCTION("TEXTJOIN("", "", TRUE, FILTER(Validations!$L$2:$L$100, ISNUMBER(SEARCH(Validations!$L$2:$L$100, J360))))"),"")</f>
        <v/>
      </c>
      <c r="W360" s="12" t="str">
        <f>IFERROR(__xludf.DUMMYFUNCTION("IFERROR(TEXTJOIN("", "", TRUE, FILTER(Validations!$M$2:$M$100, ISNUMBER(SEARCH(Validations!$M$2:$M$100 &amp; "" saving throw"", J360)))), """")"),"Wisdom")</f>
        <v>Wisdom</v>
      </c>
      <c r="X360" s="12"/>
      <c r="Y360" s="12"/>
      <c r="Z360" s="12" t="str">
        <f>IFERROR(__xludf.DUMMYFUNCTION("IFERROR(TEXTJOIN("", "", TRUE, FILTER(Validations!$N$2:$N$100, ISNUMBER(SEARCH(Validations!$N$2:$N$100 &amp; "" check"", J360)))), """")"),"")</f>
        <v/>
      </c>
      <c r="AA360" s="12" t="str">
        <f>IFERROR(__xludf.DUMMYFUNCTION("IFERROR(TEXTJOIN("", "", TRUE, FILTER(Validations!$N$2:$N$100, ISNUMBER(SEARCH(Validations!$N$2:$N$100 &amp; "" check"", W360)))), """")"),"")</f>
        <v/>
      </c>
      <c r="AB360" s="23" t="str">
        <f>IFERROR(__xludf.DUMMYFUNCTION("IFERROR(CONCATENATE(IF(ISNUMBER(SEARCH(Validations!$M$2:$M$100 &amp; "" spell save"", J360)),""Spell Save"",""""), REGEXEXTRACT(J360, ""DC (\d+)"")), """")"),"")</f>
        <v/>
      </c>
      <c r="AC360" s="24" t="b">
        <v>0</v>
      </c>
      <c r="AD360" s="24" t="b">
        <v>0</v>
      </c>
      <c r="AE360" s="12" t="s">
        <v>69</v>
      </c>
      <c r="AF360" s="25">
        <f>IFERROR(__xludf.DUMMYFUNCTION("IFERROR(VALUE(REGEXEXTRACT(AE360, ""\d+"")), 1)"),1.0)</f>
        <v>1</v>
      </c>
      <c r="AG360" s="12" t="str">
        <f>IFERROR(__xludf.DUMMYFUNCTION("IF(
  ISNUMBER(SEARCH(""Bonus Action"", AE360)),
  ""Bonus Action"",
  IF(
    ISNUMBER(SEARCH(""Reaction"", AE360)),
    ""Reaction"",
    IF(
      ISNUMBER(SEARCH(""Action"", AE360)),
      ""Action"",
      TEXTJOIN("", "", TRUE, FILTER(Validations!$S"&amp;"$2:$S$100, ISNUMBER(SEARCH(Validations!$S$2:$S$100, AE360))))
    )
  )
)"),"Action")</f>
        <v>Action</v>
      </c>
      <c r="AH360" s="12"/>
      <c r="AI360" s="20" t="s">
        <v>1722</v>
      </c>
      <c r="AJ360" s="26" t="str">
        <f>IFERROR(__xludf.DUMMYFUNCTION("TEXTJOIN("", "", TRUE, FILTER(Validations!$T$2:$T$100, ISNUMBER(SEARCH(Validations!$T$2:$T$100, AI360))))"),"")</f>
        <v/>
      </c>
      <c r="AK360" s="26">
        <f>IFERROR(__xludf.DUMMYFUNCTION("IFERROR(VALUE(REGEXEXTRACT(AI360, ""\d+"")), """")"),4.0)</f>
        <v>4</v>
      </c>
      <c r="AL360" s="26" t="str">
        <f>IFERROR(__xludf.DUMMYFUNCTION("TEXTJOIN("", "", TRUE, FILTER(Validations!$U$2:$U$100, ISNUMBER(SEARCH(Validations!$U$2:$U$100, AI360))))"),"Hours")</f>
        <v>Hours</v>
      </c>
      <c r="AM360" s="24" t="b">
        <f t="shared" si="1"/>
        <v>0</v>
      </c>
      <c r="AN360" s="24" t="b">
        <v>0</v>
      </c>
      <c r="AO360" s="36" t="s">
        <v>105</v>
      </c>
      <c r="AP360" s="12" t="str">
        <f>IFERROR(__xludf.DUMMYFUNCTION("IF(TEXTJOIN("", "", TRUE, FILTER(Validations!$Q$2:$Q$100, ISNUMBER(SEARCH(Validations!$Q$2:$Q$100, AO360)))) = """", Validations!$Q$2, TEXTJOIN("", "", TRUE, FILTER(Validations!$Q$2:$Q$100, ISNUMBER(SEARCH(Validations!$Q$2:$Q$100, AO360)))))"),"Point")</f>
        <v>Point</v>
      </c>
      <c r="AQ360" s="12">
        <f>IFERROR(__xludf.DUMMYFUNCTION("IFERROR(VALUE(REGEXEXTRACT(AO360, ""\d+"")), """")"),10.0)</f>
        <v>10</v>
      </c>
      <c r="AR360" s="12" t="str">
        <f>IFERROR(__xludf.DUMMYFUNCTION("TEXTJOIN("", "", TRUE, FILTER(Validations!$R$2:$R$100, ISNUMBER(SEARCH(Validations!$R$2:$R$100, AO360))))"),"Feet")</f>
        <v>Feet</v>
      </c>
      <c r="AS360" s="27"/>
      <c r="AT360" s="12" t="str">
        <f>IFERROR(__xludf.DUMMYFUNCTION("IFERROR(TEXTJOIN("", "", TRUE, FILTER(Validations!$I$2:$I$100, ISNUMBER(SEARCH(Validations!$I$2:$I$100, AS360)))), """")"),"")</f>
        <v/>
      </c>
      <c r="AU360" s="16" t="str">
        <f t="array" ref="AU360">IFERROR(INDEX(Validations!$J$2:$J$100, MATCH(TRUE, ISNUMBER(SEARCH(Validations!$I$2:$I$100, AT360)), 0)), "")</f>
        <v/>
      </c>
      <c r="AV360" s="12" t="str">
        <f>IFERROR(__xludf.DUMMYFUNCTION("IFERROR(VALUE(REGEXEXTRACT(AS360, ""\d+"")), """")"),"")</f>
        <v/>
      </c>
      <c r="AW360" s="12" t="str">
        <f>IFERROR(__xludf.DUMMYFUNCTION("IFERROR(TEXTJOIN("", "", TRUE, FILTER(Validations!$Q$2:$Q$100, ISNUMBER(SEARCH(Validations!$Q$2:$Q$100, AS360)))), """")"),"")</f>
        <v/>
      </c>
      <c r="AX360" s="36" t="s">
        <v>152</v>
      </c>
      <c r="AY360" s="28" t="str">
        <f>IFERROR(__xludf.DUMMYFUNCTION("TEXTJOIN("", "", TRUE, FILTER(Validations!$Y$2:$Y$100, ISNUMBER(SEARCH(Validations!$X$2:$X$100, AX360))))"),"V, S, R")</f>
        <v>V, S, R</v>
      </c>
      <c r="AZ360" s="26" t="s">
        <v>1723</v>
      </c>
      <c r="BA360" s="12"/>
      <c r="BB360" s="22"/>
      <c r="BC360" s="22"/>
      <c r="BD360" s="22"/>
      <c r="BE360" s="27"/>
      <c r="BF360" s="22"/>
      <c r="BG360" s="27"/>
      <c r="BH360" s="27"/>
      <c r="BI360" s="12" t="str">
        <f>IFERROR(__xludf.DUMMYFUNCTION("IFERROR(TEXTJOIN("", "", TRUE, FILTER(SRD!$A$2:$A$1000, EXACT(SRD!$A$2:$A$1000, J360))), """")"),"")</f>
        <v/>
      </c>
      <c r="BJ360" s="29"/>
      <c r="BK360" s="29"/>
    </row>
    <row r="361" ht="15.75" customHeight="1">
      <c r="A361" s="38" t="s">
        <v>1724</v>
      </c>
      <c r="B361" s="12"/>
      <c r="C361" s="16"/>
      <c r="D361" s="16" t="s">
        <v>1725</v>
      </c>
      <c r="E361" s="16"/>
      <c r="F361" s="32" t="s">
        <v>199</v>
      </c>
      <c r="G361" s="50" t="s">
        <v>1709</v>
      </c>
      <c r="H361" s="16" t="s">
        <v>178</v>
      </c>
      <c r="I361" s="16" t="str">
        <f t="array" ref="I361">INDEX(Validations!$C$2:$C$100, MATCH(TRUE, ISNUMBER(SEARCH(Validations!$B$2:$B$100, H361)), 0))</f>
        <v>A</v>
      </c>
      <c r="J361" s="17" t="s">
        <v>1726</v>
      </c>
      <c r="K361" s="18"/>
      <c r="L361" s="17"/>
      <c r="M361" s="17"/>
      <c r="N361" s="27"/>
      <c r="O361" s="17"/>
      <c r="P361" s="21"/>
      <c r="Q361" s="21"/>
      <c r="R361" s="22"/>
      <c r="S361" s="17" t="str">
        <f>IFERROR(__xludf.DUMMYFUNCTION("IFERROR(REGEXEXTRACT(J361, ""(\d{1,3}[dD]\d{1,3})""), """")"),"")</f>
        <v/>
      </c>
      <c r="T361" s="17" t="str">
        <f>IFERROR(__xludf.DUMMYFUNCTION("IF(COUNTIF(ARRAYFORMULA(LOWER(Validations!$O$2:$O$100)), LOWER(REGEXEXTRACT(J361, ""\d{1,3}[dD]\d{1,3}\s+(\w+)"")))&gt;0, REGEXEXTRACT(J361, ""\d{1,3}[dD]\d{1,3}\s+(\w+)""), """")"),"")</f>
        <v/>
      </c>
      <c r="U361" s="17" t="str">
        <f>IFERROR(__xludf.DUMMYFUNCTION("IF(COUNTIF(ARRAYFORMULA(LOWER(Validations!$P$2:$P$100)), LOWER(REGEXEXTRACT(J361, ""\d{1,3}[dD]\d{1,3}\s+(\w+)"")))&gt;0, REGEXEXTRACT(J361, ""\d{1,3}[dD]\d{1,3}\s+(\w+)""), """")"),"")</f>
        <v/>
      </c>
      <c r="V361" s="12" t="str">
        <f>IFERROR(__xludf.DUMMYFUNCTION("TEXTJOIN("", "", TRUE, FILTER(Validations!$L$2:$L$100, ISNUMBER(SEARCH(Validations!$L$2:$L$100, J361))))"),"Erased")</f>
        <v>Erased</v>
      </c>
      <c r="W361" s="12" t="str">
        <f>IFERROR(__xludf.DUMMYFUNCTION("IFERROR(TEXTJOIN("", "", TRUE, FILTER(Validations!$M$2:$M$100, ISNUMBER(SEARCH(Validations!$M$2:$M$100 &amp; "" saving throw"", J361)))), """")"),"")</f>
        <v/>
      </c>
      <c r="X361" s="12"/>
      <c r="Y361" s="12"/>
      <c r="Z361" s="12" t="str">
        <f>IFERROR(__xludf.DUMMYFUNCTION("IFERROR(TEXTJOIN("", "", TRUE, FILTER(Validations!$N$2:$N$100, ISNUMBER(SEARCH(Validations!$N$2:$N$100 &amp; "" check"", J361)))), """")"),"")</f>
        <v/>
      </c>
      <c r="AA361" s="12" t="str">
        <f>IFERROR(__xludf.DUMMYFUNCTION("IFERROR(TEXTJOIN("", "", TRUE, FILTER(Validations!$N$2:$N$100, ISNUMBER(SEARCH(Validations!$N$2:$N$100 &amp; "" check"", W361)))), """")"),"")</f>
        <v/>
      </c>
      <c r="AB361" s="23" t="str">
        <f>IFERROR(__xludf.DUMMYFUNCTION("IFERROR(CONCATENATE(IF(ISNUMBER(SEARCH(Validations!$M$2:$M$100 &amp; "" spell save"", J361)),""Spell Save"",""""), REGEXEXTRACT(J361, ""DC (\d+)"")), """")"),"")</f>
        <v/>
      </c>
      <c r="AC361" s="24" t="b">
        <v>1</v>
      </c>
      <c r="AD361" s="24" t="b">
        <v>0</v>
      </c>
      <c r="AE361" s="36" t="s">
        <v>134</v>
      </c>
      <c r="AF361" s="25">
        <f>IFERROR(__xludf.DUMMYFUNCTION("IFERROR(VALUE(REGEXEXTRACT(AE361, ""\d+"")), 1)"),10.0)</f>
        <v>10</v>
      </c>
      <c r="AG361" s="12" t="str">
        <f>IFERROR(__xludf.DUMMYFUNCTION("IF(
  ISNUMBER(SEARCH(""Bonus Action"", AE361)),
  ""Bonus Action"",
  IF(
    ISNUMBER(SEARCH(""Reaction"", AE361)),
    ""Reaction"",
    IF(
      ISNUMBER(SEARCH(""Action"", AE361)),
      ""Action"",
      TEXTJOIN("", "", TRUE, FILTER(Validations!$S"&amp;"$2:$S$100, ISNUMBER(SEARCH(Validations!$S$2:$S$100, AE361))))
    )
  )
)"),"Minutes")</f>
        <v>Minutes</v>
      </c>
      <c r="AH361" s="22"/>
      <c r="AI361" s="27" t="s">
        <v>255</v>
      </c>
      <c r="AJ361" s="26" t="str">
        <f>IFERROR(__xludf.DUMMYFUNCTION("TEXTJOIN("", "", TRUE, FILTER(Validations!$T$2:$T$100, ISNUMBER(SEARCH(Validations!$T$2:$T$100, AI361))))"),"Permanent")</f>
        <v>Permanent</v>
      </c>
      <c r="AK361" s="26" t="str">
        <f>IFERROR(__xludf.DUMMYFUNCTION("IFERROR(VALUE(REGEXEXTRACT(AI361, ""\d+"")), """")"),"")</f>
        <v/>
      </c>
      <c r="AL361" s="26" t="str">
        <f>IFERROR(__xludf.DUMMYFUNCTION("TEXTJOIN("", "", TRUE, FILTER(Validations!$U$2:$U$100, ISNUMBER(SEARCH(Validations!$U$2:$U$100, AI361))))"),"")</f>
        <v/>
      </c>
      <c r="AM361" s="24" t="b">
        <f t="shared" si="1"/>
        <v>0</v>
      </c>
      <c r="AN361" s="24" t="b">
        <v>0</v>
      </c>
      <c r="AO361" s="22" t="s">
        <v>112</v>
      </c>
      <c r="AP361" s="12" t="str">
        <f>IFERROR(__xludf.DUMMYFUNCTION("IF(TEXTJOIN("", "", TRUE, FILTER(Validations!$Q$2:$Q$100, ISNUMBER(SEARCH(Validations!$Q$2:$Q$100, AO361)))) = """", Validations!$Q$2, TEXTJOIN("", "", TRUE, FILTER(Validations!$Q$2:$Q$100, ISNUMBER(SEARCH(Validations!$Q$2:$Q$100, AO361)))))"),"Point")</f>
        <v>Point</v>
      </c>
      <c r="AQ361" s="12">
        <f>IFERROR(__xludf.DUMMYFUNCTION("IFERROR(VALUE(REGEXEXTRACT(AO361, ""\d+"")), """")"),30.0)</f>
        <v>30</v>
      </c>
      <c r="AR361" s="12" t="str">
        <f>IFERROR(__xludf.DUMMYFUNCTION("TEXTJOIN("", "", TRUE, FILTER(Validations!$R$2:$R$100, ISNUMBER(SEARCH(Validations!$R$2:$R$100, AO361))))"),"Feet")</f>
        <v>Feet</v>
      </c>
      <c r="AS361" s="27"/>
      <c r="AT361" s="12" t="str">
        <f>IFERROR(__xludf.DUMMYFUNCTION("IFERROR(TEXTJOIN("", "", TRUE, FILTER(Validations!$I$2:$I$100, ISNUMBER(SEARCH(Validations!$I$2:$I$100, AS361)))), """")"),"")</f>
        <v/>
      </c>
      <c r="AU361" s="16" t="str">
        <f t="array" ref="AU361">IFERROR(INDEX(Validations!$J$2:$J$100, MATCH(TRUE, ISNUMBER(SEARCH(Validations!$I$2:$I$100, AT361)), 0)), "")</f>
        <v/>
      </c>
      <c r="AV361" s="12" t="str">
        <f>IFERROR(__xludf.DUMMYFUNCTION("IFERROR(VALUE(REGEXEXTRACT(AS361, ""\d+"")), """")"),"")</f>
        <v/>
      </c>
      <c r="AW361" s="12" t="str">
        <f>IFERROR(__xludf.DUMMYFUNCTION("IFERROR(TEXTJOIN("", "", TRUE, FILTER(Validations!$Q$2:$Q$100, ISNUMBER(SEARCH(Validations!$Q$2:$Q$100, AS361)))), """")"),"")</f>
        <v/>
      </c>
      <c r="AX361" s="28" t="s">
        <v>152</v>
      </c>
      <c r="AY361" s="28" t="str">
        <f>IFERROR(__xludf.DUMMYFUNCTION("TEXTJOIN("", "", TRUE, FILTER(Validations!$Y$2:$Y$100, ISNUMBER(SEARCH(Validations!$X$2:$X$100, AX361))))"),"V, S, R")</f>
        <v>V, S, R</v>
      </c>
      <c r="AZ361" s="20" t="s">
        <v>1727</v>
      </c>
      <c r="BA361" s="22"/>
      <c r="BB361" s="22"/>
      <c r="BC361" s="22"/>
      <c r="BD361" s="36" t="s">
        <v>1728</v>
      </c>
      <c r="BE361" s="27"/>
      <c r="BF361" s="22"/>
      <c r="BG361" s="27"/>
      <c r="BH361" s="20" t="s">
        <v>1729</v>
      </c>
      <c r="BI361" s="12" t="str">
        <f>IFERROR(__xludf.DUMMYFUNCTION("IFERROR(TEXTJOIN("", "", TRUE, FILTER(SRD!$A$2:$A$1000, EXACT(SRD!$A$2:$A$1000, J361))), """")"),"")</f>
        <v/>
      </c>
      <c r="BJ361" s="29"/>
      <c r="BK361" s="29"/>
    </row>
    <row r="362" ht="15.75" customHeight="1">
      <c r="A362" s="30" t="s">
        <v>1730</v>
      </c>
      <c r="B362" s="22"/>
      <c r="C362" s="31"/>
      <c r="D362" s="31" t="s">
        <v>18</v>
      </c>
      <c r="E362" s="31"/>
      <c r="F362" s="32" t="s">
        <v>199</v>
      </c>
      <c r="G362" s="50" t="s">
        <v>1709</v>
      </c>
      <c r="H362" s="31" t="s">
        <v>85</v>
      </c>
      <c r="I362" s="16" t="str">
        <f t="array" ref="I362">INDEX(Validations!$C$2:$C$100, MATCH(TRUE, ISNUMBER(SEARCH(Validations!$B$2:$B$100, H362)), 0))</f>
        <v>T</v>
      </c>
      <c r="J362" s="17" t="s">
        <v>1731</v>
      </c>
      <c r="K362" s="18"/>
      <c r="L362" s="17"/>
      <c r="M362" s="17"/>
      <c r="N362" s="27"/>
      <c r="O362" s="17"/>
      <c r="P362" s="21"/>
      <c r="Q362" s="21"/>
      <c r="R362" s="22"/>
      <c r="S362" s="17" t="str">
        <f>IFERROR(__xludf.DUMMYFUNCTION("IFERROR(REGEXEXTRACT(J362, ""(\d{1,3}[dD]\d{1,3})""), """")"),"12d12")</f>
        <v>12d12</v>
      </c>
      <c r="T362" s="17" t="str">
        <f>IFERROR(__xludf.DUMMYFUNCTION("IF(COUNTIF(ARRAYFORMULA(LOWER(Validations!$O$2:$O$100)), LOWER(REGEXEXTRACT(J362, ""\d{1,3}[dD]\d{1,3}\s+(\w+)"")))&gt;0, REGEXEXTRACT(J362, ""\d{1,3}[dD]\d{1,3}\s+(\w+)""), """")"),"void")</f>
        <v>void</v>
      </c>
      <c r="U362" s="17" t="str">
        <f>IFERROR(__xludf.DUMMYFUNCTION("IF(COUNTIF(ARRAYFORMULA(LOWER(Validations!$P$2:$P$100)), LOWER(REGEXEXTRACT(J362, ""\d{1,3}[dD]\d{1,3}\s+(\w+)"")))&gt;0, REGEXEXTRACT(J362, ""\d{1,3}[dD]\d{1,3}\s+(\w+)""), """")"),"")</f>
        <v/>
      </c>
      <c r="V362" s="12" t="str">
        <f>IFERROR(__xludf.DUMMYFUNCTION("TEXTJOIN("", "", TRUE, FILTER(Validations!$L$2:$L$100, ISNUMBER(SEARCH(Validations!$L$2:$L$100, J362))))"),"Altered")</f>
        <v>Altered</v>
      </c>
      <c r="W362" s="12" t="str">
        <f>IFERROR(__xludf.DUMMYFUNCTION("IFERROR(TEXTJOIN("", "", TRUE, FILTER(Validations!$M$2:$M$100, ISNUMBER(SEARCH(Validations!$M$2:$M$100 &amp; "" saving throw"", J362)))), """")"),"Constitution")</f>
        <v>Constitution</v>
      </c>
      <c r="X362" s="12"/>
      <c r="Y362" s="12"/>
      <c r="Z362" s="12" t="str">
        <f>IFERROR(__xludf.DUMMYFUNCTION("IFERROR(TEXTJOIN("", "", TRUE, FILTER(Validations!$N$2:$N$100, ISNUMBER(SEARCH(Validations!$N$2:$N$100 &amp; "" check"", J362)))), """")"),"")</f>
        <v/>
      </c>
      <c r="AA362" s="12" t="str">
        <f>IFERROR(__xludf.DUMMYFUNCTION("IFERROR(TEXTJOIN("", "", TRUE, FILTER(Validations!$N$2:$N$100, ISNUMBER(SEARCH(Validations!$N$2:$N$100 &amp; "" check"", W362)))), """")"),"")</f>
        <v/>
      </c>
      <c r="AB362" s="23" t="str">
        <f>IFERROR(__xludf.DUMMYFUNCTION("IFERROR(CONCATENATE(IF(ISNUMBER(SEARCH(Validations!$M$2:$M$100 &amp; "" spell save"", J362)),""Spell Save"",""""), REGEXEXTRACT(J362, ""DC (\d+)"")), """")"),"")</f>
        <v/>
      </c>
      <c r="AC362" s="24" t="b">
        <v>0</v>
      </c>
      <c r="AD362" s="24" t="b">
        <v>0</v>
      </c>
      <c r="AE362" s="36" t="s">
        <v>69</v>
      </c>
      <c r="AF362" s="25">
        <f>IFERROR(__xludf.DUMMYFUNCTION("IFERROR(VALUE(REGEXEXTRACT(AE362, ""\d+"")), 1)"),1.0)</f>
        <v>1</v>
      </c>
      <c r="AG362" s="12" t="str">
        <f>IFERROR(__xludf.DUMMYFUNCTION("IF(
  ISNUMBER(SEARCH(""Bonus Action"", AE362)),
  ""Bonus Action"",
  IF(
    ISNUMBER(SEARCH(""Reaction"", AE362)),
    ""Reaction"",
    IF(
      ISNUMBER(SEARCH(""Action"", AE362)),
      ""Action"",
      TEXTJOIN("", "", TRUE, FILTER(Validations!$S"&amp;"$2:$S$100, ISNUMBER(SEARCH(Validations!$S$2:$S$100, AE362))))
    )
  )
)"),"Action")</f>
        <v>Action</v>
      </c>
      <c r="AH362" s="36"/>
      <c r="AI362" s="27" t="s">
        <v>70</v>
      </c>
      <c r="AJ362" s="26" t="str">
        <f>IFERROR(__xludf.DUMMYFUNCTION("TEXTJOIN("", "", TRUE, FILTER(Validations!$T$2:$T$100, ISNUMBER(SEARCH(Validations!$T$2:$T$100, AI362))))"),"Instantaneous")</f>
        <v>Instantaneous</v>
      </c>
      <c r="AK362" s="26" t="str">
        <f>IFERROR(__xludf.DUMMYFUNCTION("IFERROR(VALUE(REGEXEXTRACT(AI362, ""\d+"")), """")"),"")</f>
        <v/>
      </c>
      <c r="AL362" s="26" t="str">
        <f>IFERROR(__xludf.DUMMYFUNCTION("TEXTJOIN("", "", TRUE, FILTER(Validations!$U$2:$U$100, ISNUMBER(SEARCH(Validations!$U$2:$U$100, AI362))))"),"")</f>
        <v/>
      </c>
      <c r="AM362" s="24" t="b">
        <f t="shared" si="1"/>
        <v>0</v>
      </c>
      <c r="AN362" s="24" t="b">
        <v>0</v>
      </c>
      <c r="AO362" s="22" t="s">
        <v>502</v>
      </c>
      <c r="AP362" s="12" t="str">
        <f>IFERROR(__xludf.DUMMYFUNCTION("IF(TEXTJOIN("", "", TRUE, FILTER(Validations!$Q$2:$Q$100, ISNUMBER(SEARCH(Validations!$Q$2:$Q$100, AO362)))) = """", Validations!$Q$2, TEXTJOIN("", "", TRUE, FILTER(Validations!$Q$2:$Q$100, ISNUMBER(SEARCH(Validations!$Q$2:$Q$100, AO362)))))"),"Point")</f>
        <v>Point</v>
      </c>
      <c r="AQ362" s="12">
        <f>IFERROR(__xludf.DUMMYFUNCTION("IFERROR(VALUE(REGEXEXTRACT(AO362, ""\d+"")), """")"),120.0)</f>
        <v>120</v>
      </c>
      <c r="AR362" s="12" t="str">
        <f>IFERROR(__xludf.DUMMYFUNCTION("TEXTJOIN("", "", TRUE, FILTER(Validations!$R$2:$R$100, ISNUMBER(SEARCH(Validations!$R$2:$R$100, AO362))))"),"Feet")</f>
        <v>Feet</v>
      </c>
      <c r="AS362" s="27"/>
      <c r="AT362" s="12" t="str">
        <f>IFERROR(__xludf.DUMMYFUNCTION("IFERROR(TEXTJOIN("", "", TRUE, FILTER(Validations!$I$2:$I$100, ISNUMBER(SEARCH(Validations!$I$2:$I$100, AS362)))), """")"),"")</f>
        <v/>
      </c>
      <c r="AU362" s="16" t="str">
        <f t="array" ref="AU362">IFERROR(INDEX(Validations!$J$2:$J$100, MATCH(TRUE, ISNUMBER(SEARCH(Validations!$I$2:$I$100, AT362)), 0)), "")</f>
        <v/>
      </c>
      <c r="AV362" s="12" t="str">
        <f>IFERROR(__xludf.DUMMYFUNCTION("IFERROR(VALUE(REGEXEXTRACT(AS362, ""\d+"")), """")"),"")</f>
        <v/>
      </c>
      <c r="AW362" s="12" t="str">
        <f>IFERROR(__xludf.DUMMYFUNCTION("IFERROR(TEXTJOIN("", "", TRUE, FILTER(Validations!$Q$2:$Q$100, ISNUMBER(SEARCH(Validations!$Q$2:$Q$100, AS362)))), """")"),"")</f>
        <v/>
      </c>
      <c r="AX362" s="28" t="s">
        <v>152</v>
      </c>
      <c r="AY362" s="28" t="str">
        <f>IFERROR(__xludf.DUMMYFUNCTION("TEXTJOIN("", "", TRUE, FILTER(Validations!$Y$2:$Y$100, ISNUMBER(SEARCH(Validations!$X$2:$X$100, AX362))))"),"V, S, R")</f>
        <v>V, S, R</v>
      </c>
      <c r="AZ362" s="20" t="s">
        <v>1732</v>
      </c>
      <c r="BA362" s="22"/>
      <c r="BB362" s="22"/>
      <c r="BC362" s="22"/>
      <c r="BD362" s="22"/>
      <c r="BE362" s="27"/>
      <c r="BF362" s="22"/>
      <c r="BG362" s="27"/>
      <c r="BH362" s="27"/>
      <c r="BI362" s="12" t="str">
        <f>IFERROR(__xludf.DUMMYFUNCTION("IFERROR(TEXTJOIN("", "", TRUE, FILTER(SRD!$A$2:$A$1000, EXACT(SRD!$A$2:$A$1000, J362))), """")"),"")</f>
        <v/>
      </c>
      <c r="BJ362" s="29"/>
      <c r="BK362" s="29"/>
    </row>
    <row r="363" ht="15.75" customHeight="1">
      <c r="A363" s="30" t="s">
        <v>1733</v>
      </c>
      <c r="B363" s="22"/>
      <c r="C363" s="31"/>
      <c r="D363" s="31" t="s">
        <v>74</v>
      </c>
      <c r="E363" s="31"/>
      <c r="F363" s="32" t="s">
        <v>199</v>
      </c>
      <c r="G363" s="50" t="s">
        <v>1709</v>
      </c>
      <c r="H363" s="31" t="s">
        <v>140</v>
      </c>
      <c r="I363" s="16" t="str">
        <f t="array" ref="I363">INDEX(Validations!$C$2:$C$100, MATCH(TRUE, ISNUMBER(SEARCH(Validations!$B$2:$B$100, H363)), 0))</f>
        <v>N</v>
      </c>
      <c r="J363" s="17" t="s">
        <v>1734</v>
      </c>
      <c r="K363" s="18"/>
      <c r="L363" s="17"/>
      <c r="M363" s="17"/>
      <c r="N363" s="27"/>
      <c r="O363" s="17"/>
      <c r="P363" s="21"/>
      <c r="Q363" s="21"/>
      <c r="R363" s="22"/>
      <c r="S363" s="17" t="str">
        <f>IFERROR(__xludf.DUMMYFUNCTION("IFERROR(REGEXEXTRACT(J363, ""(\d{1,3}[dD]\d{1,3})""), """")"),"")</f>
        <v/>
      </c>
      <c r="T363" s="17" t="str">
        <f>IFERROR(__xludf.DUMMYFUNCTION("IF(COUNTIF(ARRAYFORMULA(LOWER(Validations!$O$2:$O$100)), LOWER(REGEXEXTRACT(J363, ""\d{1,3}[dD]\d{1,3}\s+(\w+)"")))&gt;0, REGEXEXTRACT(J363, ""\d{1,3}[dD]\d{1,3}\s+(\w+)""), """")"),"")</f>
        <v/>
      </c>
      <c r="U363" s="17" t="str">
        <f>IFERROR(__xludf.DUMMYFUNCTION("IF(COUNTIF(ARRAYFORMULA(LOWER(Validations!$P$2:$P$100)), LOWER(REGEXEXTRACT(J363, ""\d{1,3}[dD]\d{1,3}\s+(\w+)"")))&gt;0, REGEXEXTRACT(J363, ""\d{1,3}[dD]\d{1,3}\s+(\w+)""), """")"),"")</f>
        <v/>
      </c>
      <c r="V363" s="12" t="str">
        <f>IFERROR(__xludf.DUMMYFUNCTION("TEXTJOIN("", "", TRUE, FILTER(Validations!$L$2:$L$100, ISNUMBER(SEARCH(Validations!$L$2:$L$100, J363))))"),"")</f>
        <v/>
      </c>
      <c r="W363" s="12" t="str">
        <f>IFERROR(__xludf.DUMMYFUNCTION("IFERROR(TEXTJOIN("", "", TRUE, FILTER(Validations!$M$2:$M$100, ISNUMBER(SEARCH(Validations!$M$2:$M$100 &amp; "" saving throw"", J363)))), """")"),"Intelligence")</f>
        <v>Intelligence</v>
      </c>
      <c r="X363" s="12"/>
      <c r="Y363" s="12"/>
      <c r="Z363" s="12" t="str">
        <f>IFERROR(__xludf.DUMMYFUNCTION("IFERROR(TEXTJOIN("", "", TRUE, FILTER(Validations!$N$2:$N$100, ISNUMBER(SEARCH(Validations!$N$2:$N$100 &amp; "" check"", J363)))), """")"),"")</f>
        <v/>
      </c>
      <c r="AA363" s="12" t="str">
        <f>IFERROR(__xludf.DUMMYFUNCTION("IFERROR(TEXTJOIN("", "", TRUE, FILTER(Validations!$N$2:$N$100, ISNUMBER(SEARCH(Validations!$N$2:$N$100 &amp; "" check"", W363)))), """")"),"")</f>
        <v/>
      </c>
      <c r="AB363" s="23" t="str">
        <f>IFERROR(__xludf.DUMMYFUNCTION("IFERROR(CONCATENATE(IF(ISNUMBER(SEARCH(Validations!$M$2:$M$100 &amp; "" spell save"", J363)),""Spell Save"",""""), REGEXEXTRACT(J363, ""DC (\d+)"")), """")"),"")</f>
        <v/>
      </c>
      <c r="AC363" s="24" t="b">
        <v>0</v>
      </c>
      <c r="AD363" s="24" t="b">
        <v>0</v>
      </c>
      <c r="AE363" s="36" t="s">
        <v>69</v>
      </c>
      <c r="AF363" s="25">
        <f>IFERROR(__xludf.DUMMYFUNCTION("IFERROR(VALUE(REGEXEXTRACT(AE363, ""\d+"")), 1)"),1.0)</f>
        <v>1</v>
      </c>
      <c r="AG363" s="12" t="str">
        <f>IFERROR(__xludf.DUMMYFUNCTION("IF(
  ISNUMBER(SEARCH(""Bonus Action"", AE363)),
  ""Bonus Action"",
  IF(
    ISNUMBER(SEARCH(""Reaction"", AE363)),
    ""Reaction"",
    IF(
      ISNUMBER(SEARCH(""Action"", AE363)),
      ""Action"",
      TEXTJOIN("", "", TRUE, FILTER(Validations!$S"&amp;"$2:$S$100, ISNUMBER(SEARCH(Validations!$S$2:$S$100, AE363))))
    )
  )
)"),"Action")</f>
        <v>Action</v>
      </c>
      <c r="AH363" s="36"/>
      <c r="AI363" s="27" t="s">
        <v>255</v>
      </c>
      <c r="AJ363" s="26" t="str">
        <f>IFERROR(__xludf.DUMMYFUNCTION("TEXTJOIN("", "", TRUE, FILTER(Validations!$T$2:$T$100, ISNUMBER(SEARCH(Validations!$T$2:$T$100, AI363))))"),"Permanent")</f>
        <v>Permanent</v>
      </c>
      <c r="AK363" s="26" t="str">
        <f>IFERROR(__xludf.DUMMYFUNCTION("IFERROR(VALUE(REGEXEXTRACT(AI363, ""\d+"")), """")"),"")</f>
        <v/>
      </c>
      <c r="AL363" s="26" t="str">
        <f>IFERROR(__xludf.DUMMYFUNCTION("TEXTJOIN("", "", TRUE, FILTER(Validations!$U$2:$U$100, ISNUMBER(SEARCH(Validations!$U$2:$U$100, AI363))))"),"")</f>
        <v/>
      </c>
      <c r="AM363" s="24" t="b">
        <f t="shared" si="1"/>
        <v>0</v>
      </c>
      <c r="AN363" s="24" t="b">
        <v>0</v>
      </c>
      <c r="AO363" s="22" t="s">
        <v>112</v>
      </c>
      <c r="AP363" s="12" t="str">
        <f>IFERROR(__xludf.DUMMYFUNCTION("IF(TEXTJOIN("", "", TRUE, FILTER(Validations!$Q$2:$Q$100, ISNUMBER(SEARCH(Validations!$Q$2:$Q$100, AO363)))) = """", Validations!$Q$2, TEXTJOIN("", "", TRUE, FILTER(Validations!$Q$2:$Q$100, ISNUMBER(SEARCH(Validations!$Q$2:$Q$100, AO363)))))"),"Point")</f>
        <v>Point</v>
      </c>
      <c r="AQ363" s="12">
        <f>IFERROR(__xludf.DUMMYFUNCTION("IFERROR(VALUE(REGEXEXTRACT(AO363, ""\d+"")), """")"),30.0)</f>
        <v>30</v>
      </c>
      <c r="AR363" s="12" t="str">
        <f>IFERROR(__xludf.DUMMYFUNCTION("TEXTJOIN("", "", TRUE, FILTER(Validations!$R$2:$R$100, ISNUMBER(SEARCH(Validations!$R$2:$R$100, AO363))))"),"Feet")</f>
        <v>Feet</v>
      </c>
      <c r="AS363" s="27"/>
      <c r="AT363" s="12" t="str">
        <f>IFERROR(__xludf.DUMMYFUNCTION("IFERROR(TEXTJOIN("", "", TRUE, FILTER(Validations!$I$2:$I$100, ISNUMBER(SEARCH(Validations!$I$2:$I$100, AS363)))), """")"),"")</f>
        <v/>
      </c>
      <c r="AU363" s="16" t="str">
        <f t="array" ref="AU363">IFERROR(INDEX(Validations!$J$2:$J$100, MATCH(TRUE, ISNUMBER(SEARCH(Validations!$I$2:$I$100, AT363)), 0)), "")</f>
        <v/>
      </c>
      <c r="AV363" s="12" t="str">
        <f>IFERROR(__xludf.DUMMYFUNCTION("IFERROR(VALUE(REGEXEXTRACT(AS363, ""\d+"")), """")"),"")</f>
        <v/>
      </c>
      <c r="AW363" s="12" t="str">
        <f>IFERROR(__xludf.DUMMYFUNCTION("IFERROR(TEXTJOIN("", "", TRUE, FILTER(Validations!$Q$2:$Q$100, ISNUMBER(SEARCH(Validations!$Q$2:$Q$100, AS363)))), """")"),"")</f>
        <v/>
      </c>
      <c r="AX363" s="28" t="s">
        <v>152</v>
      </c>
      <c r="AY363" s="28" t="str">
        <f>IFERROR(__xludf.DUMMYFUNCTION("TEXTJOIN("", "", TRUE, FILTER(Validations!$Y$2:$Y$100, ISNUMBER(SEARCH(Validations!$X$2:$X$100, AX363))))"),"V, S, R")</f>
        <v>V, S, R</v>
      </c>
      <c r="AZ363" s="20" t="s">
        <v>1735</v>
      </c>
      <c r="BA363" s="22"/>
      <c r="BB363" s="22"/>
      <c r="BC363" s="22"/>
      <c r="BD363" s="22"/>
      <c r="BE363" s="27"/>
      <c r="BF363" s="22"/>
      <c r="BG363" s="27"/>
      <c r="BH363" s="27"/>
      <c r="BI363" s="12" t="str">
        <f>IFERROR(__xludf.DUMMYFUNCTION("IFERROR(TEXTJOIN("", "", TRUE, FILTER(SRD!$A$2:$A$1000, EXACT(SRD!$A$2:$A$1000, J363))), """")"),"")</f>
        <v/>
      </c>
      <c r="BJ363" s="29"/>
      <c r="BK363" s="29"/>
    </row>
    <row r="364" ht="15.75" customHeight="1">
      <c r="A364" s="30" t="s">
        <v>1736</v>
      </c>
      <c r="B364" s="22"/>
      <c r="C364" s="31"/>
      <c r="D364" s="31" t="s">
        <v>74</v>
      </c>
      <c r="E364" s="31"/>
      <c r="F364" s="32" t="s">
        <v>456</v>
      </c>
      <c r="G364" s="50" t="s">
        <v>1709</v>
      </c>
      <c r="H364" s="16" t="s">
        <v>144</v>
      </c>
      <c r="I364" s="16" t="str">
        <f t="array" ref="I364">INDEX(Validations!$C$2:$C$100, MATCH(TRUE, ISNUMBER(SEARCH(Validations!$B$2:$B$100, H364)), 0))</f>
        <v>D</v>
      </c>
      <c r="J364" s="17" t="s">
        <v>1737</v>
      </c>
      <c r="K364" s="18"/>
      <c r="L364" s="17"/>
      <c r="M364" s="17"/>
      <c r="N364" s="27"/>
      <c r="O364" s="17"/>
      <c r="P364" s="21"/>
      <c r="Q364" s="21"/>
      <c r="R364" s="22"/>
      <c r="S364" s="17" t="str">
        <f>IFERROR(__xludf.DUMMYFUNCTION("IFERROR(REGEXEXTRACT(J364, ""(\d{1,3}[dD]\d{1,3})""), """")"),"")</f>
        <v/>
      </c>
      <c r="T364" s="17" t="str">
        <f>IFERROR(__xludf.DUMMYFUNCTION("IF(COUNTIF(ARRAYFORMULA(LOWER(Validations!$O$2:$O$100)), LOWER(REGEXEXTRACT(J364, ""\d{1,3}[dD]\d{1,3}\s+(\w+)"")))&gt;0, REGEXEXTRACT(J364, ""\d{1,3}[dD]\d{1,3}\s+(\w+)""), """")"),"")</f>
        <v/>
      </c>
      <c r="U364" s="17" t="str">
        <f>IFERROR(__xludf.DUMMYFUNCTION("IF(COUNTIF(ARRAYFORMULA(LOWER(Validations!$P$2:$P$100)), LOWER(REGEXEXTRACT(J364, ""\d{1,3}[dD]\d{1,3}\s+(\w+)"")))&gt;0, REGEXEXTRACT(J364, ""\d{1,3}[dD]\d{1,3}\s+(\w+)""), """")"),"")</f>
        <v/>
      </c>
      <c r="V364" s="12" t="str">
        <f>IFERROR(__xludf.DUMMYFUNCTION("TEXTJOIN("", "", TRUE, FILTER(Validations!$L$2:$L$100, ISNUMBER(SEARCH(Validations!$L$2:$L$100, J364))))"),"")</f>
        <v/>
      </c>
      <c r="W364" s="12" t="str">
        <f>IFERROR(__xludf.DUMMYFUNCTION("IFERROR(TEXTJOIN("", "", TRUE, FILTER(Validations!$M$2:$M$100, ISNUMBER(SEARCH(Validations!$M$2:$M$100 &amp; "" saving throw"", J364)))), """")"),"Wisdom")</f>
        <v>Wisdom</v>
      </c>
      <c r="X364" s="12"/>
      <c r="Y364" s="12"/>
      <c r="Z364" s="12" t="str">
        <f>IFERROR(__xludf.DUMMYFUNCTION("IFERROR(TEXTJOIN("", "", TRUE, FILTER(Validations!$N$2:$N$100, ISNUMBER(SEARCH(Validations!$N$2:$N$100 &amp; "" check"", J364)))), """")"),"")</f>
        <v/>
      </c>
      <c r="AA364" s="12" t="str">
        <f>IFERROR(__xludf.DUMMYFUNCTION("IFERROR(TEXTJOIN("", "", TRUE, FILTER(Validations!$N$2:$N$100, ISNUMBER(SEARCH(Validations!$N$2:$N$100 &amp; "" check"", W364)))), """")"),"")</f>
        <v/>
      </c>
      <c r="AB364" s="23" t="str">
        <f>IFERROR(__xludf.DUMMYFUNCTION("IFERROR(CONCATENATE(IF(ISNUMBER(SEARCH(Validations!$M$2:$M$100 &amp; "" spell save"", J364)),""Spell Save"",""""), REGEXEXTRACT(J364, ""DC (\d+)"")), """")"),"")</f>
        <v/>
      </c>
      <c r="AC364" s="24" t="b">
        <v>0</v>
      </c>
      <c r="AD364" s="24" t="b">
        <v>0</v>
      </c>
      <c r="AE364" s="36" t="s">
        <v>296</v>
      </c>
      <c r="AF364" s="25">
        <f>IFERROR(__xludf.DUMMYFUNCTION("IFERROR(VALUE(REGEXEXTRACT(AE364, ""\d+"")), 1)"),1.0)</f>
        <v>1</v>
      </c>
      <c r="AG364" s="12" t="str">
        <f>IFERROR(__xludf.DUMMYFUNCTION("IF(
  ISNUMBER(SEARCH(""Bonus Action"", AE364)),
  ""Bonus Action"",
  IF(
    ISNUMBER(SEARCH(""Reaction"", AE364)),
    ""Reaction"",
    IF(
      ISNUMBER(SEARCH(""Action"", AE364)),
      ""Action"",
      TEXTJOIN("", "", TRUE, FILTER(Validations!$S"&amp;"$2:$S$100, ISNUMBER(SEARCH(Validations!$S$2:$S$100, AE364))))
    )
  )
)"),"Hours")</f>
        <v>Hours</v>
      </c>
      <c r="AH364" s="22"/>
      <c r="AI364" s="27" t="s">
        <v>255</v>
      </c>
      <c r="AJ364" s="26" t="str">
        <f>IFERROR(__xludf.DUMMYFUNCTION("TEXTJOIN("", "", TRUE, FILTER(Validations!$T$2:$T$100, ISNUMBER(SEARCH(Validations!$T$2:$T$100, AI364))))"),"Permanent")</f>
        <v>Permanent</v>
      </c>
      <c r="AK364" s="26" t="str">
        <f>IFERROR(__xludf.DUMMYFUNCTION("IFERROR(VALUE(REGEXEXTRACT(AI364, ""\d+"")), """")"),"")</f>
        <v/>
      </c>
      <c r="AL364" s="26" t="str">
        <f>IFERROR(__xludf.DUMMYFUNCTION("TEXTJOIN("", "", TRUE, FILTER(Validations!$U$2:$U$100, ISNUMBER(SEARCH(Validations!$U$2:$U$100, AI364))))"),"")</f>
        <v/>
      </c>
      <c r="AM364" s="24" t="b">
        <f t="shared" si="1"/>
        <v>0</v>
      </c>
      <c r="AN364" s="24" t="b">
        <v>0</v>
      </c>
      <c r="AO364" s="22" t="s">
        <v>105</v>
      </c>
      <c r="AP364" s="12" t="str">
        <f>IFERROR(__xludf.DUMMYFUNCTION("IF(TEXTJOIN("", "", TRUE, FILTER(Validations!$Q$2:$Q$100, ISNUMBER(SEARCH(Validations!$Q$2:$Q$100, AO364)))) = """", Validations!$Q$2, TEXTJOIN("", "", TRUE, FILTER(Validations!$Q$2:$Q$100, ISNUMBER(SEARCH(Validations!$Q$2:$Q$100, AO364)))))"),"Point")</f>
        <v>Point</v>
      </c>
      <c r="AQ364" s="12">
        <f>IFERROR(__xludf.DUMMYFUNCTION("IFERROR(VALUE(REGEXEXTRACT(AO364, ""\d+"")), """")"),10.0)</f>
        <v>10</v>
      </c>
      <c r="AR364" s="12" t="str">
        <f>IFERROR(__xludf.DUMMYFUNCTION("TEXTJOIN("", "", TRUE, FILTER(Validations!$R$2:$R$100, ISNUMBER(SEARCH(Validations!$R$2:$R$100, AO364))))"),"Feet")</f>
        <v>Feet</v>
      </c>
      <c r="AS364" s="27"/>
      <c r="AT364" s="12" t="str">
        <f>IFERROR(__xludf.DUMMYFUNCTION("IFERROR(TEXTJOIN("", "", TRUE, FILTER(Validations!$I$2:$I$100, ISNUMBER(SEARCH(Validations!$I$2:$I$100, AS364)))), """")"),"")</f>
        <v/>
      </c>
      <c r="AU364" s="16" t="str">
        <f t="array" ref="AU364">IFERROR(INDEX(Validations!$J$2:$J$100, MATCH(TRUE, ISNUMBER(SEARCH(Validations!$I$2:$I$100, AT364)), 0)), "")</f>
        <v/>
      </c>
      <c r="AV364" s="12" t="str">
        <f>IFERROR(__xludf.DUMMYFUNCTION("IFERROR(VALUE(REGEXEXTRACT(AS364, ""\d+"")), """")"),"")</f>
        <v/>
      </c>
      <c r="AW364" s="12" t="str">
        <f>IFERROR(__xludf.DUMMYFUNCTION("IFERROR(TEXTJOIN("", "", TRUE, FILTER(Validations!$Q$2:$Q$100, ISNUMBER(SEARCH(Validations!$Q$2:$Q$100, AS364)))), """")"),"")</f>
        <v/>
      </c>
      <c r="AX364" s="28" t="s">
        <v>152</v>
      </c>
      <c r="AY364" s="28" t="str">
        <f>IFERROR(__xludf.DUMMYFUNCTION("TEXTJOIN("", "", TRUE, FILTER(Validations!$Y$2:$Y$100, ISNUMBER(SEARCH(Validations!$X$2:$X$100, AX364))))"),"V, S, R")</f>
        <v>V, S, R</v>
      </c>
      <c r="AZ364" s="20" t="s">
        <v>1738</v>
      </c>
      <c r="BA364" s="22"/>
      <c r="BB364" s="22"/>
      <c r="BC364" s="22"/>
      <c r="BD364" s="22"/>
      <c r="BE364" s="27"/>
      <c r="BF364" s="22"/>
      <c r="BG364" s="27"/>
      <c r="BH364" s="27"/>
      <c r="BI364" s="12" t="str">
        <f>IFERROR(__xludf.DUMMYFUNCTION("IFERROR(TEXTJOIN("", "", TRUE, FILTER(SRD!$A$2:$A$1000, EXACT(SRD!$A$2:$A$1000, J364))), """")"),"")</f>
        <v/>
      </c>
      <c r="BJ364" s="29"/>
      <c r="BK364" s="29"/>
    </row>
    <row r="365" ht="15.75" customHeight="1">
      <c r="A365" s="38" t="s">
        <v>1739</v>
      </c>
      <c r="B365" s="12"/>
      <c r="C365" s="16"/>
      <c r="D365" s="16" t="s">
        <v>1740</v>
      </c>
      <c r="E365" s="16"/>
      <c r="F365" s="32" t="s">
        <v>1741</v>
      </c>
      <c r="G365" s="50" t="s">
        <v>1709</v>
      </c>
      <c r="H365" s="31" t="s">
        <v>65</v>
      </c>
      <c r="I365" s="16" t="str">
        <f t="array" ref="I365">INDEX(Validations!$C$2:$C$100, MATCH(TRUE, ISNUMBER(SEARCH(Validations!$B$2:$B$100, H365)), 0))</f>
        <v>I</v>
      </c>
      <c r="J365" s="17" t="s">
        <v>1742</v>
      </c>
      <c r="K365" s="51"/>
      <c r="L365" s="52"/>
      <c r="M365" s="52"/>
      <c r="N365" s="27"/>
      <c r="O365" s="17" t="s">
        <v>1743</v>
      </c>
      <c r="P365" s="21"/>
      <c r="Q365" s="21"/>
      <c r="R365" s="36" t="s">
        <v>840</v>
      </c>
      <c r="S365" s="17" t="str">
        <f>IFERROR(__xludf.DUMMYFUNCTION("IFERROR(REGEXEXTRACT(J365, ""(\d{1,3}[dD]\d{1,3})""), """")"),"")</f>
        <v/>
      </c>
      <c r="T365" s="17" t="str">
        <f>IFERROR(__xludf.DUMMYFUNCTION("IF(COUNTIF(ARRAYFORMULA(LOWER(Validations!$O$2:$O$100)), LOWER(REGEXEXTRACT(J365, ""\d{1,3}[dD]\d{1,3}\s+(\w+)"")))&gt;0, REGEXEXTRACT(J365, ""\d{1,3}[dD]\d{1,3}\s+(\w+)""), """")"),"")</f>
        <v/>
      </c>
      <c r="U365" s="17" t="str">
        <f>IFERROR(__xludf.DUMMYFUNCTION("IF(COUNTIF(ARRAYFORMULA(LOWER(Validations!$P$2:$P$100)), LOWER(REGEXEXTRACT(J365, ""\d{1,3}[dD]\d{1,3}\s+(\w+)"")))&gt;0, REGEXEXTRACT(J365, ""\d{1,3}[dD]\d{1,3}\s+(\w+)""), """")"),"")</f>
        <v/>
      </c>
      <c r="V365" s="12" t="str">
        <f>IFERROR(__xludf.DUMMYFUNCTION("TEXTJOIN("", "", TRUE, FILTER(Validations!$L$2:$L$100, ISNUMBER(SEARCH(Validations!$L$2:$L$100, J365))))"),"Charmed, Frightened, Poisoned, Stunned")</f>
        <v>Charmed, Frightened, Poisoned, Stunned</v>
      </c>
      <c r="W365" s="12" t="str">
        <f>IFERROR(__xludf.DUMMYFUNCTION("IFERROR(TEXTJOIN("", "", TRUE, FILTER(Validations!$M$2:$M$100, ISNUMBER(SEARCH(Validations!$M$2:$M$100 &amp; "" saving throw"", J365)))), """")"),"Constitution")</f>
        <v>Constitution</v>
      </c>
      <c r="X365" s="12"/>
      <c r="Y365" s="12"/>
      <c r="Z365" s="12" t="str">
        <f>IFERROR(__xludf.DUMMYFUNCTION("IFERROR(TEXTJOIN("", "", TRUE, FILTER(Validations!$N$2:$N$100, ISNUMBER(SEARCH(Validations!$N$2:$N$100 &amp; "" check"", J365)))), """")"),"Insight")</f>
        <v>Insight</v>
      </c>
      <c r="AA365" s="12" t="str">
        <f>IFERROR(__xludf.DUMMYFUNCTION("IFERROR(TEXTJOIN("", "", TRUE, FILTER(Validations!$N$2:$N$100, ISNUMBER(SEARCH(Validations!$N$2:$N$100 &amp; "" check"", W365)))), """")"),"")</f>
        <v/>
      </c>
      <c r="AB365" s="23" t="str">
        <f>IFERROR(__xludf.DUMMYFUNCTION("IFERROR(CONCATENATE(IF(ISNUMBER(SEARCH(Validations!$M$2:$M$100 &amp; "" spell save"", J365)),""Spell Save"",""""), REGEXEXTRACT(J365, ""DC (\d+)"")), """")"),"")</f>
        <v/>
      </c>
      <c r="AC365" s="24" t="b">
        <v>0</v>
      </c>
      <c r="AD365" s="24" t="b">
        <v>0</v>
      </c>
      <c r="AE365" s="12" t="s">
        <v>69</v>
      </c>
      <c r="AF365" s="25">
        <f>IFERROR(__xludf.DUMMYFUNCTION("IFERROR(VALUE(REGEXEXTRACT(AE365, ""\d+"")), 1)"),1.0)</f>
        <v>1</v>
      </c>
      <c r="AG365" s="12" t="str">
        <f>IFERROR(__xludf.DUMMYFUNCTION("IF(
  ISNUMBER(SEARCH(""Bonus Action"", AE365)),
  ""Bonus Action"",
  IF(
    ISNUMBER(SEARCH(""Reaction"", AE365)),
    ""Reaction"",
    IF(
      ISNUMBER(SEARCH(""Action"", AE365)),
      ""Action"",
      TEXTJOIN("", "", TRUE, FILTER(Validations!$S"&amp;"$2:$S$100, ISNUMBER(SEARCH(Validations!$S$2:$S$100, AE365))))
    )
  )
)"),"Action")</f>
        <v>Action</v>
      </c>
      <c r="AH365" s="12"/>
      <c r="AI365" s="20" t="s">
        <v>92</v>
      </c>
      <c r="AJ365" s="26" t="str">
        <f>IFERROR(__xludf.DUMMYFUNCTION("TEXTJOIN("", "", TRUE, FILTER(Validations!$T$2:$T$100, ISNUMBER(SEARCH(Validations!$T$2:$T$100, AI365))))"),"")</f>
        <v/>
      </c>
      <c r="AK365" s="26">
        <f>IFERROR(__xludf.DUMMYFUNCTION("IFERROR(VALUE(REGEXEXTRACT(AI365, ""\d+"")), """")"),1.0)</f>
        <v>1</v>
      </c>
      <c r="AL365" s="26" t="str">
        <f>IFERROR(__xludf.DUMMYFUNCTION("TEXTJOIN("", "", TRUE, FILTER(Validations!$U$2:$U$100, ISNUMBER(SEARCH(Validations!$U$2:$U$100, AI365))))"),"Minutes")</f>
        <v>Minutes</v>
      </c>
      <c r="AM365" s="24" t="b">
        <f t="shared" si="1"/>
        <v>0</v>
      </c>
      <c r="AN365" s="42" t="b">
        <v>1</v>
      </c>
      <c r="AO365" s="36" t="s">
        <v>105</v>
      </c>
      <c r="AP365" s="12" t="str">
        <f>IFERROR(__xludf.DUMMYFUNCTION("IF(TEXTJOIN("", "", TRUE, FILTER(Validations!$Q$2:$Q$100, ISNUMBER(SEARCH(Validations!$Q$2:$Q$100, AO365)))) = """", Validations!$Q$2, TEXTJOIN("", "", TRUE, FILTER(Validations!$Q$2:$Q$100, ISNUMBER(SEARCH(Validations!$Q$2:$Q$100, AO365)))))"),"Point")</f>
        <v>Point</v>
      </c>
      <c r="AQ365" s="12">
        <f>IFERROR(__xludf.DUMMYFUNCTION("IFERROR(VALUE(REGEXEXTRACT(AO365, ""\d+"")), """")"),10.0)</f>
        <v>10</v>
      </c>
      <c r="AR365" s="12" t="str">
        <f>IFERROR(__xludf.DUMMYFUNCTION("TEXTJOIN("", "", TRUE, FILTER(Validations!$R$2:$R$100, ISNUMBER(SEARCH(Validations!$R$2:$R$100, AO365))))"),"Feet")</f>
        <v>Feet</v>
      </c>
      <c r="AS365" s="27"/>
      <c r="AT365" s="12" t="str">
        <f>IFERROR(__xludf.DUMMYFUNCTION("IFERROR(TEXTJOIN("", "", TRUE, FILTER(Validations!$I$2:$I$100, ISNUMBER(SEARCH(Validations!$I$2:$I$100, AS365)))), """")"),"")</f>
        <v/>
      </c>
      <c r="AU365" s="16" t="str">
        <f t="array" ref="AU365">IFERROR(INDEX(Validations!$J$2:$J$100, MATCH(TRUE, ISNUMBER(SEARCH(Validations!$I$2:$I$100, AT365)), 0)), "")</f>
        <v/>
      </c>
      <c r="AV365" s="12" t="str">
        <f>IFERROR(__xludf.DUMMYFUNCTION("IFERROR(VALUE(REGEXEXTRACT(AS365, ""\d+"")), """")"),"")</f>
        <v/>
      </c>
      <c r="AW365" s="12" t="str">
        <f>IFERROR(__xludf.DUMMYFUNCTION("IFERROR(TEXTJOIN("", "", TRUE, FILTER(Validations!$Q$2:$Q$100, ISNUMBER(SEARCH(Validations!$Q$2:$Q$100, AS365)))), """")"),"")</f>
        <v/>
      </c>
      <c r="AX365" s="36" t="s">
        <v>80</v>
      </c>
      <c r="AY365" s="28" t="str">
        <f>IFERROR(__xludf.DUMMYFUNCTION("TEXTJOIN("", "", TRUE, FILTER(Validations!$Y$2:$Y$100, ISNUMBER(SEARCH(Validations!$X$2:$X$100, AX365))))"),"S, R")</f>
        <v>S, R</v>
      </c>
      <c r="AZ365" s="26" t="s">
        <v>1744</v>
      </c>
      <c r="BA365" s="12"/>
      <c r="BB365" s="22"/>
      <c r="BC365" s="22"/>
      <c r="BD365" s="22"/>
      <c r="BE365" s="27"/>
      <c r="BF365" s="22"/>
      <c r="BG365" s="27"/>
      <c r="BH365" s="27"/>
      <c r="BI365" s="12" t="str">
        <f>IFERROR(__xludf.DUMMYFUNCTION("IFERROR(TEXTJOIN("", "", TRUE, FILTER(SRD!$A$2:$A$1000, EXACT(SRD!$A$2:$A$1000, J365))), """")"),"")</f>
        <v/>
      </c>
      <c r="BJ365" s="29"/>
      <c r="BK365" s="29"/>
    </row>
    <row r="366" ht="15.75" customHeight="1">
      <c r="A366" s="30" t="s">
        <v>1745</v>
      </c>
      <c r="B366" s="22"/>
      <c r="C366" s="31"/>
      <c r="D366" s="31" t="s">
        <v>191</v>
      </c>
      <c r="E366" s="31"/>
      <c r="F366" s="32" t="s">
        <v>600</v>
      </c>
      <c r="G366" s="50" t="s">
        <v>1709</v>
      </c>
      <c r="H366" s="16" t="s">
        <v>178</v>
      </c>
      <c r="I366" s="16" t="str">
        <f t="array" ref="I366">INDEX(Validations!$C$2:$C$100, MATCH(TRUE, ISNUMBER(SEARCH(Validations!$B$2:$B$100, H366)), 0))</f>
        <v>A</v>
      </c>
      <c r="J366" s="17" t="s">
        <v>1746</v>
      </c>
      <c r="K366" s="18"/>
      <c r="L366" s="17"/>
      <c r="M366" s="17"/>
      <c r="N366" s="27"/>
      <c r="O366" s="17"/>
      <c r="P366" s="21"/>
      <c r="Q366" s="21"/>
      <c r="R366" s="22"/>
      <c r="S366" s="17" t="str">
        <f>IFERROR(__xludf.DUMMYFUNCTION("IFERROR(REGEXEXTRACT(J366, ""(\d{1,3}[dD]\d{1,3})""), """")"),"")</f>
        <v/>
      </c>
      <c r="T366" s="17" t="str">
        <f>IFERROR(__xludf.DUMMYFUNCTION("IF(COUNTIF(ARRAYFORMULA(LOWER(Validations!$O$2:$O$100)), LOWER(REGEXEXTRACT(J366, ""\d{1,3}[dD]\d{1,3}\s+(\w+)"")))&gt;0, REGEXEXTRACT(J366, ""\d{1,3}[dD]\d{1,3}\s+(\w+)""), """")"),"")</f>
        <v/>
      </c>
      <c r="U366" s="17" t="str">
        <f>IFERROR(__xludf.DUMMYFUNCTION("IF(COUNTIF(ARRAYFORMULA(LOWER(Validations!$P$2:$P$100)), LOWER(REGEXEXTRACT(J366, ""\d{1,3}[dD]\d{1,3}\s+(\w+)"")))&gt;0, REGEXEXTRACT(J366, ""\d{1,3}[dD]\d{1,3}\s+(\w+)""), """")"),"")</f>
        <v/>
      </c>
      <c r="V366" s="12" t="str">
        <f>IFERROR(__xludf.DUMMYFUNCTION("TEXTJOIN("", "", TRUE, FILTER(Validations!$L$2:$L$100, ISNUMBER(SEARCH(Validations!$L$2:$L$100, J366))))"),"Exhaustion")</f>
        <v>Exhaustion</v>
      </c>
      <c r="W366" s="12" t="str">
        <f>IFERROR(__xludf.DUMMYFUNCTION("IFERROR(TEXTJOIN("", "", TRUE, FILTER(Validations!$M$2:$M$100, ISNUMBER(SEARCH(Validations!$M$2:$M$100 &amp; "" saving throw"", J366)))), """")"),"")</f>
        <v/>
      </c>
      <c r="X366" s="12"/>
      <c r="Y366" s="12"/>
      <c r="Z366" s="12" t="str">
        <f>IFERROR(__xludf.DUMMYFUNCTION("IFERROR(TEXTJOIN("", "", TRUE, FILTER(Validations!$N$2:$N$100, ISNUMBER(SEARCH(Validations!$N$2:$N$100 &amp; "" check"", J366)))), """")"),"")</f>
        <v/>
      </c>
      <c r="AA366" s="12" t="str">
        <f>IFERROR(__xludf.DUMMYFUNCTION("IFERROR(TEXTJOIN("", "", TRUE, FILTER(Validations!$N$2:$N$100, ISNUMBER(SEARCH(Validations!$N$2:$N$100 &amp; "" check"", W366)))), """")"),"")</f>
        <v/>
      </c>
      <c r="AB366" s="23" t="str">
        <f>IFERROR(__xludf.DUMMYFUNCTION("IFERROR(CONCATENATE(IF(ISNUMBER(SEARCH(Validations!$M$2:$M$100 &amp; "" spell save"", J366)),""Spell Save"",""""), REGEXEXTRACT(J366, ""DC (\d+)"")), """")"),"")</f>
        <v/>
      </c>
      <c r="AC366" s="24" t="b">
        <v>0</v>
      </c>
      <c r="AD366" s="24" t="b">
        <v>0</v>
      </c>
      <c r="AE366" s="36" t="s">
        <v>69</v>
      </c>
      <c r="AF366" s="25">
        <f>IFERROR(__xludf.DUMMYFUNCTION("IFERROR(VALUE(REGEXEXTRACT(AE366, ""\d+"")), 1)"),1.0)</f>
        <v>1</v>
      </c>
      <c r="AG366" s="12" t="str">
        <f>IFERROR(__xludf.DUMMYFUNCTION("IF(
  ISNUMBER(SEARCH(""Bonus Action"", AE366)),
  ""Bonus Action"",
  IF(
    ISNUMBER(SEARCH(""Reaction"", AE366)),
    ""Reaction"",
    IF(
      ISNUMBER(SEARCH(""Action"", AE366)),
      ""Action"",
      TEXTJOIN("", "", TRUE, FILTER(Validations!$S"&amp;"$2:$S$100, ISNUMBER(SEARCH(Validations!$S$2:$S$100, AE366))))
    )
  )
)"),"Action")</f>
        <v>Action</v>
      </c>
      <c r="AH366" s="36"/>
      <c r="AI366" s="20" t="s">
        <v>296</v>
      </c>
      <c r="AJ366" s="26" t="str">
        <f>IFERROR(__xludf.DUMMYFUNCTION("TEXTJOIN("", "", TRUE, FILTER(Validations!$T$2:$T$100, ISNUMBER(SEARCH(Validations!$T$2:$T$100, AI366))))"),"")</f>
        <v/>
      </c>
      <c r="AK366" s="26">
        <f>IFERROR(__xludf.DUMMYFUNCTION("IFERROR(VALUE(REGEXEXTRACT(AI366, ""\d+"")), """")"),1.0)</f>
        <v>1</v>
      </c>
      <c r="AL366" s="26" t="str">
        <f>IFERROR(__xludf.DUMMYFUNCTION("TEXTJOIN("", "", TRUE, FILTER(Validations!$U$2:$U$100, ISNUMBER(SEARCH(Validations!$U$2:$U$100, AI366))))"),"Hours")</f>
        <v>Hours</v>
      </c>
      <c r="AM366" s="24" t="b">
        <f t="shared" si="1"/>
        <v>0</v>
      </c>
      <c r="AN366" s="24" t="b">
        <v>0</v>
      </c>
      <c r="AO366" s="22" t="s">
        <v>112</v>
      </c>
      <c r="AP366" s="12" t="str">
        <f>IFERROR(__xludf.DUMMYFUNCTION("IF(TEXTJOIN("", "", TRUE, FILTER(Validations!$Q$2:$Q$100, ISNUMBER(SEARCH(Validations!$Q$2:$Q$100, AO366)))) = """", Validations!$Q$2, TEXTJOIN("", "", TRUE, FILTER(Validations!$Q$2:$Q$100, ISNUMBER(SEARCH(Validations!$Q$2:$Q$100, AO366)))))"),"Point")</f>
        <v>Point</v>
      </c>
      <c r="AQ366" s="12">
        <f>IFERROR(__xludf.DUMMYFUNCTION("IFERROR(VALUE(REGEXEXTRACT(AO366, ""\d+"")), """")"),30.0)</f>
        <v>30</v>
      </c>
      <c r="AR366" s="12" t="str">
        <f>IFERROR(__xludf.DUMMYFUNCTION("TEXTJOIN("", "", TRUE, FILTER(Validations!$R$2:$R$100, ISNUMBER(SEARCH(Validations!$R$2:$R$100, AO366))))"),"Feet")</f>
        <v>Feet</v>
      </c>
      <c r="AS366" s="27"/>
      <c r="AT366" s="12" t="str">
        <f>IFERROR(__xludf.DUMMYFUNCTION("IFERROR(TEXTJOIN("", "", TRUE, FILTER(Validations!$I$2:$I$100, ISNUMBER(SEARCH(Validations!$I$2:$I$100, AS366)))), """")"),"")</f>
        <v/>
      </c>
      <c r="AU366" s="16" t="str">
        <f t="array" ref="AU366">IFERROR(INDEX(Validations!$J$2:$J$100, MATCH(TRUE, ISNUMBER(SEARCH(Validations!$I$2:$I$100, AT366)), 0)), "")</f>
        <v/>
      </c>
      <c r="AV366" s="12" t="str">
        <f>IFERROR(__xludf.DUMMYFUNCTION("IFERROR(VALUE(REGEXEXTRACT(AS366, ""\d+"")), """")"),"")</f>
        <v/>
      </c>
      <c r="AW366" s="12" t="str">
        <f>IFERROR(__xludf.DUMMYFUNCTION("IFERROR(TEXTJOIN("", "", TRUE, FILTER(Validations!$Q$2:$Q$100, ISNUMBER(SEARCH(Validations!$Q$2:$Q$100, AS366)))), """")"),"")</f>
        <v/>
      </c>
      <c r="AX366" s="28" t="s">
        <v>152</v>
      </c>
      <c r="AY366" s="28" t="str">
        <f>IFERROR(__xludf.DUMMYFUNCTION("TEXTJOIN("", "", TRUE, FILTER(Validations!$Y$2:$Y$100, ISNUMBER(SEARCH(Validations!$X$2:$X$100, AX366))))"),"V, S, R")</f>
        <v>V, S, R</v>
      </c>
      <c r="AZ366" s="20" t="s">
        <v>1747</v>
      </c>
      <c r="BA366" s="22"/>
      <c r="BB366" s="22"/>
      <c r="BC366" s="22"/>
      <c r="BD366" s="22"/>
      <c r="BE366" s="27"/>
      <c r="BF366" s="22"/>
      <c r="BG366" s="27"/>
      <c r="BH366" s="27"/>
      <c r="BI366" s="12" t="str">
        <f>IFERROR(__xludf.DUMMYFUNCTION("IFERROR(TEXTJOIN("", "", TRUE, FILTER(SRD!$A$2:$A$1000, EXACT(SRD!$A$2:$A$1000, J366))), """")"),"")</f>
        <v/>
      </c>
      <c r="BJ366" s="29"/>
      <c r="BK366" s="29"/>
    </row>
    <row r="367" ht="15.75" customHeight="1">
      <c r="A367" s="38" t="s">
        <v>1748</v>
      </c>
      <c r="B367" s="12"/>
      <c r="C367" s="43"/>
      <c r="D367" s="43" t="s">
        <v>923</v>
      </c>
      <c r="E367" s="43"/>
      <c r="F367" s="14" t="s">
        <v>216</v>
      </c>
      <c r="G367" s="50" t="s">
        <v>1709</v>
      </c>
      <c r="H367" s="16" t="s">
        <v>85</v>
      </c>
      <c r="I367" s="16" t="str">
        <f t="array" ref="I367">INDEX(Validations!$C$2:$C$100, MATCH(TRUE, ISNUMBER(SEARCH(Validations!$B$2:$B$100, H367)), 0))</f>
        <v>T</v>
      </c>
      <c r="J367" s="17" t="s">
        <v>1749</v>
      </c>
      <c r="K367" s="18" t="s">
        <v>1750</v>
      </c>
      <c r="L367" s="52"/>
      <c r="M367" s="17" t="s">
        <v>1751</v>
      </c>
      <c r="N367" s="20" t="s">
        <v>1752</v>
      </c>
      <c r="O367" s="17" t="s">
        <v>1753</v>
      </c>
      <c r="P367" s="21"/>
      <c r="Q367" s="21"/>
      <c r="R367" s="36" t="s">
        <v>1754</v>
      </c>
      <c r="S367" s="17" t="str">
        <f>IFERROR(__xludf.DUMMYFUNCTION("IFERROR(REGEXEXTRACT(J367, ""(\d{1,3}[dD]\d{1,3})""), """")"),"")</f>
        <v/>
      </c>
      <c r="T367" s="17" t="str">
        <f>IFERROR(__xludf.DUMMYFUNCTION("IF(COUNTIF(ARRAYFORMULA(LOWER(Validations!$O$2:$O$100)), LOWER(REGEXEXTRACT(J367, ""\d{1,3}[dD]\d{1,3}\s+(\w+)"")))&gt;0, REGEXEXTRACT(J367, ""\d{1,3}[dD]\d{1,3}\s+(\w+)""), """")"),"")</f>
        <v/>
      </c>
      <c r="U367" s="17" t="str">
        <f>IFERROR(__xludf.DUMMYFUNCTION("IF(COUNTIF(ARRAYFORMULA(LOWER(Validations!$P$2:$P$100)), LOWER(REGEXEXTRACT(J367, ""\d{1,3}[dD]\d{1,3}\s+(\w+)"")))&gt;0, REGEXEXTRACT(J367, ""\d{1,3}[dD]\d{1,3}\s+(\w+)""), """")"),"")</f>
        <v/>
      </c>
      <c r="V367" s="12" t="str">
        <f>IFERROR(__xludf.DUMMYFUNCTION("TEXTJOIN("", "", TRUE, FILTER(Validations!$L$2:$L$100, ISNUMBER(SEARCH(Validations!$L$2:$L$100, J367))))"),"")</f>
        <v/>
      </c>
      <c r="W367" s="12" t="str">
        <f>IFERROR(__xludf.DUMMYFUNCTION("IFERROR(TEXTJOIN("", "", TRUE, FILTER(Validations!$M$2:$M$100, ISNUMBER(SEARCH(Validations!$M$2:$M$100 &amp; "" saving throw"", J367)))), """")"),"")</f>
        <v/>
      </c>
      <c r="X367" s="12"/>
      <c r="Y367" s="12"/>
      <c r="Z367" s="12" t="str">
        <f>IFERROR(__xludf.DUMMYFUNCTION("IFERROR(TEXTJOIN("", "", TRUE, FILTER(Validations!$N$2:$N$100, ISNUMBER(SEARCH(Validations!$N$2:$N$100 &amp; "" check"", J367)))), """")"),"")</f>
        <v/>
      </c>
      <c r="AA367" s="12" t="str">
        <f>IFERROR(__xludf.DUMMYFUNCTION("IFERROR(TEXTJOIN("", "", TRUE, FILTER(Validations!$N$2:$N$100, ISNUMBER(SEARCH(Validations!$N$2:$N$100 &amp; "" check"", W367)))), """")"),"")</f>
        <v/>
      </c>
      <c r="AB367" s="23" t="str">
        <f>IFERROR(__xludf.DUMMYFUNCTION("IFERROR(CONCATENATE(IF(ISNUMBER(SEARCH(Validations!$M$2:$M$100 &amp; "" spell save"", J367)),""Spell Save"",""""), REGEXEXTRACT(J367, ""DC (\d+)"")), """")"),"")</f>
        <v/>
      </c>
      <c r="AC367" s="24" t="b">
        <v>0</v>
      </c>
      <c r="AD367" s="24" t="b">
        <v>0</v>
      </c>
      <c r="AE367" s="12" t="s">
        <v>69</v>
      </c>
      <c r="AF367" s="25">
        <f>IFERROR(__xludf.DUMMYFUNCTION("IFERROR(VALUE(REGEXEXTRACT(AE367, ""\d+"")), 1)"),1.0)</f>
        <v>1</v>
      </c>
      <c r="AG367" s="12" t="str">
        <f>IFERROR(__xludf.DUMMYFUNCTION("IF(
  ISNUMBER(SEARCH(""Bonus Action"", AE367)),
  ""Bonus Action"",
  IF(
    ISNUMBER(SEARCH(""Reaction"", AE367)),
    ""Reaction"",
    IF(
      ISNUMBER(SEARCH(""Action"", AE367)),
      ""Action"",
      TEXTJOIN("", "", TRUE, FILTER(Validations!$S"&amp;"$2:$S$100, ISNUMBER(SEARCH(Validations!$S$2:$S$100, AE367))))
    )
  )
)"),"Action")</f>
        <v>Action</v>
      </c>
      <c r="AH367" s="12"/>
      <c r="AI367" s="20" t="s">
        <v>92</v>
      </c>
      <c r="AJ367" s="26" t="str">
        <f>IFERROR(__xludf.DUMMYFUNCTION("TEXTJOIN("", "", TRUE, FILTER(Validations!$T$2:$T$100, ISNUMBER(SEARCH(Validations!$T$2:$T$100, AI367))))"),"")</f>
        <v/>
      </c>
      <c r="AK367" s="26">
        <f>IFERROR(__xludf.DUMMYFUNCTION("IFERROR(VALUE(REGEXEXTRACT(AI367, ""\d+"")), """")"),1.0)</f>
        <v>1</v>
      </c>
      <c r="AL367" s="26" t="str">
        <f>IFERROR(__xludf.DUMMYFUNCTION("TEXTJOIN("", "", TRUE, FILTER(Validations!$U$2:$U$100, ISNUMBER(SEARCH(Validations!$U$2:$U$100, AI367))))"),"Minutes")</f>
        <v>Minutes</v>
      </c>
      <c r="AM367" s="24" t="b">
        <f t="shared" si="1"/>
        <v>0</v>
      </c>
      <c r="AN367" s="24" t="b">
        <v>1</v>
      </c>
      <c r="AO367" s="12" t="s">
        <v>78</v>
      </c>
      <c r="AP367" s="12" t="str">
        <f>IFERROR(__xludf.DUMMYFUNCTION("IF(TEXTJOIN("", "", TRUE, FILTER(Validations!$Q$2:$Q$100, ISNUMBER(SEARCH(Validations!$Q$2:$Q$100, AO367)))) = """", Validations!$Q$2, TEXTJOIN("", "", TRUE, FILTER(Validations!$Q$2:$Q$100, ISNUMBER(SEARCH(Validations!$Q$2:$Q$100, AO367)))))"),"Point")</f>
        <v>Point</v>
      </c>
      <c r="AQ367" s="12" t="str">
        <f>IFERROR(__xludf.DUMMYFUNCTION("IFERROR(VALUE(REGEXEXTRACT(AO367, ""\d+"")), """")"),"")</f>
        <v/>
      </c>
      <c r="AR367" s="12" t="str">
        <f>IFERROR(__xludf.DUMMYFUNCTION("TEXTJOIN("", "", TRUE, FILTER(Validations!$R$2:$R$100, ISNUMBER(SEARCH(Validations!$R$2:$R$100, AO367))))"),"Self")</f>
        <v>Self</v>
      </c>
      <c r="AS367" s="26" t="s">
        <v>1755</v>
      </c>
      <c r="AT367" s="12" t="str">
        <f>IFERROR(__xludf.DUMMYFUNCTION("IFERROR(TEXTJOIN("", "", TRUE, FILTER(Validations!$I$2:$I$100, ISNUMBER(SEARCH(Validations!$I$2:$I$100, AS367)))), """")"),"")</f>
        <v/>
      </c>
      <c r="AU367" s="16" t="str">
        <f t="array" ref="AU367">IFERROR(INDEX(Validations!$J$2:$J$100, MATCH(TRUE, ISNUMBER(SEARCH(Validations!$I$2:$I$100, AT367)), 0)), "")</f>
        <v/>
      </c>
      <c r="AV367" s="12">
        <f>IFERROR(__xludf.DUMMYFUNCTION("IFERROR(VALUE(REGEXEXTRACT(AS367, ""\d+"")), """")"),30.0)</f>
        <v>30</v>
      </c>
      <c r="AW367" s="12" t="str">
        <f>IFERROR(__xludf.DUMMYFUNCTION("IFERROR(TEXTJOIN("", "", TRUE, FILTER(Validations!$Q$2:$Q$100, ISNUMBER(SEARCH(Validations!$Q$2:$Q$100, AS367)))), """")"),"Radius")</f>
        <v>Radius</v>
      </c>
      <c r="AX367" s="28" t="s">
        <v>152</v>
      </c>
      <c r="AY367" s="28" t="str">
        <f>IFERROR(__xludf.DUMMYFUNCTION("TEXTJOIN("", "", TRUE, FILTER(Validations!$Y$2:$Y$100, ISNUMBER(SEARCH(Validations!$X$2:$X$100, AX367))))"),"V, S, R")</f>
        <v>V, S, R</v>
      </c>
      <c r="AZ367" s="26" t="s">
        <v>1756</v>
      </c>
      <c r="BA367" s="12"/>
      <c r="BB367" s="22"/>
      <c r="BC367" s="22"/>
      <c r="BD367" s="22"/>
      <c r="BE367" s="27"/>
      <c r="BF367" s="22"/>
      <c r="BG367" s="27"/>
      <c r="BH367" s="27"/>
      <c r="BI367" s="12" t="str">
        <f>IFERROR(__xludf.DUMMYFUNCTION("IFERROR(TEXTJOIN("", "", TRUE, FILTER(SRD!$A$2:$A$1000, EXACT(SRD!$A$2:$A$1000, J367))), """")"),"")</f>
        <v/>
      </c>
      <c r="BJ367" s="29"/>
      <c r="BK367" s="29"/>
    </row>
    <row r="368" ht="15.75" customHeight="1">
      <c r="A368" s="38" t="s">
        <v>1757</v>
      </c>
      <c r="B368" s="12"/>
      <c r="C368" s="16"/>
      <c r="D368" s="16" t="s">
        <v>727</v>
      </c>
      <c r="E368" s="16"/>
      <c r="F368" s="39" t="s">
        <v>241</v>
      </c>
      <c r="G368" s="50" t="s">
        <v>1709</v>
      </c>
      <c r="H368" s="16" t="s">
        <v>76</v>
      </c>
      <c r="I368" s="16" t="str">
        <f t="array" ref="I368">INDEX(Validations!$C$2:$C$100, MATCH(TRUE, ISNUMBER(SEARCH(Validations!$B$2:$B$100, H368)), 0))</f>
        <v>V</v>
      </c>
      <c r="J368" s="17" t="s">
        <v>1758</v>
      </c>
      <c r="K368" s="51"/>
      <c r="L368" s="17"/>
      <c r="M368" s="52"/>
      <c r="N368" s="27"/>
      <c r="O368" s="17" t="s">
        <v>1759</v>
      </c>
      <c r="P368" s="21"/>
      <c r="Q368" s="21"/>
      <c r="R368" s="36" t="s">
        <v>840</v>
      </c>
      <c r="S368" s="17" t="str">
        <f>IFERROR(__xludf.DUMMYFUNCTION("IFERROR(REGEXEXTRACT(J368, ""(\d{1,3}[dD]\d{1,3})""), """")"),"9d8")</f>
        <v>9d8</v>
      </c>
      <c r="T368" s="17" t="str">
        <f>IFERROR(__xludf.DUMMYFUNCTION("IF(COUNTIF(ARRAYFORMULA(LOWER(Validations!$O$2:$O$100)), LOWER(REGEXEXTRACT(J368, ""\d{1,3}[dD]\d{1,3}\s+(\w+)"")))&gt;0, REGEXEXTRACT(J368, ""\d{1,3}[dD]\d{1,3}\s+(\w+)""), """")"),"chiaric")</f>
        <v>chiaric</v>
      </c>
      <c r="U368" s="17" t="str">
        <f>IFERROR(__xludf.DUMMYFUNCTION("IF(COUNTIF(ARRAYFORMULA(LOWER(Validations!$P$2:$P$100)), LOWER(REGEXEXTRACT(J368, ""\d{1,3}[dD]\d{1,3}\s+(\w+)"")))&gt;0, REGEXEXTRACT(J368, ""\d{1,3}[dD]\d{1,3}\s+(\w+)""), """")"),"")</f>
        <v/>
      </c>
      <c r="V368" s="12" t="str">
        <f>IFERROR(__xludf.DUMMYFUNCTION("TEXTJOIN("", "", TRUE, FILTER(Validations!$L$2:$L$100, ISNUMBER(SEARCH(Validations!$L$2:$L$100, J368))))"),"")</f>
        <v/>
      </c>
      <c r="W368" s="12" t="str">
        <f>IFERROR(__xludf.DUMMYFUNCTION("IFERROR(TEXTJOIN("", "", TRUE, FILTER(Validations!$M$2:$M$100, ISNUMBER(SEARCH(Validations!$M$2:$M$100 &amp; "" saving throw"", J368)))), """")"),"Constitution")</f>
        <v>Constitution</v>
      </c>
      <c r="X368" s="12"/>
      <c r="Y368" s="12"/>
      <c r="Z368" s="12" t="str">
        <f>IFERROR(__xludf.DUMMYFUNCTION("IFERROR(TEXTJOIN("", "", TRUE, FILTER(Validations!$N$2:$N$100, ISNUMBER(SEARCH(Validations!$N$2:$N$100 &amp; "" check"", J368)))), """")"),"")</f>
        <v/>
      </c>
      <c r="AA368" s="12" t="str">
        <f>IFERROR(__xludf.DUMMYFUNCTION("IFERROR(TEXTJOIN("", "", TRUE, FILTER(Validations!$N$2:$N$100, ISNUMBER(SEARCH(Validations!$N$2:$N$100 &amp; "" check"", W368)))), """")"),"")</f>
        <v/>
      </c>
      <c r="AB368" s="23" t="str">
        <f>IFERROR(__xludf.DUMMYFUNCTION("IFERROR(CONCATENATE(IF(ISNUMBER(SEARCH(Validations!$M$2:$M$100 &amp; "" spell save"", J368)),""Spell Save"",""""), REGEXEXTRACT(J368, ""DC (\d+)"")), """")"),"")</f>
        <v/>
      </c>
      <c r="AC368" s="24" t="b">
        <v>0</v>
      </c>
      <c r="AD368" s="24" t="b">
        <v>0</v>
      </c>
      <c r="AE368" s="36" t="s">
        <v>435</v>
      </c>
      <c r="AF368" s="25">
        <f>IFERROR(__xludf.DUMMYFUNCTION("IFERROR(VALUE(REGEXEXTRACT(AE368, ""\d+"")), 1)"),1.0)</f>
        <v>1</v>
      </c>
      <c r="AG368" s="12" t="str">
        <f>IFERROR(__xludf.DUMMYFUNCTION("IF(
  ISNUMBER(SEARCH(""Bonus Action"", AE368)),
  ""Bonus Action"",
  IF(
    ISNUMBER(SEARCH(""Reaction"", AE368)),
    ""Reaction"",
    IF(
      ISNUMBER(SEARCH(""Action"", AE368)),
      ""Action"",
      TEXTJOIN("", "", TRUE, FILTER(Validations!$S"&amp;"$2:$S$100, ISNUMBER(SEARCH(Validations!$S$2:$S$100, AE368))))
    )
  )
)"),"Bonus Action")</f>
        <v>Bonus Action</v>
      </c>
      <c r="AH368" s="36"/>
      <c r="AI368" s="20" t="s">
        <v>70</v>
      </c>
      <c r="AJ368" s="26" t="str">
        <f>IFERROR(__xludf.DUMMYFUNCTION("TEXTJOIN("", "", TRUE, FILTER(Validations!$T$2:$T$100, ISNUMBER(SEARCH(Validations!$T$2:$T$100, AI368))))"),"Instantaneous")</f>
        <v>Instantaneous</v>
      </c>
      <c r="AK368" s="26" t="str">
        <f>IFERROR(__xludf.DUMMYFUNCTION("IFERROR(VALUE(REGEXEXTRACT(AI368, ""\d+"")), """")"),"")</f>
        <v/>
      </c>
      <c r="AL368" s="26" t="str">
        <f>IFERROR(__xludf.DUMMYFUNCTION("TEXTJOIN("", "", TRUE, FILTER(Validations!$U$2:$U$100, ISNUMBER(SEARCH(Validations!$U$2:$U$100, AI368))))"),"")</f>
        <v/>
      </c>
      <c r="AM368" s="24" t="b">
        <f t="shared" si="1"/>
        <v>0</v>
      </c>
      <c r="AN368" s="24" t="b">
        <v>0</v>
      </c>
      <c r="AO368" s="36" t="s">
        <v>93</v>
      </c>
      <c r="AP368" s="12" t="str">
        <f>IFERROR(__xludf.DUMMYFUNCTION("IF(TEXTJOIN("", "", TRUE, FILTER(Validations!$Q$2:$Q$100, ISNUMBER(SEARCH(Validations!$Q$2:$Q$100, AO368)))) = """", Validations!$Q$2, TEXTJOIN("", "", TRUE, FILTER(Validations!$Q$2:$Q$100, ISNUMBER(SEARCH(Validations!$Q$2:$Q$100, AO368)))))"),"Point")</f>
        <v>Point</v>
      </c>
      <c r="AQ368" s="12">
        <f>IFERROR(__xludf.DUMMYFUNCTION("IFERROR(VALUE(REGEXEXTRACT(AO368, ""\d+"")), """")"),20.0)</f>
        <v>20</v>
      </c>
      <c r="AR368" s="12" t="str">
        <f>IFERROR(__xludf.DUMMYFUNCTION("TEXTJOIN("", "", TRUE, FILTER(Validations!$R$2:$R$100, ISNUMBER(SEARCH(Validations!$R$2:$R$100, AO368))))"),"Feet")</f>
        <v>Feet</v>
      </c>
      <c r="AS368" s="27"/>
      <c r="AT368" s="12" t="str">
        <f>IFERROR(__xludf.DUMMYFUNCTION("IFERROR(TEXTJOIN("", "", TRUE, FILTER(Validations!$I$2:$I$100, ISNUMBER(SEARCH(Validations!$I$2:$I$100, AS368)))), """")"),"")</f>
        <v/>
      </c>
      <c r="AU368" s="16" t="str">
        <f t="array" ref="AU368">IFERROR(INDEX(Validations!$J$2:$J$100, MATCH(TRUE, ISNUMBER(SEARCH(Validations!$I$2:$I$100, AT368)), 0)), "")</f>
        <v/>
      </c>
      <c r="AV368" s="12" t="str">
        <f>IFERROR(__xludf.DUMMYFUNCTION("IFERROR(VALUE(REGEXEXTRACT(AS368, ""\d+"")), """")"),"")</f>
        <v/>
      </c>
      <c r="AW368" s="12" t="str">
        <f>IFERROR(__xludf.DUMMYFUNCTION("IFERROR(TEXTJOIN("", "", TRUE, FILTER(Validations!$Q$2:$Q$100, ISNUMBER(SEARCH(Validations!$Q$2:$Q$100, AS368)))), """")"),"")</f>
        <v/>
      </c>
      <c r="AX368" s="36" t="s">
        <v>80</v>
      </c>
      <c r="AY368" s="28" t="str">
        <f>IFERROR(__xludf.DUMMYFUNCTION("TEXTJOIN("", "", TRUE, FILTER(Validations!$Y$2:$Y$100, ISNUMBER(SEARCH(Validations!$X$2:$X$100, AX368))))"),"S, R")</f>
        <v>S, R</v>
      </c>
      <c r="AZ368" s="26" t="s">
        <v>1760</v>
      </c>
      <c r="BA368" s="12"/>
      <c r="BB368" s="22"/>
      <c r="BC368" s="22"/>
      <c r="BD368" s="22"/>
      <c r="BE368" s="27"/>
      <c r="BF368" s="22"/>
      <c r="BG368" s="27"/>
      <c r="BH368" s="27"/>
      <c r="BI368" s="12" t="str">
        <f>IFERROR(__xludf.DUMMYFUNCTION("IFERROR(TEXTJOIN("", "", TRUE, FILTER(SRD!$A$2:$A$1000, EXACT(SRD!$A$2:$A$1000, J368))), """")"),"")</f>
        <v/>
      </c>
      <c r="BJ368" s="29"/>
      <c r="BK368" s="29"/>
    </row>
    <row r="369" ht="15.75" customHeight="1">
      <c r="A369" s="38" t="s">
        <v>1761</v>
      </c>
      <c r="B369" s="12"/>
      <c r="C369" s="16"/>
      <c r="D369" s="16" t="s">
        <v>1273</v>
      </c>
      <c r="E369" s="16"/>
      <c r="F369" s="32" t="s">
        <v>1418</v>
      </c>
      <c r="G369" s="50" t="s">
        <v>1709</v>
      </c>
      <c r="H369" s="31" t="s">
        <v>85</v>
      </c>
      <c r="I369" s="16" t="str">
        <f t="array" ref="I369">INDEX(Validations!$C$2:$C$100, MATCH(TRUE, ISNUMBER(SEARCH(Validations!$B$2:$B$100, H369)), 0))</f>
        <v>T</v>
      </c>
      <c r="J369" s="17" t="s">
        <v>1762</v>
      </c>
      <c r="K369" s="18" t="s">
        <v>1763</v>
      </c>
      <c r="L369" s="17"/>
      <c r="M369" s="17" t="s">
        <v>1764</v>
      </c>
      <c r="N369" s="27"/>
      <c r="O369" s="17" t="s">
        <v>1765</v>
      </c>
      <c r="P369" s="21"/>
      <c r="Q369" s="21"/>
      <c r="R369" s="36" t="s">
        <v>1766</v>
      </c>
      <c r="S369" s="17" t="str">
        <f>IFERROR(__xludf.DUMMYFUNCTION("IFERROR(REGEXEXTRACT(J369, ""(\d{1,3}[dD]\d{1,3})""), """")"),"")</f>
        <v/>
      </c>
      <c r="T369" s="17" t="str">
        <f>IFERROR(__xludf.DUMMYFUNCTION("IF(COUNTIF(ARRAYFORMULA(LOWER(Validations!$O$2:$O$100)), LOWER(REGEXEXTRACT(J369, ""\d{1,3}[dD]\d{1,3}\s+(\w+)"")))&gt;0, REGEXEXTRACT(J369, ""\d{1,3}[dD]\d{1,3}\s+(\w+)""), """")"),"")</f>
        <v/>
      </c>
      <c r="U369" s="17" t="str">
        <f>IFERROR(__xludf.DUMMYFUNCTION("IF(COUNTIF(ARRAYFORMULA(LOWER(Validations!$P$2:$P$100)), LOWER(REGEXEXTRACT(J369, ""\d{1,3}[dD]\d{1,3}\s+(\w+)"")))&gt;0, REGEXEXTRACT(J369, ""\d{1,3}[dD]\d{1,3}\s+(\w+)""), """")"),"")</f>
        <v/>
      </c>
      <c r="V369" s="12" t="str">
        <f>IFERROR(__xludf.DUMMYFUNCTION("TEXTJOIN("", "", TRUE, FILTER(Validations!$L$2:$L$100, ISNUMBER(SEARCH(Validations!$L$2:$L$100, J369))))"),"Exhaustion")</f>
        <v>Exhaustion</v>
      </c>
      <c r="W369" s="12" t="str">
        <f>IFERROR(__xludf.DUMMYFUNCTION("IFERROR(TEXTJOIN("", "", TRUE, FILTER(Validations!$M$2:$M$100, ISNUMBER(SEARCH(Validations!$M$2:$M$100 &amp; "" saving throw"", J369)))), """")"),"Constitution, Charisma")</f>
        <v>Constitution, Charisma</v>
      </c>
      <c r="X369" s="12"/>
      <c r="Y369" s="12"/>
      <c r="Z369" s="12" t="str">
        <f>IFERROR(__xludf.DUMMYFUNCTION("IFERROR(TEXTJOIN("", "", TRUE, FILTER(Validations!$N$2:$N$100, ISNUMBER(SEARCH(Validations!$N$2:$N$100 &amp; "" check"", J369)))), """")"),"")</f>
        <v/>
      </c>
      <c r="AA369" s="12" t="str">
        <f>IFERROR(__xludf.DUMMYFUNCTION("IFERROR(TEXTJOIN("", "", TRUE, FILTER(Validations!$N$2:$N$100, ISNUMBER(SEARCH(Validations!$N$2:$N$100 &amp; "" check"", W369)))), """")"),"")</f>
        <v/>
      </c>
      <c r="AB369" s="23" t="str">
        <f>IFERROR(__xludf.DUMMYFUNCTION("IFERROR(CONCATENATE(IF(ISNUMBER(SEARCH(Validations!$M$2:$M$100 &amp; "" spell save"", J369)),""Spell Save"",""""), REGEXEXTRACT(J369, ""DC (\d+)"")), """")"),"18")</f>
        <v>18</v>
      </c>
      <c r="AC369" s="24" t="b">
        <v>0</v>
      </c>
      <c r="AD369" s="24" t="b">
        <v>0</v>
      </c>
      <c r="AE369" s="36" t="s">
        <v>69</v>
      </c>
      <c r="AF369" s="25">
        <f>IFERROR(__xludf.DUMMYFUNCTION("IFERROR(VALUE(REGEXEXTRACT(AE369, ""\d+"")), 1)"),1.0)</f>
        <v>1</v>
      </c>
      <c r="AG369" s="12" t="str">
        <f>IFERROR(__xludf.DUMMYFUNCTION("IF(
  ISNUMBER(SEARCH(""Bonus Action"", AE369)),
  ""Bonus Action"",
  IF(
    ISNUMBER(SEARCH(""Reaction"", AE369)),
    ""Reaction"",
    IF(
      ISNUMBER(SEARCH(""Action"", AE369)),
      ""Action"",
      TEXTJOIN("", "", TRUE, FILTER(Validations!$S"&amp;"$2:$S$100, ISNUMBER(SEARCH(Validations!$S$2:$S$100, AE369))))
    )
  )
)"),"Action")</f>
        <v>Action</v>
      </c>
      <c r="AH369" s="36"/>
      <c r="AI369" s="20" t="s">
        <v>1767</v>
      </c>
      <c r="AJ369" s="26" t="str">
        <f>IFERROR(__xludf.DUMMYFUNCTION("TEXTJOIN("", "", TRUE, FILTER(Validations!$T$2:$T$100, ISNUMBER(SEARCH(Validations!$T$2:$T$100, AI369))))"),"")</f>
        <v/>
      </c>
      <c r="AK369" s="26" t="str">
        <f>IFERROR(__xludf.DUMMYFUNCTION("IFERROR(VALUE(REGEXEXTRACT(AI369, ""\d+"")), """")"),"")</f>
        <v/>
      </c>
      <c r="AL369" s="26" t="str">
        <f>IFERROR(__xludf.DUMMYFUNCTION("TEXTJOIN("", "", TRUE, FILTER(Validations!$U$2:$U$100, ISNUMBER(SEARCH(Validations!$U$2:$U$100, AI369))))"),"")</f>
        <v/>
      </c>
      <c r="AM369" s="24" t="b">
        <f t="shared" si="1"/>
        <v>0</v>
      </c>
      <c r="AN369" s="24" t="b">
        <v>0</v>
      </c>
      <c r="AO369" s="12" t="s">
        <v>71</v>
      </c>
      <c r="AP369" s="12" t="str">
        <f>IFERROR(__xludf.DUMMYFUNCTION("IF(TEXTJOIN("", "", TRUE, FILTER(Validations!$Q$2:$Q$100, ISNUMBER(SEARCH(Validations!$Q$2:$Q$100, AO369)))) = """", Validations!$Q$2, TEXTJOIN("", "", TRUE, FILTER(Validations!$Q$2:$Q$100, ISNUMBER(SEARCH(Validations!$Q$2:$Q$100, AO369)))))"),"Point")</f>
        <v>Point</v>
      </c>
      <c r="AQ369" s="12" t="str">
        <f>IFERROR(__xludf.DUMMYFUNCTION("IFERROR(VALUE(REGEXEXTRACT(AO369, ""\d+"")), """")"),"")</f>
        <v/>
      </c>
      <c r="AR369" s="12" t="str">
        <f>IFERROR(__xludf.DUMMYFUNCTION("TEXTJOIN("", "", TRUE, FILTER(Validations!$R$2:$R$100, ISNUMBER(SEARCH(Validations!$R$2:$R$100, AO369))))"),"Touch")</f>
        <v>Touch</v>
      </c>
      <c r="AS369" s="27"/>
      <c r="AT369" s="12" t="str">
        <f>IFERROR(__xludf.DUMMYFUNCTION("IFERROR(TEXTJOIN("", "", TRUE, FILTER(Validations!$I$2:$I$100, ISNUMBER(SEARCH(Validations!$I$2:$I$100, AS369)))), """")"),"")</f>
        <v/>
      </c>
      <c r="AU369" s="16" t="str">
        <f t="array" ref="AU369">IFERROR(INDEX(Validations!$J$2:$J$100, MATCH(TRUE, ISNUMBER(SEARCH(Validations!$I$2:$I$100, AT369)), 0)), "")</f>
        <v/>
      </c>
      <c r="AV369" s="12" t="str">
        <f>IFERROR(__xludf.DUMMYFUNCTION("IFERROR(VALUE(REGEXEXTRACT(AS369, ""\d+"")), """")"),"")</f>
        <v/>
      </c>
      <c r="AW369" s="12" t="str">
        <f>IFERROR(__xludf.DUMMYFUNCTION("IFERROR(TEXTJOIN("", "", TRUE, FILTER(Validations!$Q$2:$Q$100, ISNUMBER(SEARCH(Validations!$Q$2:$Q$100, AS369)))), """")"),"")</f>
        <v/>
      </c>
      <c r="AX369" s="36" t="s">
        <v>142</v>
      </c>
      <c r="AY369" s="28" t="str">
        <f>IFERROR(__xludf.DUMMYFUNCTION("TEXTJOIN("", "", TRUE, FILTER(Validations!$Y$2:$Y$100, ISNUMBER(SEARCH(Validations!$X$2:$X$100, AX369))))"),"V, S")</f>
        <v>V, S</v>
      </c>
      <c r="AZ369" s="27"/>
      <c r="BA369" s="22"/>
      <c r="BB369" s="22"/>
      <c r="BC369" s="22"/>
      <c r="BD369" s="22"/>
      <c r="BE369" s="27"/>
      <c r="BF369" s="22"/>
      <c r="BG369" s="27"/>
      <c r="BH369" s="27"/>
      <c r="BI369" s="12" t="str">
        <f>IFERROR(__xludf.DUMMYFUNCTION("IFERROR(TEXTJOIN("", "", TRUE, FILTER(SRD!$A$2:$A$1000, EXACT(SRD!$A$2:$A$1000, J369))), """")"),"")</f>
        <v/>
      </c>
      <c r="BJ369" s="29"/>
      <c r="BK369" s="29"/>
    </row>
    <row r="370" ht="15.75" customHeight="1">
      <c r="A370" s="38" t="s">
        <v>1768</v>
      </c>
      <c r="B370" s="12"/>
      <c r="C370" s="16"/>
      <c r="D370" s="16" t="s">
        <v>617</v>
      </c>
      <c r="E370" s="16"/>
      <c r="F370" s="32" t="s">
        <v>431</v>
      </c>
      <c r="G370" s="50" t="s">
        <v>1709</v>
      </c>
      <c r="H370" s="31" t="s">
        <v>178</v>
      </c>
      <c r="I370" s="16" t="str">
        <f t="array" ref="I370">INDEX(Validations!$C$2:$C$100, MATCH(TRUE, ISNUMBER(SEARCH(Validations!$B$2:$B$100, H370)), 0))</f>
        <v>A</v>
      </c>
      <c r="J370" s="17" t="s">
        <v>1769</v>
      </c>
      <c r="K370" s="18" t="s">
        <v>1587</v>
      </c>
      <c r="L370" s="52"/>
      <c r="M370" s="52"/>
      <c r="N370" s="27"/>
      <c r="O370" s="17" t="s">
        <v>1770</v>
      </c>
      <c r="P370" s="21"/>
      <c r="Q370" s="21"/>
      <c r="R370" s="36" t="s">
        <v>1771</v>
      </c>
      <c r="S370" s="17" t="str">
        <f>IFERROR(__xludf.DUMMYFUNCTION("IFERROR(REGEXEXTRACT(J370, ""(\d{1,3}[dD]\d{1,3})""), """")"),"3d10")</f>
        <v>3d10</v>
      </c>
      <c r="T370" s="17" t="str">
        <f>IFERROR(__xludf.DUMMYFUNCTION("IF(COUNTIF(ARRAYFORMULA(LOWER(Validations!$O$2:$O$100)), LOWER(REGEXEXTRACT(J370, ""\d{1,3}[dD]\d{1,3}\s+(\w+)"")))&gt;0, REGEXEXTRACT(J370, ""\d{1,3}[dD]\d{1,3}\s+(\w+)""), """")"),"")</f>
        <v/>
      </c>
      <c r="U370" s="17" t="str">
        <f>IFERROR(__xludf.DUMMYFUNCTION("IF(COUNTIF(ARRAYFORMULA(LOWER(Validations!$P$2:$P$100)), LOWER(REGEXEXTRACT(J370, ""\d{1,3}[dD]\d{1,3}\s+(\w+)"")))&gt;0, REGEXEXTRACT(J370, ""\d{1,3}[dD]\d{1,3}\s+(\w+)""), """")"),"")</f>
        <v/>
      </c>
      <c r="V370" s="12" t="str">
        <f>IFERROR(__xludf.DUMMYFUNCTION("TEXTJOIN("", "", TRUE, FILTER(Validations!$L$2:$L$100, ISNUMBER(SEARCH(Validations!$L$2:$L$100, J370))))"),"Charmed, Frightened, Invisible, Paralysed, Unconscious")</f>
        <v>Charmed, Frightened, Invisible, Paralysed, Unconscious</v>
      </c>
      <c r="W370" s="12" t="str">
        <f>IFERROR(__xludf.DUMMYFUNCTION("IFERROR(TEXTJOIN("", "", TRUE, FILTER(Validations!$M$2:$M$100, ISNUMBER(SEARCH(Validations!$M$2:$M$100 &amp; "" saving throw"", J370)))), """")"),"")</f>
        <v/>
      </c>
      <c r="X370" s="12"/>
      <c r="Y370" s="12"/>
      <c r="Z370" s="12" t="str">
        <f>IFERROR(__xludf.DUMMYFUNCTION("IFERROR(TEXTJOIN("", "", TRUE, FILTER(Validations!$N$2:$N$100, ISNUMBER(SEARCH(Validations!$N$2:$N$100 &amp; "" check"", J370)))), """")"),"")</f>
        <v/>
      </c>
      <c r="AA370" s="12" t="str">
        <f>IFERROR(__xludf.DUMMYFUNCTION("IFERROR(TEXTJOIN("", "", TRUE, FILTER(Validations!$N$2:$N$100, ISNUMBER(SEARCH(Validations!$N$2:$N$100 &amp; "" check"", W370)))), """")"),"")</f>
        <v/>
      </c>
      <c r="AB370" s="23" t="str">
        <f>IFERROR(__xludf.DUMMYFUNCTION("IFERROR(CONCATENATE(IF(ISNUMBER(SEARCH(Validations!$M$2:$M$100 &amp; "" spell save"", J370)),""Spell Save"",""""), REGEXEXTRACT(J370, ""DC (\d+)"")), """")"),"")</f>
        <v/>
      </c>
      <c r="AC370" s="24" t="b">
        <v>0</v>
      </c>
      <c r="AD370" s="24" t="b">
        <v>0</v>
      </c>
      <c r="AE370" s="12" t="s">
        <v>69</v>
      </c>
      <c r="AF370" s="25">
        <f>IFERROR(__xludf.DUMMYFUNCTION("IFERROR(VALUE(REGEXEXTRACT(AE370, ""\d+"")), 1)"),1.0)</f>
        <v>1</v>
      </c>
      <c r="AG370" s="12" t="str">
        <f>IFERROR(__xludf.DUMMYFUNCTION("IF(
  ISNUMBER(SEARCH(""Bonus Action"", AE370)),
  ""Bonus Action"",
  IF(
    ISNUMBER(SEARCH(""Reaction"", AE370)),
    ""Reaction"",
    IF(
      ISNUMBER(SEARCH(""Action"", AE370)),
      ""Action"",
      TEXTJOIN("", "", TRUE, FILTER(Validations!$S"&amp;"$2:$S$100, ISNUMBER(SEARCH(Validations!$S$2:$S$100, AE370))))
    )
  )
)"),"Action")</f>
        <v>Action</v>
      </c>
      <c r="AH370" s="12"/>
      <c r="AI370" s="20" t="s">
        <v>134</v>
      </c>
      <c r="AJ370" s="26" t="str">
        <f>IFERROR(__xludf.DUMMYFUNCTION("TEXTJOIN("", "", TRUE, FILTER(Validations!$T$2:$T$100, ISNUMBER(SEARCH(Validations!$T$2:$T$100, AI370))))"),"")</f>
        <v/>
      </c>
      <c r="AK370" s="26">
        <f>IFERROR(__xludf.DUMMYFUNCTION("IFERROR(VALUE(REGEXEXTRACT(AI370, ""\d+"")), """")"),10.0)</f>
        <v>10</v>
      </c>
      <c r="AL370" s="26" t="str">
        <f>IFERROR(__xludf.DUMMYFUNCTION("TEXTJOIN("", "", TRUE, FILTER(Validations!$U$2:$U$100, ISNUMBER(SEARCH(Validations!$U$2:$U$100, AI370))))"),"Minutes")</f>
        <v>Minutes</v>
      </c>
      <c r="AM370" s="24" t="b">
        <f t="shared" si="1"/>
        <v>0</v>
      </c>
      <c r="AN370" s="42" t="b">
        <v>1</v>
      </c>
      <c r="AO370" s="36" t="s">
        <v>1772</v>
      </c>
      <c r="AP370" s="12" t="str">
        <f>IFERROR(__xludf.DUMMYFUNCTION("IF(TEXTJOIN("", "", TRUE, FILTER(Validations!$Q$2:$Q$100, ISNUMBER(SEARCH(Validations!$Q$2:$Q$100, AO370)))) = """", Validations!$Q$2, TEXTJOIN("", "", TRUE, FILTER(Validations!$Q$2:$Q$100, ISNUMBER(SEARCH(Validations!$Q$2:$Q$100, AO370)))))"),"Point")</f>
        <v>Point</v>
      </c>
      <c r="AQ370" s="12" t="str">
        <f>IFERROR(__xludf.DUMMYFUNCTION("IFERROR(VALUE(REGEXEXTRACT(AO370, ""\d+"")), """")"),"")</f>
        <v/>
      </c>
      <c r="AR370" s="12" t="str">
        <f>IFERROR(__xludf.DUMMYFUNCTION("TEXTJOIN("", "", TRUE, FILTER(Validations!$R$2:$R$100, ISNUMBER(SEARCH(Validations!$R$2:$R$100, AO370))))"),"Self, Touch")</f>
        <v>Self, Touch</v>
      </c>
      <c r="AS370" s="27"/>
      <c r="AT370" s="12" t="str">
        <f>IFERROR(__xludf.DUMMYFUNCTION("IFERROR(TEXTJOIN("", "", TRUE, FILTER(Validations!$I$2:$I$100, ISNUMBER(SEARCH(Validations!$I$2:$I$100, AS370)))), """")"),"")</f>
        <v/>
      </c>
      <c r="AU370" s="16" t="str">
        <f t="array" ref="AU370">IFERROR(INDEX(Validations!$J$2:$J$100, MATCH(TRUE, ISNUMBER(SEARCH(Validations!$I$2:$I$100, AT370)), 0)), "")</f>
        <v/>
      </c>
      <c r="AV370" s="12" t="str">
        <f>IFERROR(__xludf.DUMMYFUNCTION("IFERROR(VALUE(REGEXEXTRACT(AS370, ""\d+"")), """")"),"")</f>
        <v/>
      </c>
      <c r="AW370" s="12" t="str">
        <f>IFERROR(__xludf.DUMMYFUNCTION("IFERROR(TEXTJOIN("", "", TRUE, FILTER(Validations!$Q$2:$Q$100, ISNUMBER(SEARCH(Validations!$Q$2:$Q$100, AS370)))), """")"),"")</f>
        <v/>
      </c>
      <c r="AX370" s="36" t="s">
        <v>152</v>
      </c>
      <c r="AY370" s="28" t="str">
        <f>IFERROR(__xludf.DUMMYFUNCTION("TEXTJOIN("", "", TRUE, FILTER(Validations!$Y$2:$Y$100, ISNUMBER(SEARCH(Validations!$X$2:$X$100, AX370))))"),"V, S, R")</f>
        <v>V, S, R</v>
      </c>
      <c r="AZ370" s="26" t="s">
        <v>1773</v>
      </c>
      <c r="BA370" s="12"/>
      <c r="BB370" s="22"/>
      <c r="BC370" s="22"/>
      <c r="BD370" s="22"/>
      <c r="BE370" s="27"/>
      <c r="BF370" s="22"/>
      <c r="BG370" s="27"/>
      <c r="BH370" s="27"/>
      <c r="BI370" s="12" t="str">
        <f>IFERROR(__xludf.DUMMYFUNCTION("IFERROR(TEXTJOIN("", "", TRUE, FILTER(SRD!$A$2:$A$1000, EXACT(SRD!$A$2:$A$1000, J370))), """")"),"")</f>
        <v/>
      </c>
      <c r="BJ370" s="29"/>
      <c r="BK370" s="29"/>
    </row>
    <row r="371" ht="15.75" customHeight="1">
      <c r="A371" s="30" t="s">
        <v>1774</v>
      </c>
      <c r="B371" s="22"/>
      <c r="C371" s="31"/>
      <c r="D371" s="31" t="s">
        <v>74</v>
      </c>
      <c r="E371" s="31"/>
      <c r="F371" s="32" t="s">
        <v>108</v>
      </c>
      <c r="G371" s="50" t="s">
        <v>1709</v>
      </c>
      <c r="H371" s="31" t="s">
        <v>178</v>
      </c>
      <c r="I371" s="16" t="str">
        <f t="array" ref="I371">INDEX(Validations!$C$2:$C$100, MATCH(TRUE, ISNUMBER(SEARCH(Validations!$B$2:$B$100, H371)), 0))</f>
        <v>A</v>
      </c>
      <c r="J371" s="17" t="s">
        <v>1775</v>
      </c>
      <c r="K371" s="18"/>
      <c r="L371" s="17"/>
      <c r="M371" s="17"/>
      <c r="N371" s="20" t="s">
        <v>1776</v>
      </c>
      <c r="O371" s="17"/>
      <c r="P371" s="21"/>
      <c r="Q371" s="21"/>
      <c r="R371" s="22"/>
      <c r="S371" s="17" t="str">
        <f>IFERROR(__xludf.DUMMYFUNCTION("IFERROR(REGEXEXTRACT(J371, ""(\d{1,3}[dD]\d{1,3})""), """")"),"5d8")</f>
        <v>5d8</v>
      </c>
      <c r="T371" s="17" t="str">
        <f>IFERROR(__xludf.DUMMYFUNCTION("IF(COUNTIF(ARRAYFORMULA(LOWER(Validations!$O$2:$O$100)), LOWER(REGEXEXTRACT(J371, ""\d{1,3}[dD]\d{1,3}\s+(\w+)"")))&gt;0, REGEXEXTRACT(J371, ""\d{1,3}[dD]\d{1,3}\s+(\w+)""), """")"),"cognitive")</f>
        <v>cognitive</v>
      </c>
      <c r="U371" s="17" t="str">
        <f>IFERROR(__xludf.DUMMYFUNCTION("IF(COUNTIF(ARRAYFORMULA(LOWER(Validations!$P$2:$P$100)), LOWER(REGEXEXTRACT(J371, ""\d{1,3}[dD]\d{1,3}\s+(\w+)"")))&gt;0, REGEXEXTRACT(J371, ""\d{1,3}[dD]\d{1,3}\s+(\w+)""), """")"),"")</f>
        <v/>
      </c>
      <c r="V371" s="12" t="str">
        <f>IFERROR(__xludf.DUMMYFUNCTION("TEXTJOIN("", "", TRUE, FILTER(Validations!$L$2:$L$100, ISNUMBER(SEARCH(Validations!$L$2:$L$100, J371))))"),"")</f>
        <v/>
      </c>
      <c r="W371" s="12" t="str">
        <f>IFERROR(__xludf.DUMMYFUNCTION("IFERROR(TEXTJOIN("", "", TRUE, FILTER(Validations!$M$2:$M$100, ISNUMBER(SEARCH(Validations!$M$2:$M$100 &amp; "" saving throw"", J371)))), """")"),"Wisdom")</f>
        <v>Wisdom</v>
      </c>
      <c r="X371" s="12"/>
      <c r="Y371" s="12"/>
      <c r="Z371" s="12" t="str">
        <f>IFERROR(__xludf.DUMMYFUNCTION("IFERROR(TEXTJOIN("", "", TRUE, FILTER(Validations!$N$2:$N$100, ISNUMBER(SEARCH(Validations!$N$2:$N$100 &amp; "" check"", J371)))), """")"),"")</f>
        <v/>
      </c>
      <c r="AA371" s="12" t="str">
        <f>IFERROR(__xludf.DUMMYFUNCTION("IFERROR(TEXTJOIN("", "", TRUE, FILTER(Validations!$N$2:$N$100, ISNUMBER(SEARCH(Validations!$N$2:$N$100 &amp; "" check"", W371)))), """")"),"")</f>
        <v/>
      </c>
      <c r="AB371" s="23" t="str">
        <f>IFERROR(__xludf.DUMMYFUNCTION("IFERROR(CONCATENATE(IF(ISNUMBER(SEARCH(Validations!$M$2:$M$100 &amp; "" spell save"", J371)),""Spell Save"",""""), REGEXEXTRACT(J371, ""DC (\d+)"")), """")"),"")</f>
        <v/>
      </c>
      <c r="AC371" s="24" t="b">
        <v>0</v>
      </c>
      <c r="AD371" s="24" t="b">
        <v>0</v>
      </c>
      <c r="AE371" s="36" t="s">
        <v>92</v>
      </c>
      <c r="AF371" s="25">
        <f>IFERROR(__xludf.DUMMYFUNCTION("IFERROR(VALUE(REGEXEXTRACT(AE371, ""\d+"")), 1)"),1.0)</f>
        <v>1</v>
      </c>
      <c r="AG371" s="12" t="str">
        <f>IFERROR(__xludf.DUMMYFUNCTION("IF(
  ISNUMBER(SEARCH(""Bonus Action"", AE371)),
  ""Bonus Action"",
  IF(
    ISNUMBER(SEARCH(""Reaction"", AE371)),
    ""Reaction"",
    IF(
      ISNUMBER(SEARCH(""Action"", AE371)),
      ""Action"",
      TEXTJOIN("", "", TRUE, FILTER(Validations!$S"&amp;"$2:$S$100, ISNUMBER(SEARCH(Validations!$S$2:$S$100, AE371))))
    )
  )
)"),"Minutes")</f>
        <v>Minutes</v>
      </c>
      <c r="AH371" s="22"/>
      <c r="AI371" s="20" t="s">
        <v>347</v>
      </c>
      <c r="AJ371" s="26" t="str">
        <f>IFERROR(__xludf.DUMMYFUNCTION("TEXTJOIN("", "", TRUE, FILTER(Validations!$T$2:$T$100, ISNUMBER(SEARCH(Validations!$T$2:$T$100, AI371))))"),"")</f>
        <v/>
      </c>
      <c r="AK371" s="26">
        <f>IFERROR(__xludf.DUMMYFUNCTION("IFERROR(VALUE(REGEXEXTRACT(AI371, ""\d+"")), """")"),24.0)</f>
        <v>24</v>
      </c>
      <c r="AL371" s="26" t="str">
        <f>IFERROR(__xludf.DUMMYFUNCTION("TEXTJOIN("", "", TRUE, FILTER(Validations!$U$2:$U$100, ISNUMBER(SEARCH(Validations!$U$2:$U$100, AI371))))"),"Hours")</f>
        <v>Hours</v>
      </c>
      <c r="AM371" s="24" t="b">
        <f t="shared" si="1"/>
        <v>0</v>
      </c>
      <c r="AN371" s="24" t="b">
        <v>0</v>
      </c>
      <c r="AO371" s="22" t="s">
        <v>71</v>
      </c>
      <c r="AP371" s="12" t="str">
        <f>IFERROR(__xludf.DUMMYFUNCTION("IF(TEXTJOIN("", "", TRUE, FILTER(Validations!$Q$2:$Q$100, ISNUMBER(SEARCH(Validations!$Q$2:$Q$100, AO371)))) = """", Validations!$Q$2, TEXTJOIN("", "", TRUE, FILTER(Validations!$Q$2:$Q$100, ISNUMBER(SEARCH(Validations!$Q$2:$Q$100, AO371)))))"),"Point")</f>
        <v>Point</v>
      </c>
      <c r="AQ371" s="12" t="str">
        <f>IFERROR(__xludf.DUMMYFUNCTION("IFERROR(VALUE(REGEXEXTRACT(AO371, ""\d+"")), """")"),"")</f>
        <v/>
      </c>
      <c r="AR371" s="12" t="str">
        <f>IFERROR(__xludf.DUMMYFUNCTION("TEXTJOIN("", "", TRUE, FILTER(Validations!$R$2:$R$100, ISNUMBER(SEARCH(Validations!$R$2:$R$100, AO371))))"),"Touch")</f>
        <v>Touch</v>
      </c>
      <c r="AS371" s="27"/>
      <c r="AT371" s="12" t="str">
        <f>IFERROR(__xludf.DUMMYFUNCTION("IFERROR(TEXTJOIN("", "", TRUE, FILTER(Validations!$I$2:$I$100, ISNUMBER(SEARCH(Validations!$I$2:$I$100, AS371)))), """")"),"")</f>
        <v/>
      </c>
      <c r="AU371" s="16" t="str">
        <f t="array" ref="AU371">IFERROR(INDEX(Validations!$J$2:$J$100, MATCH(TRUE, ISNUMBER(SEARCH(Validations!$I$2:$I$100, AT371)), 0)), "")</f>
        <v/>
      </c>
      <c r="AV371" s="12" t="str">
        <f>IFERROR(__xludf.DUMMYFUNCTION("IFERROR(VALUE(REGEXEXTRACT(AS371, ""\d+"")), """")"),"")</f>
        <v/>
      </c>
      <c r="AW371" s="12" t="str">
        <f>IFERROR(__xludf.DUMMYFUNCTION("IFERROR(TEXTJOIN("", "", TRUE, FILTER(Validations!$Q$2:$Q$100, ISNUMBER(SEARCH(Validations!$Q$2:$Q$100, AS371)))), """")"),"")</f>
        <v/>
      </c>
      <c r="AX371" s="28" t="s">
        <v>152</v>
      </c>
      <c r="AY371" s="28" t="str">
        <f>IFERROR(__xludf.DUMMYFUNCTION("TEXTJOIN("", "", TRUE, FILTER(Validations!$Y$2:$Y$100, ISNUMBER(SEARCH(Validations!$X$2:$X$100, AX371))))"),"V, S, R")</f>
        <v>V, S, R</v>
      </c>
      <c r="AZ371" s="20" t="s">
        <v>1777</v>
      </c>
      <c r="BA371" s="22"/>
      <c r="BB371" s="22"/>
      <c r="BC371" s="22"/>
      <c r="BD371" s="22"/>
      <c r="BE371" s="27"/>
      <c r="BF371" s="22"/>
      <c r="BG371" s="27"/>
      <c r="BH371" s="27"/>
      <c r="BI371" s="12" t="str">
        <f>IFERROR(__xludf.DUMMYFUNCTION("IFERROR(TEXTJOIN("", "", TRUE, FILTER(SRD!$A$2:$A$1000, EXACT(SRD!$A$2:$A$1000, J371))), """")"),"")</f>
        <v/>
      </c>
      <c r="BJ371" s="29"/>
      <c r="BK371" s="29"/>
    </row>
    <row r="372" ht="15.75" customHeight="1">
      <c r="A372" s="30" t="s">
        <v>1778</v>
      </c>
      <c r="B372" s="22"/>
      <c r="C372" s="31"/>
      <c r="D372" s="31" t="s">
        <v>74</v>
      </c>
      <c r="E372" s="31"/>
      <c r="F372" s="32" t="s">
        <v>515</v>
      </c>
      <c r="G372" s="50" t="s">
        <v>1709</v>
      </c>
      <c r="H372" s="31" t="s">
        <v>85</v>
      </c>
      <c r="I372" s="16" t="str">
        <f t="array" ref="I372">INDEX(Validations!$C$2:$C$100, MATCH(TRUE, ISNUMBER(SEARCH(Validations!$B$2:$B$100, H372)), 0))</f>
        <v>T</v>
      </c>
      <c r="J372" s="17" t="s">
        <v>1779</v>
      </c>
      <c r="K372" s="18"/>
      <c r="L372" s="17"/>
      <c r="M372" s="17"/>
      <c r="N372" s="27"/>
      <c r="O372" s="17"/>
      <c r="P372" s="21"/>
      <c r="Q372" s="21"/>
      <c r="R372" s="22"/>
      <c r="S372" s="17" t="str">
        <f>IFERROR(__xludf.DUMMYFUNCTION("IFERROR(REGEXEXTRACT(J372, ""(\d{1,3}[dD]\d{1,3})""), """")"),"10d10")</f>
        <v>10d10</v>
      </c>
      <c r="T372" s="17" t="str">
        <f>IFERROR(__xludf.DUMMYFUNCTION("IF(COUNTIF(ARRAYFORMULA(LOWER(Validations!$O$2:$O$100)), LOWER(REGEXEXTRACT(J372, ""\d{1,3}[dD]\d{1,3}\s+(\w+)"")))&gt;0, REGEXEXTRACT(J372, ""\d{1,3}[dD]\d{1,3}\s+(\w+)""), """")"),"impact")</f>
        <v>impact</v>
      </c>
      <c r="U372" s="17" t="str">
        <f>IFERROR(__xludf.DUMMYFUNCTION("IF(COUNTIF(ARRAYFORMULA(LOWER(Validations!$P$2:$P$100)), LOWER(REGEXEXTRACT(J372, ""\d{1,3}[dD]\d{1,3}\s+(\w+)"")))&gt;0, REGEXEXTRACT(J372, ""\d{1,3}[dD]\d{1,3}\s+(\w+)""), """")"),"")</f>
        <v/>
      </c>
      <c r="V372" s="12" t="str">
        <f>IFERROR(__xludf.DUMMYFUNCTION("TEXTJOIN("", "", TRUE, FILTER(Validations!$L$2:$L$100, ISNUMBER(SEARCH(Validations!$L$2:$L$100, J372))))"),"")</f>
        <v/>
      </c>
      <c r="W372" s="12" t="str">
        <f>IFERROR(__xludf.DUMMYFUNCTION("IFERROR(TEXTJOIN("", "", TRUE, FILTER(Validations!$M$2:$M$100, ISNUMBER(SEARCH(Validations!$M$2:$M$100 &amp; "" saving throw"", J372)))), """")"),"Constitution")</f>
        <v>Constitution</v>
      </c>
      <c r="X372" s="12"/>
      <c r="Y372" s="12"/>
      <c r="Z372" s="12" t="str">
        <f>IFERROR(__xludf.DUMMYFUNCTION("IFERROR(TEXTJOIN("", "", TRUE, FILTER(Validations!$N$2:$N$100, ISNUMBER(SEARCH(Validations!$N$2:$N$100 &amp; "" check"", J372)))), """")"),"")</f>
        <v/>
      </c>
      <c r="AA372" s="12" t="str">
        <f>IFERROR(__xludf.DUMMYFUNCTION("IFERROR(TEXTJOIN("", "", TRUE, FILTER(Validations!$N$2:$N$100, ISNUMBER(SEARCH(Validations!$N$2:$N$100 &amp; "" check"", W372)))), """")"),"")</f>
        <v/>
      </c>
      <c r="AB372" s="23" t="str">
        <f>IFERROR(__xludf.DUMMYFUNCTION("IFERROR(CONCATENATE(IF(ISNUMBER(SEARCH(Validations!$M$2:$M$100 &amp; "" spell save"", J372)),""Spell Save"",""""), REGEXEXTRACT(J372, ""DC (\d+)"")), """")"),"")</f>
        <v/>
      </c>
      <c r="AC372" s="24" t="b">
        <v>0</v>
      </c>
      <c r="AD372" s="24" t="b">
        <v>0</v>
      </c>
      <c r="AE372" s="36" t="s">
        <v>69</v>
      </c>
      <c r="AF372" s="25">
        <f>IFERROR(__xludf.DUMMYFUNCTION("IFERROR(VALUE(REGEXEXTRACT(AE372, ""\d+"")), 1)"),1.0)</f>
        <v>1</v>
      </c>
      <c r="AG372" s="12" t="str">
        <f>IFERROR(__xludf.DUMMYFUNCTION("IF(
  ISNUMBER(SEARCH(""Bonus Action"", AE372)),
  ""Bonus Action"",
  IF(
    ISNUMBER(SEARCH(""Reaction"", AE372)),
    ""Reaction"",
    IF(
      ISNUMBER(SEARCH(""Action"", AE372)),
      ""Action"",
      TEXTJOIN("", "", TRUE, FILTER(Validations!$S"&amp;"$2:$S$100, ISNUMBER(SEARCH(Validations!$S$2:$S$100, AE372))))
    )
  )
)"),"Action")</f>
        <v>Action</v>
      </c>
      <c r="AH372" s="36"/>
      <c r="AI372" s="27" t="s">
        <v>70</v>
      </c>
      <c r="AJ372" s="26" t="str">
        <f>IFERROR(__xludf.DUMMYFUNCTION("TEXTJOIN("", "", TRUE, FILTER(Validations!$T$2:$T$100, ISNUMBER(SEARCH(Validations!$T$2:$T$100, AI372))))"),"Instantaneous")</f>
        <v>Instantaneous</v>
      </c>
      <c r="AK372" s="26" t="str">
        <f>IFERROR(__xludf.DUMMYFUNCTION("IFERROR(VALUE(REGEXEXTRACT(AI372, ""\d+"")), """")"),"")</f>
        <v/>
      </c>
      <c r="AL372" s="26" t="str">
        <f>IFERROR(__xludf.DUMMYFUNCTION("TEXTJOIN("", "", TRUE, FILTER(Validations!$U$2:$U$100, ISNUMBER(SEARCH(Validations!$U$2:$U$100, AI372))))"),"")</f>
        <v/>
      </c>
      <c r="AM372" s="24" t="b">
        <f t="shared" si="1"/>
        <v>0</v>
      </c>
      <c r="AN372" s="24" t="b">
        <v>0</v>
      </c>
      <c r="AO372" s="22" t="s">
        <v>112</v>
      </c>
      <c r="AP372" s="12" t="str">
        <f>IFERROR(__xludf.DUMMYFUNCTION("IF(TEXTJOIN("", "", TRUE, FILTER(Validations!$Q$2:$Q$100, ISNUMBER(SEARCH(Validations!$Q$2:$Q$100, AO372)))) = """", Validations!$Q$2, TEXTJOIN("", "", TRUE, FILTER(Validations!$Q$2:$Q$100, ISNUMBER(SEARCH(Validations!$Q$2:$Q$100, AO372)))))"),"Point")</f>
        <v>Point</v>
      </c>
      <c r="AQ372" s="12">
        <f>IFERROR(__xludf.DUMMYFUNCTION("IFERROR(VALUE(REGEXEXTRACT(AO372, ""\d+"")), """")"),30.0)</f>
        <v>30</v>
      </c>
      <c r="AR372" s="12" t="str">
        <f>IFERROR(__xludf.DUMMYFUNCTION("TEXTJOIN("", "", TRUE, FILTER(Validations!$R$2:$R$100, ISNUMBER(SEARCH(Validations!$R$2:$R$100, AO372))))"),"Feet")</f>
        <v>Feet</v>
      </c>
      <c r="AS372" s="27"/>
      <c r="AT372" s="12" t="str">
        <f>IFERROR(__xludf.DUMMYFUNCTION("IFERROR(TEXTJOIN("", "", TRUE, FILTER(Validations!$I$2:$I$100, ISNUMBER(SEARCH(Validations!$I$2:$I$100, AS372)))), """")"),"")</f>
        <v/>
      </c>
      <c r="AU372" s="16" t="str">
        <f t="array" ref="AU372">IFERROR(INDEX(Validations!$J$2:$J$100, MATCH(TRUE, ISNUMBER(SEARCH(Validations!$I$2:$I$100, AT372)), 0)), "")</f>
        <v/>
      </c>
      <c r="AV372" s="12" t="str">
        <f>IFERROR(__xludf.DUMMYFUNCTION("IFERROR(VALUE(REGEXEXTRACT(AS372, ""\d+"")), """")"),"")</f>
        <v/>
      </c>
      <c r="AW372" s="12" t="str">
        <f>IFERROR(__xludf.DUMMYFUNCTION("IFERROR(TEXTJOIN("", "", TRUE, FILTER(Validations!$Q$2:$Q$100, ISNUMBER(SEARCH(Validations!$Q$2:$Q$100, AS372)))), """")"),"")</f>
        <v/>
      </c>
      <c r="AX372" s="28" t="s">
        <v>152</v>
      </c>
      <c r="AY372" s="28" t="str">
        <f>IFERROR(__xludf.DUMMYFUNCTION("TEXTJOIN("", "", TRUE, FILTER(Validations!$Y$2:$Y$100, ISNUMBER(SEARCH(Validations!$X$2:$X$100, AX372))))"),"V, S, R")</f>
        <v>V, S, R</v>
      </c>
      <c r="AZ372" s="20" t="s">
        <v>1780</v>
      </c>
      <c r="BA372" s="22"/>
      <c r="BB372" s="22"/>
      <c r="BC372" s="22"/>
      <c r="BD372" s="22"/>
      <c r="BE372" s="27"/>
      <c r="BF372" s="22"/>
      <c r="BG372" s="27"/>
      <c r="BH372" s="27"/>
      <c r="BI372" s="12" t="str">
        <f>IFERROR(__xludf.DUMMYFUNCTION("IFERROR(TEXTJOIN("", "", TRUE, FILTER(SRD!$A$2:$A$1000, EXACT(SRD!$A$2:$A$1000, J372))), """")"),"")</f>
        <v/>
      </c>
      <c r="BJ372" s="29"/>
      <c r="BK372" s="29"/>
    </row>
    <row r="373" ht="15.75" customHeight="1">
      <c r="A373" s="30" t="s">
        <v>1781</v>
      </c>
      <c r="B373" s="22"/>
      <c r="C373" s="31"/>
      <c r="D373" s="31" t="s">
        <v>74</v>
      </c>
      <c r="E373" s="31"/>
      <c r="F373" s="32" t="s">
        <v>466</v>
      </c>
      <c r="G373" s="50" t="s">
        <v>1709</v>
      </c>
      <c r="H373" s="31" t="s">
        <v>76</v>
      </c>
      <c r="I373" s="16" t="str">
        <f t="array" ref="I373">INDEX(Validations!$C$2:$C$100, MATCH(TRUE, ISNUMBER(SEARCH(Validations!$B$2:$B$100, H373)), 0))</f>
        <v>V</v>
      </c>
      <c r="J373" s="17" t="s">
        <v>1782</v>
      </c>
      <c r="K373" s="18"/>
      <c r="L373" s="17"/>
      <c r="M373" s="17"/>
      <c r="N373" s="27"/>
      <c r="O373" s="17"/>
      <c r="P373" s="21"/>
      <c r="Q373" s="21"/>
      <c r="R373" s="22"/>
      <c r="S373" s="17" t="str">
        <f>IFERROR(__xludf.DUMMYFUNCTION("IFERROR(REGEXEXTRACT(J373, ""(\d{1,3}[dD]\d{1,3})""), """")"),"10d8")</f>
        <v>10d8</v>
      </c>
      <c r="T373" s="17" t="str">
        <f>IFERROR(__xludf.DUMMYFUNCTION("IF(COUNTIF(ARRAYFORMULA(LOWER(Validations!$O$2:$O$100)), LOWER(REGEXEXTRACT(J373, ""\d{1,3}[dD]\d{1,3}\s+(\w+)"")))&gt;0, REGEXEXTRACT(J373, ""\d{1,3}[dD]\d{1,3}\s+(\w+)""), """")"),"impact")</f>
        <v>impact</v>
      </c>
      <c r="U373" s="17" t="str">
        <f>IFERROR(__xludf.DUMMYFUNCTION("IF(COUNTIF(ARRAYFORMULA(LOWER(Validations!$P$2:$P$100)), LOWER(REGEXEXTRACT(J373, ""\d{1,3}[dD]\d{1,3}\s+(\w+)"")))&gt;0, REGEXEXTRACT(J373, ""\d{1,3}[dD]\d{1,3}\s+(\w+)""), """")"),"")</f>
        <v/>
      </c>
      <c r="V373" s="12" t="str">
        <f>IFERROR(__xludf.DUMMYFUNCTION("TEXTJOIN("", "", TRUE, FILTER(Validations!$L$2:$L$100, ISNUMBER(SEARCH(Validations!$L$2:$L$100, J373))))"),"Unstable, Exhaustion")</f>
        <v>Unstable, Exhaustion</v>
      </c>
      <c r="W373" s="12" t="str">
        <f>IFERROR(__xludf.DUMMYFUNCTION("IFERROR(TEXTJOIN("", "", TRUE, FILTER(Validations!$M$2:$M$100, ISNUMBER(SEARCH(Validations!$M$2:$M$100 &amp; "" saving throw"", J373)))), """")"),"Dexterity")</f>
        <v>Dexterity</v>
      </c>
      <c r="X373" s="12"/>
      <c r="Y373" s="12"/>
      <c r="Z373" s="12" t="str">
        <f>IFERROR(__xludf.DUMMYFUNCTION("IFERROR(TEXTJOIN("", "", TRUE, FILTER(Validations!$N$2:$N$100, ISNUMBER(SEARCH(Validations!$N$2:$N$100 &amp; "" check"", J373)))), """")"),"")</f>
        <v/>
      </c>
      <c r="AA373" s="12" t="str">
        <f>IFERROR(__xludf.DUMMYFUNCTION("IFERROR(TEXTJOIN("", "", TRUE, FILTER(Validations!$N$2:$N$100, ISNUMBER(SEARCH(Validations!$N$2:$N$100 &amp; "" check"", W373)))), """")"),"")</f>
        <v/>
      </c>
      <c r="AB373" s="23" t="str">
        <f>IFERROR(__xludf.DUMMYFUNCTION("IFERROR(CONCATENATE(IF(ISNUMBER(SEARCH(Validations!$M$2:$M$100 &amp; "" spell save"", J373)),""Spell Save"",""""), REGEXEXTRACT(J373, ""DC (\d+)"")), """")"),"")</f>
        <v/>
      </c>
      <c r="AC373" s="24" t="b">
        <v>0</v>
      </c>
      <c r="AD373" s="24" t="b">
        <v>0</v>
      </c>
      <c r="AE373" s="36" t="s">
        <v>69</v>
      </c>
      <c r="AF373" s="25">
        <f>IFERROR(__xludf.DUMMYFUNCTION("IFERROR(VALUE(REGEXEXTRACT(AE373, ""\d+"")), 1)"),1.0)</f>
        <v>1</v>
      </c>
      <c r="AG373" s="12" t="str">
        <f>IFERROR(__xludf.DUMMYFUNCTION("IF(
  ISNUMBER(SEARCH(""Bonus Action"", AE373)),
  ""Bonus Action"",
  IF(
    ISNUMBER(SEARCH(""Reaction"", AE373)),
    ""Reaction"",
    IF(
      ISNUMBER(SEARCH(""Action"", AE373)),
      ""Action"",
      TEXTJOIN("", "", TRUE, FILTER(Validations!$S"&amp;"$2:$S$100, ISNUMBER(SEARCH(Validations!$S$2:$S$100, AE373))))
    )
  )
)"),"Action")</f>
        <v>Action</v>
      </c>
      <c r="AH373" s="36"/>
      <c r="AI373" s="27" t="s">
        <v>70</v>
      </c>
      <c r="AJ373" s="26" t="str">
        <f>IFERROR(__xludf.DUMMYFUNCTION("TEXTJOIN("", "", TRUE, FILTER(Validations!$T$2:$T$100, ISNUMBER(SEARCH(Validations!$T$2:$T$100, AI373))))"),"Instantaneous")</f>
        <v>Instantaneous</v>
      </c>
      <c r="AK373" s="26" t="str">
        <f>IFERROR(__xludf.DUMMYFUNCTION("IFERROR(VALUE(REGEXEXTRACT(AI373, ""\d+"")), """")"),"")</f>
        <v/>
      </c>
      <c r="AL373" s="26" t="str">
        <f>IFERROR(__xludf.DUMMYFUNCTION("TEXTJOIN("", "", TRUE, FILTER(Validations!$U$2:$U$100, ISNUMBER(SEARCH(Validations!$U$2:$U$100, AI373))))"),"")</f>
        <v/>
      </c>
      <c r="AM373" s="24" t="b">
        <f t="shared" si="1"/>
        <v>0</v>
      </c>
      <c r="AN373" s="24" t="b">
        <v>0</v>
      </c>
      <c r="AO373" s="36" t="s">
        <v>1783</v>
      </c>
      <c r="AP373" s="12" t="str">
        <f>IFERROR(__xludf.DUMMYFUNCTION("IF(TEXTJOIN("", "", TRUE, FILTER(Validations!$Q$2:$Q$100, ISNUMBER(SEARCH(Validations!$Q$2:$Q$100, AO373)))) = """", Validations!$Q$2, TEXTJOIN("", "", TRUE, FILTER(Validations!$Q$2:$Q$100, ISNUMBER(SEARCH(Validations!$Q$2:$Q$100, AO373)))))"),"Radius")</f>
        <v>Radius</v>
      </c>
      <c r="AQ373" s="12">
        <f>IFERROR(__xludf.DUMMYFUNCTION("IFERROR(VALUE(REGEXEXTRACT(AO373, ""\d+"")), """")"),90.0)</f>
        <v>90</v>
      </c>
      <c r="AR373" s="12" t="str">
        <f>IFERROR(__xludf.DUMMYFUNCTION("TEXTJOIN("", "", TRUE, FILTER(Validations!$R$2:$R$100, ISNUMBER(SEARCH(Validations!$R$2:$R$100, AO373))))"),"Feet")</f>
        <v>Feet</v>
      </c>
      <c r="AS373" s="27"/>
      <c r="AT373" s="12" t="str">
        <f>IFERROR(__xludf.DUMMYFUNCTION("IFERROR(TEXTJOIN("", "", TRUE, FILTER(Validations!$I$2:$I$100, ISNUMBER(SEARCH(Validations!$I$2:$I$100, AS373)))), """")"),"")</f>
        <v/>
      </c>
      <c r="AU373" s="16" t="str">
        <f t="array" ref="AU373">IFERROR(INDEX(Validations!$J$2:$J$100, MATCH(TRUE, ISNUMBER(SEARCH(Validations!$I$2:$I$100, AT373)), 0)), "")</f>
        <v/>
      </c>
      <c r="AV373" s="12" t="str">
        <f>IFERROR(__xludf.DUMMYFUNCTION("IFERROR(VALUE(REGEXEXTRACT(AS373, ""\d+"")), """")"),"")</f>
        <v/>
      </c>
      <c r="AW373" s="12" t="str">
        <f>IFERROR(__xludf.DUMMYFUNCTION("IFERROR(TEXTJOIN("", "", TRUE, FILTER(Validations!$Q$2:$Q$100, ISNUMBER(SEARCH(Validations!$Q$2:$Q$100, AS373)))), """")"),"")</f>
        <v/>
      </c>
      <c r="AX373" s="28" t="s">
        <v>152</v>
      </c>
      <c r="AY373" s="28" t="str">
        <f>IFERROR(__xludf.DUMMYFUNCTION("TEXTJOIN("", "", TRUE, FILTER(Validations!$Y$2:$Y$100, ISNUMBER(SEARCH(Validations!$X$2:$X$100, AX373))))"),"V, S, R")</f>
        <v>V, S, R</v>
      </c>
      <c r="AZ373" s="20" t="s">
        <v>1784</v>
      </c>
      <c r="BA373" s="22"/>
      <c r="BB373" s="22"/>
      <c r="BC373" s="22"/>
      <c r="BD373" s="22"/>
      <c r="BE373" s="27"/>
      <c r="BF373" s="22"/>
      <c r="BG373" s="27"/>
      <c r="BH373" s="27"/>
      <c r="BI373" s="12" t="str">
        <f>IFERROR(__xludf.DUMMYFUNCTION("IFERROR(TEXTJOIN("", "", TRUE, FILTER(SRD!$A$2:$A$1000, EXACT(SRD!$A$2:$A$1000, J373))), """")"),"")</f>
        <v/>
      </c>
      <c r="BJ373" s="29"/>
      <c r="BK373" s="29"/>
    </row>
    <row r="374">
      <c r="A374" s="30" t="s">
        <v>1785</v>
      </c>
      <c r="B374" s="22"/>
      <c r="C374" s="31"/>
      <c r="D374" s="31" t="s">
        <v>74</v>
      </c>
      <c r="E374" s="31"/>
      <c r="F374" s="32" t="s">
        <v>649</v>
      </c>
      <c r="G374" s="50" t="s">
        <v>1709</v>
      </c>
      <c r="H374" s="16" t="s">
        <v>85</v>
      </c>
      <c r="I374" s="16" t="str">
        <f t="array" ref="I374">INDEX(Validations!$C$2:$C$100, MATCH(TRUE, ISNUMBER(SEARCH(Validations!$B$2:$B$100, H374)), 0))</f>
        <v>T</v>
      </c>
      <c r="J374" s="17" t="s">
        <v>1786</v>
      </c>
      <c r="K374" s="18"/>
      <c r="L374" s="17"/>
      <c r="M374" s="17"/>
      <c r="N374" s="27"/>
      <c r="O374" s="17"/>
      <c r="P374" s="21"/>
      <c r="Q374" s="21"/>
      <c r="R374" s="22"/>
      <c r="S374" s="17" t="str">
        <f>IFERROR(__xludf.DUMMYFUNCTION("IFERROR(REGEXEXTRACT(J374, ""(\d{1,3}[dD]\d{1,3})""), """")"),"")</f>
        <v/>
      </c>
      <c r="T374" s="17" t="str">
        <f>IFERROR(__xludf.DUMMYFUNCTION("IF(COUNTIF(ARRAYFORMULA(LOWER(Validations!$O$2:$O$100)), LOWER(REGEXEXTRACT(J374, ""\d{1,3}[dD]\d{1,3}\s+(\w+)"")))&gt;0, REGEXEXTRACT(J374, ""\d{1,3}[dD]\d{1,3}\s+(\w+)""), """")"),"")</f>
        <v/>
      </c>
      <c r="U374" s="17" t="str">
        <f>IFERROR(__xludf.DUMMYFUNCTION("IF(COUNTIF(ARRAYFORMULA(LOWER(Validations!$P$2:$P$100)), LOWER(REGEXEXTRACT(J374, ""\d{1,3}[dD]\d{1,3}\s+(\w+)"")))&gt;0, REGEXEXTRACT(J374, ""\d{1,3}[dD]\d{1,3}\s+(\w+)""), """")"),"")</f>
        <v/>
      </c>
      <c r="V374" s="12" t="str">
        <f>IFERROR(__xludf.DUMMYFUNCTION("TEXTJOIN("", "", TRUE, FILTER(Validations!$L$2:$L$100, ISNUMBER(SEARCH(Validations!$L$2:$L$100, J374))))"),"")</f>
        <v/>
      </c>
      <c r="W374" s="12" t="str">
        <f>IFERROR(__xludf.DUMMYFUNCTION("IFERROR(TEXTJOIN("", "", TRUE, FILTER(Validations!$M$2:$M$100, ISNUMBER(SEARCH(Validations!$M$2:$M$100 &amp; "" saving throw"", J374)))), """")"),"")</f>
        <v/>
      </c>
      <c r="X374" s="12"/>
      <c r="Y374" s="12"/>
      <c r="Z374" s="12" t="str">
        <f>IFERROR(__xludf.DUMMYFUNCTION("IFERROR(TEXTJOIN("", "", TRUE, FILTER(Validations!$N$2:$N$100, ISNUMBER(SEARCH(Validations!$N$2:$N$100 &amp; "" check"", J374)))), """")"),"")</f>
        <v/>
      </c>
      <c r="AA374" s="12" t="str">
        <f>IFERROR(__xludf.DUMMYFUNCTION("IFERROR(TEXTJOIN("", "", TRUE, FILTER(Validations!$N$2:$N$100, ISNUMBER(SEARCH(Validations!$N$2:$N$100 &amp; "" check"", W374)))), """")"),"")</f>
        <v/>
      </c>
      <c r="AB374" s="23" t="str">
        <f>IFERROR(__xludf.DUMMYFUNCTION("IFERROR(CONCATENATE(IF(ISNUMBER(SEARCH(Validations!$M$2:$M$100 &amp; "" spell save"", J374)),""Spell Save"",""""), REGEXEXTRACT(J374, ""DC (\d+)"")), """")"),"")</f>
        <v/>
      </c>
      <c r="AC374" s="24" t="b">
        <v>0</v>
      </c>
      <c r="AD374" s="24" t="b">
        <v>0</v>
      </c>
      <c r="AE374" s="36" t="s">
        <v>69</v>
      </c>
      <c r="AF374" s="25">
        <f>IFERROR(__xludf.DUMMYFUNCTION("IFERROR(VALUE(REGEXEXTRACT(AE374, ""\d+"")), 1)"),1.0)</f>
        <v>1</v>
      </c>
      <c r="AG374" s="12" t="str">
        <f>IFERROR(__xludf.DUMMYFUNCTION("IF(
  ISNUMBER(SEARCH(""Bonus Action"", AE374)),
  ""Bonus Action"",
  IF(
    ISNUMBER(SEARCH(""Reaction"", AE374)),
    ""Reaction"",
    IF(
      ISNUMBER(SEARCH(""Action"", AE374)),
      ""Action"",
      TEXTJOIN("", "", TRUE, FILTER(Validations!$S"&amp;"$2:$S$100, ISNUMBER(SEARCH(Validations!$S$2:$S$100, AE374))))
    )
  )
)"),"Action")</f>
        <v>Action</v>
      </c>
      <c r="AH374" s="36"/>
      <c r="AI374" s="27" t="s">
        <v>1019</v>
      </c>
      <c r="AJ374" s="26" t="str">
        <f>IFERROR(__xludf.DUMMYFUNCTION("TEXTJOIN("", "", TRUE, FILTER(Validations!$T$2:$T$100, ISNUMBER(SEARCH(Validations!$T$2:$T$100, AI374))))"),"")</f>
        <v/>
      </c>
      <c r="AK374" s="26" t="str">
        <f>IFERROR(__xludf.DUMMYFUNCTION("IFERROR(VALUE(REGEXEXTRACT(AI374, ""\d+"")), """")"),"")</f>
        <v/>
      </c>
      <c r="AL374" s="26" t="str">
        <f>IFERROR(__xludf.DUMMYFUNCTION("TEXTJOIN("", "", TRUE, FILTER(Validations!$U$2:$U$100, ISNUMBER(SEARCH(Validations!$U$2:$U$100, AI374))))"),"")</f>
        <v/>
      </c>
      <c r="AM374" s="24" t="b">
        <f t="shared" si="1"/>
        <v>0</v>
      </c>
      <c r="AN374" s="24" t="b">
        <v>0</v>
      </c>
      <c r="AO374" s="22" t="s">
        <v>71</v>
      </c>
      <c r="AP374" s="12" t="str">
        <f>IFERROR(__xludf.DUMMYFUNCTION("IF(TEXTJOIN("", "", TRUE, FILTER(Validations!$Q$2:$Q$100, ISNUMBER(SEARCH(Validations!$Q$2:$Q$100, AO374)))) = """", Validations!$Q$2, TEXTJOIN("", "", TRUE, FILTER(Validations!$Q$2:$Q$100, ISNUMBER(SEARCH(Validations!$Q$2:$Q$100, AO374)))))"),"Point")</f>
        <v>Point</v>
      </c>
      <c r="AQ374" s="12" t="str">
        <f>IFERROR(__xludf.DUMMYFUNCTION("IFERROR(VALUE(REGEXEXTRACT(AO374, ""\d+"")), """")"),"")</f>
        <v/>
      </c>
      <c r="AR374" s="12" t="str">
        <f>IFERROR(__xludf.DUMMYFUNCTION("TEXTJOIN("", "", TRUE, FILTER(Validations!$R$2:$R$100, ISNUMBER(SEARCH(Validations!$R$2:$R$100, AO374))))"),"Touch")</f>
        <v>Touch</v>
      </c>
      <c r="AS374" s="27"/>
      <c r="AT374" s="12" t="str">
        <f>IFERROR(__xludf.DUMMYFUNCTION("IFERROR(TEXTJOIN("", "", TRUE, FILTER(Validations!$I$2:$I$100, ISNUMBER(SEARCH(Validations!$I$2:$I$100, AS374)))), """")"),"")</f>
        <v/>
      </c>
      <c r="AU374" s="16" t="str">
        <f t="array" ref="AU374">IFERROR(INDEX(Validations!$J$2:$J$100, MATCH(TRUE, ISNUMBER(SEARCH(Validations!$I$2:$I$100, AT374)), 0)), "")</f>
        <v/>
      </c>
      <c r="AV374" s="12" t="str">
        <f>IFERROR(__xludf.DUMMYFUNCTION("IFERROR(VALUE(REGEXEXTRACT(AS374, ""\d+"")), """")"),"")</f>
        <v/>
      </c>
      <c r="AW374" s="12" t="str">
        <f>IFERROR(__xludf.DUMMYFUNCTION("IFERROR(TEXTJOIN("", "", TRUE, FILTER(Validations!$Q$2:$Q$100, ISNUMBER(SEARCH(Validations!$Q$2:$Q$100, AS374)))), """")"),"")</f>
        <v/>
      </c>
      <c r="AX374" s="28" t="s">
        <v>152</v>
      </c>
      <c r="AY374" s="28" t="str">
        <f>IFERROR(__xludf.DUMMYFUNCTION("TEXTJOIN("", "", TRUE, FILTER(Validations!$Y$2:$Y$100, ISNUMBER(SEARCH(Validations!$X$2:$X$100, AX374))))"),"V, S, R")</f>
        <v>V, S, R</v>
      </c>
      <c r="AZ374" s="20" t="s">
        <v>1787</v>
      </c>
      <c r="BA374" s="22"/>
      <c r="BB374" s="22"/>
      <c r="BC374" s="22"/>
      <c r="BD374" s="36" t="s">
        <v>1788</v>
      </c>
      <c r="BE374" s="27"/>
      <c r="BF374" s="22"/>
      <c r="BG374" s="27"/>
      <c r="BH374" s="27"/>
      <c r="BI374" s="12" t="str">
        <f>IFERROR(__xludf.DUMMYFUNCTION("IFERROR(TEXTJOIN("", "", TRUE, FILTER(SRD!$A$2:$A$1000, EXACT(SRD!$A$2:$A$1000, J374))), """")"),"")</f>
        <v/>
      </c>
      <c r="BJ374" s="29"/>
      <c r="BK374" s="29"/>
    </row>
    <row r="375" ht="15.75" customHeight="1">
      <c r="A375" s="30" t="s">
        <v>1789</v>
      </c>
      <c r="B375" s="22"/>
      <c r="C375" s="31"/>
      <c r="D375" s="31" t="s">
        <v>74</v>
      </c>
      <c r="E375" s="31"/>
      <c r="F375" s="32" t="s">
        <v>108</v>
      </c>
      <c r="G375" s="50" t="s">
        <v>1709</v>
      </c>
      <c r="H375" s="16" t="s">
        <v>76</v>
      </c>
      <c r="I375" s="16" t="str">
        <f t="array" ref="I375">INDEX(Validations!$C$2:$C$100, MATCH(TRUE, ISNUMBER(SEARCH(Validations!$B$2:$B$100, H375)), 0))</f>
        <v>V</v>
      </c>
      <c r="J375" s="17" t="s">
        <v>1790</v>
      </c>
      <c r="K375" s="18"/>
      <c r="L375" s="17"/>
      <c r="M375" s="17"/>
      <c r="N375" s="20" t="s">
        <v>1791</v>
      </c>
      <c r="O375" s="17"/>
      <c r="P375" s="21"/>
      <c r="Q375" s="21"/>
      <c r="R375" s="22"/>
      <c r="S375" s="17" t="str">
        <f>IFERROR(__xludf.DUMMYFUNCTION("IFERROR(REGEXEXTRACT(J375, ""(\d{1,3}[dD]\d{1,3})""), """")"),"")</f>
        <v/>
      </c>
      <c r="T375" s="17" t="str">
        <f>IFERROR(__xludf.DUMMYFUNCTION("IF(COUNTIF(ARRAYFORMULA(LOWER(Validations!$O$2:$O$100)), LOWER(REGEXEXTRACT(J375, ""\d{1,3}[dD]\d{1,3}\s+(\w+)"")))&gt;0, REGEXEXTRACT(J375, ""\d{1,3}[dD]\d{1,3}\s+(\w+)""), """")"),"")</f>
        <v/>
      </c>
      <c r="U375" s="17" t="str">
        <f>IFERROR(__xludf.DUMMYFUNCTION("IF(COUNTIF(ARRAYFORMULA(LOWER(Validations!$P$2:$P$100)), LOWER(REGEXEXTRACT(J375, ""\d{1,3}[dD]\d{1,3}\s+(\w+)"")))&gt;0, REGEXEXTRACT(J375, ""\d{1,3}[dD]\d{1,3}\s+(\w+)""), """")"),"")</f>
        <v/>
      </c>
      <c r="V375" s="12" t="str">
        <f>IFERROR(__xludf.DUMMYFUNCTION("TEXTJOIN("", "", TRUE, FILTER(Validations!$L$2:$L$100, ISNUMBER(SEARCH(Validations!$L$2:$L$100, J375))))"),"Unstable")</f>
        <v>Unstable</v>
      </c>
      <c r="W375" s="12" t="str">
        <f>IFERROR(__xludf.DUMMYFUNCTION("IFERROR(TEXTJOIN("", "", TRUE, FILTER(Validations!$M$2:$M$100, ISNUMBER(SEARCH(Validations!$M$2:$M$100 &amp; "" saving throw"", J375)))), """")"),"Charisma")</f>
        <v>Charisma</v>
      </c>
      <c r="X375" s="12"/>
      <c r="Y375" s="12"/>
      <c r="Z375" s="12" t="str">
        <f>IFERROR(__xludf.DUMMYFUNCTION("IFERROR(TEXTJOIN("", "", TRUE, FILTER(Validations!$N$2:$N$100, ISNUMBER(SEARCH(Validations!$N$2:$N$100 &amp; "" check"", J375)))), """")"),"")</f>
        <v/>
      </c>
      <c r="AA375" s="12" t="str">
        <f>IFERROR(__xludf.DUMMYFUNCTION("IFERROR(TEXTJOIN("", "", TRUE, FILTER(Validations!$N$2:$N$100, ISNUMBER(SEARCH(Validations!$N$2:$N$100 &amp; "" check"", W375)))), """")"),"")</f>
        <v/>
      </c>
      <c r="AB375" s="23" t="str">
        <f>IFERROR(__xludf.DUMMYFUNCTION("IFERROR(CONCATENATE(IF(ISNUMBER(SEARCH(Validations!$M$2:$M$100 &amp; "" spell save"", J375)),""Spell Save"",""""), REGEXEXTRACT(J375, ""DC (\d+)"")), """")"),"")</f>
        <v/>
      </c>
      <c r="AC375" s="24" t="b">
        <v>0</v>
      </c>
      <c r="AD375" s="24" t="b">
        <v>0</v>
      </c>
      <c r="AE375" s="36" t="s">
        <v>69</v>
      </c>
      <c r="AF375" s="25">
        <f>IFERROR(__xludf.DUMMYFUNCTION("IFERROR(VALUE(REGEXEXTRACT(AE375, ""\d+"")), 1)"),1.0)</f>
        <v>1</v>
      </c>
      <c r="AG375" s="12" t="str">
        <f>IFERROR(__xludf.DUMMYFUNCTION("IF(
  ISNUMBER(SEARCH(""Bonus Action"", AE375)),
  ""Bonus Action"",
  IF(
    ISNUMBER(SEARCH(""Reaction"", AE375)),
    ""Reaction"",
    IF(
      ISNUMBER(SEARCH(""Action"", AE375)),
      ""Action"",
      TEXTJOIN("", "", TRUE, FILTER(Validations!$S"&amp;"$2:$S$100, ISNUMBER(SEARCH(Validations!$S$2:$S$100, AE375))))
    )
  )
)"),"Action")</f>
        <v>Action</v>
      </c>
      <c r="AH375" s="36"/>
      <c r="AI375" s="27" t="s">
        <v>70</v>
      </c>
      <c r="AJ375" s="26" t="str">
        <f>IFERROR(__xludf.DUMMYFUNCTION("TEXTJOIN("", "", TRUE, FILTER(Validations!$T$2:$T$100, ISNUMBER(SEARCH(Validations!$T$2:$T$100, AI375))))"),"Instantaneous")</f>
        <v>Instantaneous</v>
      </c>
      <c r="AK375" s="26" t="str">
        <f>IFERROR(__xludf.DUMMYFUNCTION("IFERROR(VALUE(REGEXEXTRACT(AI375, ""\d+"")), """")"),"")</f>
        <v/>
      </c>
      <c r="AL375" s="26" t="str">
        <f>IFERROR(__xludf.DUMMYFUNCTION("TEXTJOIN("", "", TRUE, FILTER(Validations!$U$2:$U$100, ISNUMBER(SEARCH(Validations!$U$2:$U$100, AI375))))"),"")</f>
        <v/>
      </c>
      <c r="AM375" s="24" t="b">
        <f t="shared" si="1"/>
        <v>0</v>
      </c>
      <c r="AN375" s="24" t="b">
        <v>0</v>
      </c>
      <c r="AO375" s="22" t="s">
        <v>112</v>
      </c>
      <c r="AP375" s="12" t="str">
        <f>IFERROR(__xludf.DUMMYFUNCTION("IF(TEXTJOIN("", "", TRUE, FILTER(Validations!$Q$2:$Q$100, ISNUMBER(SEARCH(Validations!$Q$2:$Q$100, AO375)))) = """", Validations!$Q$2, TEXTJOIN("", "", TRUE, FILTER(Validations!$Q$2:$Q$100, ISNUMBER(SEARCH(Validations!$Q$2:$Q$100, AO375)))))"),"Point")</f>
        <v>Point</v>
      </c>
      <c r="AQ375" s="12">
        <f>IFERROR(__xludf.DUMMYFUNCTION("IFERROR(VALUE(REGEXEXTRACT(AO375, ""\d+"")), """")"),30.0)</f>
        <v>30</v>
      </c>
      <c r="AR375" s="12" t="str">
        <f>IFERROR(__xludf.DUMMYFUNCTION("TEXTJOIN("", "", TRUE, FILTER(Validations!$R$2:$R$100, ISNUMBER(SEARCH(Validations!$R$2:$R$100, AO375))))"),"Feet")</f>
        <v>Feet</v>
      </c>
      <c r="AS375" s="27"/>
      <c r="AT375" s="12" t="str">
        <f>IFERROR(__xludf.DUMMYFUNCTION("IFERROR(TEXTJOIN("", "", TRUE, FILTER(Validations!$I$2:$I$100, ISNUMBER(SEARCH(Validations!$I$2:$I$100, AS375)))), """")"),"")</f>
        <v/>
      </c>
      <c r="AU375" s="16" t="str">
        <f t="array" ref="AU375">IFERROR(INDEX(Validations!$J$2:$J$100, MATCH(TRUE, ISNUMBER(SEARCH(Validations!$I$2:$I$100, AT375)), 0)), "")</f>
        <v/>
      </c>
      <c r="AV375" s="12" t="str">
        <f>IFERROR(__xludf.DUMMYFUNCTION("IFERROR(VALUE(REGEXEXTRACT(AS375, ""\d+"")), """")"),"")</f>
        <v/>
      </c>
      <c r="AW375" s="12" t="str">
        <f>IFERROR(__xludf.DUMMYFUNCTION("IFERROR(TEXTJOIN("", "", TRUE, FILTER(Validations!$Q$2:$Q$100, ISNUMBER(SEARCH(Validations!$Q$2:$Q$100, AS375)))), """")"),"")</f>
        <v/>
      </c>
      <c r="AX375" s="28" t="s">
        <v>152</v>
      </c>
      <c r="AY375" s="28" t="str">
        <f>IFERROR(__xludf.DUMMYFUNCTION("TEXTJOIN("", "", TRUE, FILTER(Validations!$Y$2:$Y$100, ISNUMBER(SEARCH(Validations!$X$2:$X$100, AX375))))"),"V, S, R")</f>
        <v>V, S, R</v>
      </c>
      <c r="AZ375" s="20" t="s">
        <v>1792</v>
      </c>
      <c r="BA375" s="22"/>
      <c r="BB375" s="22"/>
      <c r="BC375" s="22"/>
      <c r="BD375" s="22"/>
      <c r="BE375" s="27"/>
      <c r="BF375" s="22"/>
      <c r="BG375" s="27"/>
      <c r="BH375" s="27"/>
      <c r="BI375" s="12" t="str">
        <f>IFERROR(__xludf.DUMMYFUNCTION("IFERROR(TEXTJOIN("", "", TRUE, FILTER(SRD!$A$2:$A$1000, EXACT(SRD!$A$2:$A$1000, J375))), """")"),"")</f>
        <v/>
      </c>
      <c r="BJ375" s="29"/>
      <c r="BK375" s="29"/>
    </row>
    <row r="376" ht="15.75" customHeight="1">
      <c r="A376" s="30" t="s">
        <v>1793</v>
      </c>
      <c r="B376" s="22"/>
      <c r="C376" s="31"/>
      <c r="D376" s="31" t="s">
        <v>74</v>
      </c>
      <c r="E376" s="31"/>
      <c r="F376" s="40" t="s">
        <v>139</v>
      </c>
      <c r="G376" s="50" t="s">
        <v>1709</v>
      </c>
      <c r="H376" s="16" t="s">
        <v>85</v>
      </c>
      <c r="I376" s="16" t="str">
        <f t="array" ref="I376">INDEX(Validations!$C$2:$C$100, MATCH(TRUE, ISNUMBER(SEARCH(Validations!$B$2:$B$100, H376)), 0))</f>
        <v>T</v>
      </c>
      <c r="J376" s="17" t="s">
        <v>1794</v>
      </c>
      <c r="K376" s="18"/>
      <c r="L376" s="17"/>
      <c r="M376" s="17"/>
      <c r="N376" s="27"/>
      <c r="O376" s="17"/>
      <c r="P376" s="21"/>
      <c r="Q376" s="21"/>
      <c r="R376" s="22"/>
      <c r="S376" s="17" t="str">
        <f>IFERROR(__xludf.DUMMYFUNCTION("IFERROR(REGEXEXTRACT(J376, ""(\d{1,3}[dD]\d{1,3})""), """")"),"")</f>
        <v/>
      </c>
      <c r="T376" s="17" t="str">
        <f>IFERROR(__xludf.DUMMYFUNCTION("IF(COUNTIF(ARRAYFORMULA(LOWER(Validations!$O$2:$O$100)), LOWER(REGEXEXTRACT(J376, ""\d{1,3}[dD]\d{1,3}\s+(\w+)"")))&gt;0, REGEXEXTRACT(J376, ""\d{1,3}[dD]\d{1,3}\s+(\w+)""), """")"),"")</f>
        <v/>
      </c>
      <c r="U376" s="17" t="str">
        <f>IFERROR(__xludf.DUMMYFUNCTION("IF(COUNTIF(ARRAYFORMULA(LOWER(Validations!$P$2:$P$100)), LOWER(REGEXEXTRACT(J376, ""\d{1,3}[dD]\d{1,3}\s+(\w+)"")))&gt;0, REGEXEXTRACT(J376, ""\d{1,3}[dD]\d{1,3}\s+(\w+)""), """")"),"")</f>
        <v/>
      </c>
      <c r="V376" s="12" t="str">
        <f>IFERROR(__xludf.DUMMYFUNCTION("TEXTJOIN("", "", TRUE, FILTER(Validations!$L$2:$L$100, ISNUMBER(SEARCH(Validations!$L$2:$L$100, J376))))"),"")</f>
        <v/>
      </c>
      <c r="W376" s="12" t="str">
        <f>IFERROR(__xludf.DUMMYFUNCTION("IFERROR(TEXTJOIN("", "", TRUE, FILTER(Validations!$M$2:$M$100, ISNUMBER(SEARCH(Validations!$M$2:$M$100 &amp; "" saving throw"", J376)))), """")"),"")</f>
        <v/>
      </c>
      <c r="X376" s="12"/>
      <c r="Y376" s="12"/>
      <c r="Z376" s="12" t="str">
        <f>IFERROR(__xludf.DUMMYFUNCTION("IFERROR(TEXTJOIN("", "", TRUE, FILTER(Validations!$N$2:$N$100, ISNUMBER(SEARCH(Validations!$N$2:$N$100 &amp; "" check"", J376)))), """")"),"")</f>
        <v/>
      </c>
      <c r="AA376" s="12" t="str">
        <f>IFERROR(__xludf.DUMMYFUNCTION("IFERROR(TEXTJOIN("", "", TRUE, FILTER(Validations!$N$2:$N$100, ISNUMBER(SEARCH(Validations!$N$2:$N$100 &amp; "" check"", W376)))), """")"),"")</f>
        <v/>
      </c>
      <c r="AB376" s="23" t="str">
        <f>IFERROR(__xludf.DUMMYFUNCTION("IFERROR(CONCATENATE(IF(ISNUMBER(SEARCH(Validations!$M$2:$M$100 &amp; "" spell save"", J376)),""Spell Save"",""""), REGEXEXTRACT(J376, ""DC (\d+)"")), """")"),"")</f>
        <v/>
      </c>
      <c r="AC376" s="24" t="b">
        <v>0</v>
      </c>
      <c r="AD376" s="24" t="b">
        <v>0</v>
      </c>
      <c r="AE376" s="36" t="s">
        <v>69</v>
      </c>
      <c r="AF376" s="25">
        <f>IFERROR(__xludf.DUMMYFUNCTION("IFERROR(VALUE(REGEXEXTRACT(AE376, ""\d+"")), 1)"),1.0)</f>
        <v>1</v>
      </c>
      <c r="AG376" s="12" t="str">
        <f>IFERROR(__xludf.DUMMYFUNCTION("IF(
  ISNUMBER(SEARCH(""Bonus Action"", AE376)),
  ""Bonus Action"",
  IF(
    ISNUMBER(SEARCH(""Reaction"", AE376)),
    ""Reaction"",
    IF(
      ISNUMBER(SEARCH(""Action"", AE376)),
      ""Action"",
      TEXTJOIN("", "", TRUE, FILTER(Validations!$S"&amp;"$2:$S$100, ISNUMBER(SEARCH(Validations!$S$2:$S$100, AE376))))
    )
  )
)"),"Action")</f>
        <v>Action</v>
      </c>
      <c r="AH376" s="36"/>
      <c r="AI376" s="27" t="s">
        <v>70</v>
      </c>
      <c r="AJ376" s="26" t="str">
        <f>IFERROR(__xludf.DUMMYFUNCTION("TEXTJOIN("", "", TRUE, FILTER(Validations!$T$2:$T$100, ISNUMBER(SEARCH(Validations!$T$2:$T$100, AI376))))"),"Instantaneous")</f>
        <v>Instantaneous</v>
      </c>
      <c r="AK376" s="26" t="str">
        <f>IFERROR(__xludf.DUMMYFUNCTION("IFERROR(VALUE(REGEXEXTRACT(AI376, ""\d+"")), """")"),"")</f>
        <v/>
      </c>
      <c r="AL376" s="26" t="str">
        <f>IFERROR(__xludf.DUMMYFUNCTION("TEXTJOIN("", "", TRUE, FILTER(Validations!$U$2:$U$100, ISNUMBER(SEARCH(Validations!$U$2:$U$100, AI376))))"),"")</f>
        <v/>
      </c>
      <c r="AM376" s="24" t="b">
        <f t="shared" si="1"/>
        <v>0</v>
      </c>
      <c r="AN376" s="24" t="b">
        <v>0</v>
      </c>
      <c r="AO376" s="22" t="s">
        <v>71</v>
      </c>
      <c r="AP376" s="12" t="str">
        <f>IFERROR(__xludf.DUMMYFUNCTION("IF(TEXTJOIN("", "", TRUE, FILTER(Validations!$Q$2:$Q$100, ISNUMBER(SEARCH(Validations!$Q$2:$Q$100, AO376)))) = """", Validations!$Q$2, TEXTJOIN("", "", TRUE, FILTER(Validations!$Q$2:$Q$100, ISNUMBER(SEARCH(Validations!$Q$2:$Q$100, AO376)))))"),"Point")</f>
        <v>Point</v>
      </c>
      <c r="AQ376" s="12" t="str">
        <f>IFERROR(__xludf.DUMMYFUNCTION("IFERROR(VALUE(REGEXEXTRACT(AO376, ""\d+"")), """")"),"")</f>
        <v/>
      </c>
      <c r="AR376" s="12" t="str">
        <f>IFERROR(__xludf.DUMMYFUNCTION("TEXTJOIN("", "", TRUE, FILTER(Validations!$R$2:$R$100, ISNUMBER(SEARCH(Validations!$R$2:$R$100, AO376))))"),"Touch")</f>
        <v>Touch</v>
      </c>
      <c r="AS376" s="27"/>
      <c r="AT376" s="12" t="str">
        <f>IFERROR(__xludf.DUMMYFUNCTION("IFERROR(TEXTJOIN("", "", TRUE, FILTER(Validations!$I$2:$I$100, ISNUMBER(SEARCH(Validations!$I$2:$I$100, AS376)))), """")"),"")</f>
        <v/>
      </c>
      <c r="AU376" s="16" t="str">
        <f t="array" ref="AU376">IFERROR(INDEX(Validations!$J$2:$J$100, MATCH(TRUE, ISNUMBER(SEARCH(Validations!$I$2:$I$100, AT376)), 0)), "")</f>
        <v/>
      </c>
      <c r="AV376" s="12" t="str">
        <f>IFERROR(__xludf.DUMMYFUNCTION("IFERROR(VALUE(REGEXEXTRACT(AS376, ""\d+"")), """")"),"")</f>
        <v/>
      </c>
      <c r="AW376" s="12" t="str">
        <f>IFERROR(__xludf.DUMMYFUNCTION("IFERROR(TEXTJOIN("", "", TRUE, FILTER(Validations!$Q$2:$Q$100, ISNUMBER(SEARCH(Validations!$Q$2:$Q$100, AS376)))), """")"),"")</f>
        <v/>
      </c>
      <c r="AX376" s="28" t="s">
        <v>152</v>
      </c>
      <c r="AY376" s="28" t="str">
        <f>IFERROR(__xludf.DUMMYFUNCTION("TEXTJOIN("", "", TRUE, FILTER(Validations!$Y$2:$Y$100, ISNUMBER(SEARCH(Validations!$X$2:$X$100, AX376))))"),"V, S, R")</f>
        <v>V, S, R</v>
      </c>
      <c r="AZ376" s="20" t="s">
        <v>1377</v>
      </c>
      <c r="BA376" s="22"/>
      <c r="BB376" s="22"/>
      <c r="BC376" s="22"/>
      <c r="BD376" s="22"/>
      <c r="BE376" s="27"/>
      <c r="BF376" s="22"/>
      <c r="BG376" s="27"/>
      <c r="BH376" s="27"/>
      <c r="BI376" s="12" t="str">
        <f>IFERROR(__xludf.DUMMYFUNCTION("IFERROR(TEXTJOIN("", "", TRUE, FILTER(SRD!$A$2:$A$1000, EXACT(SRD!$A$2:$A$1000, J376))), """")"),"")</f>
        <v/>
      </c>
      <c r="BJ376" s="29"/>
      <c r="BK376" s="29"/>
    </row>
    <row r="377" ht="15.75" customHeight="1">
      <c r="A377" s="30" t="s">
        <v>1795</v>
      </c>
      <c r="B377" s="22"/>
      <c r="C377" s="31"/>
      <c r="D377" s="31" t="s">
        <v>74</v>
      </c>
      <c r="E377" s="31"/>
      <c r="F377" s="32" t="s">
        <v>108</v>
      </c>
      <c r="G377" s="50" t="s">
        <v>1709</v>
      </c>
      <c r="H377" s="16" t="s">
        <v>76</v>
      </c>
      <c r="I377" s="16" t="str">
        <f t="array" ref="I377">INDEX(Validations!$C$2:$C$100, MATCH(TRUE, ISNUMBER(SEARCH(Validations!$B$2:$B$100, H377)), 0))</f>
        <v>V</v>
      </c>
      <c r="J377" s="17" t="s">
        <v>1796</v>
      </c>
      <c r="K377" s="18"/>
      <c r="L377" s="17"/>
      <c r="M377" s="17"/>
      <c r="N377" s="27"/>
      <c r="O377" s="17"/>
      <c r="P377" s="21"/>
      <c r="Q377" s="21"/>
      <c r="R377" s="22"/>
      <c r="S377" s="17" t="str">
        <f>IFERROR(__xludf.DUMMYFUNCTION("IFERROR(REGEXEXTRACT(J377, ""(\d{1,3}[dD]\d{1,3})""), """")"),"")</f>
        <v/>
      </c>
      <c r="T377" s="17" t="str">
        <f>IFERROR(__xludf.DUMMYFUNCTION("IF(COUNTIF(ARRAYFORMULA(LOWER(Validations!$O$2:$O$100)), LOWER(REGEXEXTRACT(J377, ""\d{1,3}[dD]\d{1,3}\s+(\w+)"")))&gt;0, REGEXEXTRACT(J377, ""\d{1,3}[dD]\d{1,3}\s+(\w+)""), """")"),"")</f>
        <v/>
      </c>
      <c r="U377" s="17" t="str">
        <f>IFERROR(__xludf.DUMMYFUNCTION("IF(COUNTIF(ARRAYFORMULA(LOWER(Validations!$P$2:$P$100)), LOWER(REGEXEXTRACT(J377, ""\d{1,3}[dD]\d{1,3}\s+(\w+)"")))&gt;0, REGEXEXTRACT(J377, ""\d{1,3}[dD]\d{1,3}\s+(\w+)""), """")"),"")</f>
        <v/>
      </c>
      <c r="V377" s="12" t="str">
        <f>IFERROR(__xludf.DUMMYFUNCTION("TEXTJOIN("", "", TRUE, FILTER(Validations!$L$2:$L$100, ISNUMBER(SEARCH(Validations!$L$2:$L$100, J377))))"),"")</f>
        <v/>
      </c>
      <c r="W377" s="12" t="str">
        <f>IFERROR(__xludf.DUMMYFUNCTION("IFERROR(TEXTJOIN("", "", TRUE, FILTER(Validations!$M$2:$M$100, ISNUMBER(SEARCH(Validations!$M$2:$M$100 &amp; "" saving throw"", J377)))), """")"),"")</f>
        <v/>
      </c>
      <c r="X377" s="12"/>
      <c r="Y377" s="12"/>
      <c r="Z377" s="12" t="str">
        <f>IFERROR(__xludf.DUMMYFUNCTION("IFERROR(TEXTJOIN("", "", TRUE, FILTER(Validations!$N$2:$N$100, ISNUMBER(SEARCH(Validations!$N$2:$N$100 &amp; "" check"", J377)))), """")"),"")</f>
        <v/>
      </c>
      <c r="AA377" s="12" t="str">
        <f>IFERROR(__xludf.DUMMYFUNCTION("IFERROR(TEXTJOIN("", "", TRUE, FILTER(Validations!$N$2:$N$100, ISNUMBER(SEARCH(Validations!$N$2:$N$100 &amp; "" check"", W377)))), """")"),"")</f>
        <v/>
      </c>
      <c r="AB377" s="23" t="str">
        <f>IFERROR(__xludf.DUMMYFUNCTION("IFERROR(CONCATENATE(IF(ISNUMBER(SEARCH(Validations!$M$2:$M$100 &amp; "" spell save"", J377)),""Spell Save"",""""), REGEXEXTRACT(J377, ""DC (\d+)"")), """")"),"")</f>
        <v/>
      </c>
      <c r="AC377" s="24" t="b">
        <v>0</v>
      </c>
      <c r="AD377" s="24" t="b">
        <v>0</v>
      </c>
      <c r="AE377" s="36" t="s">
        <v>69</v>
      </c>
      <c r="AF377" s="25">
        <f>IFERROR(__xludf.DUMMYFUNCTION("IFERROR(VALUE(REGEXEXTRACT(AE377, ""\d+"")), 1)"),1.0)</f>
        <v>1</v>
      </c>
      <c r="AG377" s="12" t="str">
        <f>IFERROR(__xludf.DUMMYFUNCTION("IF(
  ISNUMBER(SEARCH(""Bonus Action"", AE377)),
  ""Bonus Action"",
  IF(
    ISNUMBER(SEARCH(""Reaction"", AE377)),
    ""Reaction"",
    IF(
      ISNUMBER(SEARCH(""Action"", AE377)),
      ""Action"",
      TEXTJOIN("", "", TRUE, FILTER(Validations!$S"&amp;"$2:$S$100, ISNUMBER(SEARCH(Validations!$S$2:$S$100, AE377))))
    )
  )
)"),"Action")</f>
        <v>Action</v>
      </c>
      <c r="AH377" s="36"/>
      <c r="AI377" s="27" t="s">
        <v>70</v>
      </c>
      <c r="AJ377" s="26" t="str">
        <f>IFERROR(__xludf.DUMMYFUNCTION("TEXTJOIN("", "", TRUE, FILTER(Validations!$T$2:$T$100, ISNUMBER(SEARCH(Validations!$T$2:$T$100, AI377))))"),"Instantaneous")</f>
        <v>Instantaneous</v>
      </c>
      <c r="AK377" s="26" t="str">
        <f>IFERROR(__xludf.DUMMYFUNCTION("IFERROR(VALUE(REGEXEXTRACT(AI377, ""\d+"")), """")"),"")</f>
        <v/>
      </c>
      <c r="AL377" s="26" t="str">
        <f>IFERROR(__xludf.DUMMYFUNCTION("TEXTJOIN("", "", TRUE, FILTER(Validations!$U$2:$U$100, ISNUMBER(SEARCH(Validations!$U$2:$U$100, AI377))))"),"")</f>
        <v/>
      </c>
      <c r="AM377" s="24" t="b">
        <f t="shared" si="1"/>
        <v>0</v>
      </c>
      <c r="AN377" s="24" t="b">
        <v>0</v>
      </c>
      <c r="AO377" s="22" t="s">
        <v>71</v>
      </c>
      <c r="AP377" s="12" t="str">
        <f>IFERROR(__xludf.DUMMYFUNCTION("IF(TEXTJOIN("", "", TRUE, FILTER(Validations!$Q$2:$Q$100, ISNUMBER(SEARCH(Validations!$Q$2:$Q$100, AO377)))) = """", Validations!$Q$2, TEXTJOIN("", "", TRUE, FILTER(Validations!$Q$2:$Q$100, ISNUMBER(SEARCH(Validations!$Q$2:$Q$100, AO377)))))"),"Point")</f>
        <v>Point</v>
      </c>
      <c r="AQ377" s="12" t="str">
        <f>IFERROR(__xludf.DUMMYFUNCTION("IFERROR(VALUE(REGEXEXTRACT(AO377, ""\d+"")), """")"),"")</f>
        <v/>
      </c>
      <c r="AR377" s="12" t="str">
        <f>IFERROR(__xludf.DUMMYFUNCTION("TEXTJOIN("", "", TRUE, FILTER(Validations!$R$2:$R$100, ISNUMBER(SEARCH(Validations!$R$2:$R$100, AO377))))"),"Touch")</f>
        <v>Touch</v>
      </c>
      <c r="AS377" s="27"/>
      <c r="AT377" s="12" t="str">
        <f>IFERROR(__xludf.DUMMYFUNCTION("IFERROR(TEXTJOIN("", "", TRUE, FILTER(Validations!$I$2:$I$100, ISNUMBER(SEARCH(Validations!$I$2:$I$100, AS377)))), """")"),"")</f>
        <v/>
      </c>
      <c r="AU377" s="16" t="str">
        <f t="array" ref="AU377">IFERROR(INDEX(Validations!$J$2:$J$100, MATCH(TRUE, ISNUMBER(SEARCH(Validations!$I$2:$I$100, AT377)), 0)), "")</f>
        <v/>
      </c>
      <c r="AV377" s="12" t="str">
        <f>IFERROR(__xludf.DUMMYFUNCTION("IFERROR(VALUE(REGEXEXTRACT(AS377, ""\d+"")), """")"),"")</f>
        <v/>
      </c>
      <c r="AW377" s="12" t="str">
        <f>IFERROR(__xludf.DUMMYFUNCTION("IFERROR(TEXTJOIN("", "", TRUE, FILTER(Validations!$Q$2:$Q$100, ISNUMBER(SEARCH(Validations!$Q$2:$Q$100, AS377)))), """")"),"")</f>
        <v/>
      </c>
      <c r="AX377" s="28" t="s">
        <v>152</v>
      </c>
      <c r="AY377" s="28" t="str">
        <f>IFERROR(__xludf.DUMMYFUNCTION("TEXTJOIN("", "", TRUE, FILTER(Validations!$Y$2:$Y$100, ISNUMBER(SEARCH(Validations!$X$2:$X$100, AX377))))"),"V, S, R")</f>
        <v>V, S, R</v>
      </c>
      <c r="AZ377" s="20" t="s">
        <v>1797</v>
      </c>
      <c r="BA377" s="22"/>
      <c r="BB377" s="22"/>
      <c r="BC377" s="22"/>
      <c r="BD377" s="22"/>
      <c r="BE377" s="27"/>
      <c r="BF377" s="22"/>
      <c r="BG377" s="27"/>
      <c r="BH377" s="27"/>
      <c r="BI377" s="12" t="str">
        <f>IFERROR(__xludf.DUMMYFUNCTION("IFERROR(TEXTJOIN("", "", TRUE, FILTER(SRD!$A$2:$A$1000, EXACT(SRD!$A$2:$A$1000, J377))), """")"),"")</f>
        <v/>
      </c>
      <c r="BJ377" s="29"/>
      <c r="BK377" s="29"/>
    </row>
    <row r="378" ht="15.75" customHeight="1">
      <c r="A378" s="30" t="s">
        <v>1798</v>
      </c>
      <c r="B378" s="22"/>
      <c r="C378" s="31"/>
      <c r="D378" s="31" t="s">
        <v>74</v>
      </c>
      <c r="E378" s="31"/>
      <c r="F378" s="40" t="s">
        <v>139</v>
      </c>
      <c r="G378" s="50" t="s">
        <v>1709</v>
      </c>
      <c r="H378" s="16" t="s">
        <v>76</v>
      </c>
      <c r="I378" s="16" t="str">
        <f t="array" ref="I378">INDEX(Validations!$C$2:$C$100, MATCH(TRUE, ISNUMBER(SEARCH(Validations!$B$2:$B$100, H378)), 0))</f>
        <v>V</v>
      </c>
      <c r="J378" s="17" t="s">
        <v>1799</v>
      </c>
      <c r="K378" s="18"/>
      <c r="L378" s="17"/>
      <c r="M378" s="17"/>
      <c r="N378" s="27"/>
      <c r="O378" s="17"/>
      <c r="P378" s="21"/>
      <c r="Q378" s="21"/>
      <c r="R378" s="22"/>
      <c r="S378" s="17" t="str">
        <f>IFERROR(__xludf.DUMMYFUNCTION("IFERROR(REGEXEXTRACT(J378, ""(\d{1,3}[dD]\d{1,3})""), """")"),"")</f>
        <v/>
      </c>
      <c r="T378" s="17" t="str">
        <f>IFERROR(__xludf.DUMMYFUNCTION("IF(COUNTIF(ARRAYFORMULA(LOWER(Validations!$O$2:$O$100)), LOWER(REGEXEXTRACT(J378, ""\d{1,3}[dD]\d{1,3}\s+(\w+)"")))&gt;0, REGEXEXTRACT(J378, ""\d{1,3}[dD]\d{1,3}\s+(\w+)""), """")"),"")</f>
        <v/>
      </c>
      <c r="U378" s="17" t="str">
        <f>IFERROR(__xludf.DUMMYFUNCTION("IF(COUNTIF(ARRAYFORMULA(LOWER(Validations!$P$2:$P$100)), LOWER(REGEXEXTRACT(J378, ""\d{1,3}[dD]\d{1,3}\s+(\w+)"")))&gt;0, REGEXEXTRACT(J378, ""\d{1,3}[dD]\d{1,3}\s+(\w+)""), """")"),"")</f>
        <v/>
      </c>
      <c r="V378" s="12" t="str">
        <f>IFERROR(__xludf.DUMMYFUNCTION("TEXTJOIN("", "", TRUE, FILTER(Validations!$L$2:$L$100, ISNUMBER(SEARCH(Validations!$L$2:$L$100, J378))))"),"Exhaustion")</f>
        <v>Exhaustion</v>
      </c>
      <c r="W378" s="12" t="str">
        <f>IFERROR(__xludf.DUMMYFUNCTION("IFERROR(TEXTJOIN("", "", TRUE, FILTER(Validations!$M$2:$M$100, ISNUMBER(SEARCH(Validations!$M$2:$M$100 &amp; "" saving throw"", J378)))), """")"),"")</f>
        <v/>
      </c>
      <c r="X378" s="12"/>
      <c r="Y378" s="12"/>
      <c r="Z378" s="12" t="str">
        <f>IFERROR(__xludf.DUMMYFUNCTION("IFERROR(TEXTJOIN("", "", TRUE, FILTER(Validations!$N$2:$N$100, ISNUMBER(SEARCH(Validations!$N$2:$N$100 &amp; "" check"", J378)))), """")"),"")</f>
        <v/>
      </c>
      <c r="AA378" s="12" t="str">
        <f>IFERROR(__xludf.DUMMYFUNCTION("IFERROR(TEXTJOIN("", "", TRUE, FILTER(Validations!$N$2:$N$100, ISNUMBER(SEARCH(Validations!$N$2:$N$100 &amp; "" check"", W378)))), """")"),"")</f>
        <v/>
      </c>
      <c r="AB378" s="23" t="str">
        <f>IFERROR(__xludf.DUMMYFUNCTION("IFERROR(CONCATENATE(IF(ISNUMBER(SEARCH(Validations!$M$2:$M$100 &amp; "" spell save"", J378)),""Spell Save"",""""), REGEXEXTRACT(J378, ""DC (\d+)"")), """")"),"")</f>
        <v/>
      </c>
      <c r="AC378" s="24" t="b">
        <v>0</v>
      </c>
      <c r="AD378" s="24" t="b">
        <v>0</v>
      </c>
      <c r="AE378" s="36" t="s">
        <v>69</v>
      </c>
      <c r="AF378" s="25">
        <f>IFERROR(__xludf.DUMMYFUNCTION("IFERROR(VALUE(REGEXEXTRACT(AE378, ""\d+"")), 1)"),1.0)</f>
        <v>1</v>
      </c>
      <c r="AG378" s="12" t="str">
        <f>IFERROR(__xludf.DUMMYFUNCTION("IF(
  ISNUMBER(SEARCH(""Bonus Action"", AE378)),
  ""Bonus Action"",
  IF(
    ISNUMBER(SEARCH(""Reaction"", AE378)),
    ""Reaction"",
    IF(
      ISNUMBER(SEARCH(""Action"", AE378)),
      ""Action"",
      TEXTJOIN("", "", TRUE, FILTER(Validations!$S"&amp;"$2:$S$100, ISNUMBER(SEARCH(Validations!$S$2:$S$100, AE378))))
    )
  )
)"),"Action")</f>
        <v>Action</v>
      </c>
      <c r="AH378" s="36"/>
      <c r="AI378" s="27" t="s">
        <v>70</v>
      </c>
      <c r="AJ378" s="26" t="str">
        <f>IFERROR(__xludf.DUMMYFUNCTION("TEXTJOIN("", "", TRUE, FILTER(Validations!$T$2:$T$100, ISNUMBER(SEARCH(Validations!$T$2:$T$100, AI378))))"),"Instantaneous")</f>
        <v>Instantaneous</v>
      </c>
      <c r="AK378" s="26" t="str">
        <f>IFERROR(__xludf.DUMMYFUNCTION("IFERROR(VALUE(REGEXEXTRACT(AI378, ""\d+"")), """")"),"")</f>
        <v/>
      </c>
      <c r="AL378" s="26" t="str">
        <f>IFERROR(__xludf.DUMMYFUNCTION("TEXTJOIN("", "", TRUE, FILTER(Validations!$U$2:$U$100, ISNUMBER(SEARCH(Validations!$U$2:$U$100, AI378))))"),"")</f>
        <v/>
      </c>
      <c r="AM378" s="24" t="b">
        <f t="shared" si="1"/>
        <v>0</v>
      </c>
      <c r="AN378" s="24" t="b">
        <v>0</v>
      </c>
      <c r="AO378" s="22" t="s">
        <v>71</v>
      </c>
      <c r="AP378" s="12" t="str">
        <f>IFERROR(__xludf.DUMMYFUNCTION("IF(TEXTJOIN("", "", TRUE, FILTER(Validations!$Q$2:$Q$100, ISNUMBER(SEARCH(Validations!$Q$2:$Q$100, AO378)))) = """", Validations!$Q$2, TEXTJOIN("", "", TRUE, FILTER(Validations!$Q$2:$Q$100, ISNUMBER(SEARCH(Validations!$Q$2:$Q$100, AO378)))))"),"Point")</f>
        <v>Point</v>
      </c>
      <c r="AQ378" s="12" t="str">
        <f>IFERROR(__xludf.DUMMYFUNCTION("IFERROR(VALUE(REGEXEXTRACT(AO378, ""\d+"")), """")"),"")</f>
        <v/>
      </c>
      <c r="AR378" s="12" t="str">
        <f>IFERROR(__xludf.DUMMYFUNCTION("TEXTJOIN("", "", TRUE, FILTER(Validations!$R$2:$R$100, ISNUMBER(SEARCH(Validations!$R$2:$R$100, AO378))))"),"Touch")</f>
        <v>Touch</v>
      </c>
      <c r="AS378" s="27"/>
      <c r="AT378" s="12" t="str">
        <f>IFERROR(__xludf.DUMMYFUNCTION("IFERROR(TEXTJOIN("", "", TRUE, FILTER(Validations!$I$2:$I$100, ISNUMBER(SEARCH(Validations!$I$2:$I$100, AS378)))), """")"),"")</f>
        <v/>
      </c>
      <c r="AU378" s="16" t="str">
        <f t="array" ref="AU378">IFERROR(INDEX(Validations!$J$2:$J$100, MATCH(TRUE, ISNUMBER(SEARCH(Validations!$I$2:$I$100, AT378)), 0)), "")</f>
        <v/>
      </c>
      <c r="AV378" s="12" t="str">
        <f>IFERROR(__xludf.DUMMYFUNCTION("IFERROR(VALUE(REGEXEXTRACT(AS378, ""\d+"")), """")"),"")</f>
        <v/>
      </c>
      <c r="AW378" s="12" t="str">
        <f>IFERROR(__xludf.DUMMYFUNCTION("IFERROR(TEXTJOIN("", "", TRUE, FILTER(Validations!$Q$2:$Q$100, ISNUMBER(SEARCH(Validations!$Q$2:$Q$100, AS378)))), """")"),"")</f>
        <v/>
      </c>
      <c r="AX378" s="28" t="s">
        <v>152</v>
      </c>
      <c r="AY378" s="28" t="str">
        <f>IFERROR(__xludf.DUMMYFUNCTION("TEXTJOIN("", "", TRUE, FILTER(Validations!$Y$2:$Y$100, ISNUMBER(SEARCH(Validations!$X$2:$X$100, AX378))))"),"V, S, R")</f>
        <v>V, S, R</v>
      </c>
      <c r="AZ378" s="20" t="s">
        <v>1800</v>
      </c>
      <c r="BA378" s="22"/>
      <c r="BB378" s="22"/>
      <c r="BC378" s="22"/>
      <c r="BD378" s="22"/>
      <c r="BE378" s="27"/>
      <c r="BF378" s="22"/>
      <c r="BG378" s="27"/>
      <c r="BH378" s="27"/>
      <c r="BI378" s="12" t="str">
        <f>IFERROR(__xludf.DUMMYFUNCTION("IFERROR(TEXTJOIN("", "", TRUE, FILTER(SRD!$A$2:$A$1000, EXACT(SRD!$A$2:$A$1000, J378))), """")"),"")</f>
        <v/>
      </c>
      <c r="BJ378" s="29"/>
      <c r="BK378" s="29"/>
    </row>
    <row r="379" ht="15.75" customHeight="1">
      <c r="A379" s="38" t="s">
        <v>1801</v>
      </c>
      <c r="B379" s="12"/>
      <c r="C379" s="16"/>
      <c r="D379" s="16" t="s">
        <v>727</v>
      </c>
      <c r="E379" s="16"/>
      <c r="F379" s="39" t="s">
        <v>241</v>
      </c>
      <c r="G379" s="50" t="s">
        <v>1709</v>
      </c>
      <c r="H379" s="31" t="s">
        <v>65</v>
      </c>
      <c r="I379" s="16" t="str">
        <f t="array" ref="I379">INDEX(Validations!$C$2:$C$100, MATCH(TRUE, ISNUMBER(SEARCH(Validations!$B$2:$B$100, H379)), 0))</f>
        <v>I</v>
      </c>
      <c r="J379" s="17" t="s">
        <v>1802</v>
      </c>
      <c r="K379" s="18"/>
      <c r="L379" s="17"/>
      <c r="M379" s="52"/>
      <c r="N379" s="27"/>
      <c r="O379" s="17" t="s">
        <v>1803</v>
      </c>
      <c r="P379" s="21"/>
      <c r="Q379" s="21"/>
      <c r="R379" s="36" t="s">
        <v>1804</v>
      </c>
      <c r="S379" s="17" t="str">
        <f>IFERROR(__xludf.DUMMYFUNCTION("IFERROR(REGEXEXTRACT(J379, ""(\d{1,3}[dD]\d{1,3})""), """")"),"6d6")</f>
        <v>6d6</v>
      </c>
      <c r="T379" s="17" t="str">
        <f>IFERROR(__xludf.DUMMYFUNCTION("IF(COUNTIF(ARRAYFORMULA(LOWER(Validations!$O$2:$O$100)), LOWER(REGEXEXTRACT(J379, ""\d{1,3}[dD]\d{1,3}\s+(\w+)"")))&gt;0, REGEXEXTRACT(J379, ""\d{1,3}[dD]\d{1,3}\s+(\w+)""), """")"),"cognitive")</f>
        <v>cognitive</v>
      </c>
      <c r="U379" s="17" t="str">
        <f>IFERROR(__xludf.DUMMYFUNCTION("IF(COUNTIF(ARRAYFORMULA(LOWER(Validations!$P$2:$P$100)), LOWER(REGEXEXTRACT(J379, ""\d{1,3}[dD]\d{1,3}\s+(\w+)"")))&gt;0, REGEXEXTRACT(J379, ""\d{1,3}[dD]\d{1,3}\s+(\w+)""), """")"),"")</f>
        <v/>
      </c>
      <c r="V379" s="12" t="str">
        <f>IFERROR(__xludf.DUMMYFUNCTION("TEXTJOIN("", "", TRUE, FILTER(Validations!$L$2:$L$100, ISNUMBER(SEARCH(Validations!$L$2:$L$100, J379))))"),"Paranoid, Frightened")</f>
        <v>Paranoid, Frightened</v>
      </c>
      <c r="W379" s="12" t="str">
        <f>IFERROR(__xludf.DUMMYFUNCTION("IFERROR(TEXTJOIN("", "", TRUE, FILTER(Validations!$M$2:$M$100, ISNUMBER(SEARCH(Validations!$M$2:$M$100 &amp; "" saving throw"", J379)))), """")"),"Intelligence, Wisdom")</f>
        <v>Intelligence, Wisdom</v>
      </c>
      <c r="X379" s="12"/>
      <c r="Y379" s="12"/>
      <c r="Z379" s="12" t="str">
        <f>IFERROR(__xludf.DUMMYFUNCTION("IFERROR(TEXTJOIN("", "", TRUE, FILTER(Validations!$N$2:$N$100, ISNUMBER(SEARCH(Validations!$N$2:$N$100 &amp; "" check"", J379)))), """")"),"")</f>
        <v/>
      </c>
      <c r="AA379" s="12" t="str">
        <f>IFERROR(__xludf.DUMMYFUNCTION("IFERROR(TEXTJOIN("", "", TRUE, FILTER(Validations!$N$2:$N$100, ISNUMBER(SEARCH(Validations!$N$2:$N$100 &amp; "" check"", W379)))), """")"),"")</f>
        <v/>
      </c>
      <c r="AB379" s="23" t="str">
        <f>IFERROR(__xludf.DUMMYFUNCTION("IFERROR(CONCATENATE(IF(ISNUMBER(SEARCH(Validations!$M$2:$M$100 &amp; "" spell save"", J379)),""Spell Save"",""""), REGEXEXTRACT(J379, ""DC (\d+)"")), """")"),"")</f>
        <v/>
      </c>
      <c r="AC379" s="24" t="b">
        <v>0</v>
      </c>
      <c r="AD379" s="24" t="b">
        <v>0</v>
      </c>
      <c r="AE379" s="12" t="s">
        <v>69</v>
      </c>
      <c r="AF379" s="25">
        <f>IFERROR(__xludf.DUMMYFUNCTION("IFERROR(VALUE(REGEXEXTRACT(AE379, ""\d+"")), 1)"),1.0)</f>
        <v>1</v>
      </c>
      <c r="AG379" s="12" t="str">
        <f>IFERROR(__xludf.DUMMYFUNCTION("IF(
  ISNUMBER(SEARCH(""Bonus Action"", AE379)),
  ""Bonus Action"",
  IF(
    ISNUMBER(SEARCH(""Reaction"", AE379)),
    ""Reaction"",
    IF(
      ISNUMBER(SEARCH(""Action"", AE379)),
      ""Action"",
      TEXTJOIN("", "", TRUE, FILTER(Validations!$S"&amp;"$2:$S$100, ISNUMBER(SEARCH(Validations!$S$2:$S$100, AE379))))
    )
  )
)"),"Action")</f>
        <v>Action</v>
      </c>
      <c r="AH379" s="12"/>
      <c r="AI379" s="20" t="s">
        <v>556</v>
      </c>
      <c r="AJ379" s="26" t="str">
        <f>IFERROR(__xludf.DUMMYFUNCTION("TEXTJOIN("", "", TRUE, FILTER(Validations!$T$2:$T$100, ISNUMBER(SEARCH(Validations!$T$2:$T$100, AI379))))"),"")</f>
        <v/>
      </c>
      <c r="AK379" s="26">
        <f>IFERROR(__xludf.DUMMYFUNCTION("IFERROR(VALUE(REGEXEXTRACT(AI379, ""\d+"")), """")"),1.0)</f>
        <v>1</v>
      </c>
      <c r="AL379" s="26" t="str">
        <f>IFERROR(__xludf.DUMMYFUNCTION("TEXTJOIN("", "", TRUE, FILTER(Validations!$U$2:$U$100, ISNUMBER(SEARCH(Validations!$U$2:$U$100, AI379))))"),"Minutes")</f>
        <v>Minutes</v>
      </c>
      <c r="AM379" s="24" t="b">
        <f t="shared" si="1"/>
        <v>1</v>
      </c>
      <c r="AN379" s="42" t="b">
        <v>1</v>
      </c>
      <c r="AO379" s="36" t="s">
        <v>440</v>
      </c>
      <c r="AP379" s="12" t="str">
        <f>IFERROR(__xludf.DUMMYFUNCTION("IF(TEXTJOIN("", "", TRUE, FILTER(Validations!$Q$2:$Q$100, ISNUMBER(SEARCH(Validations!$Q$2:$Q$100, AO379)))) = """", Validations!$Q$2, TEXTJOIN("", "", TRUE, FILTER(Validations!$Q$2:$Q$100, ISNUMBER(SEARCH(Validations!$Q$2:$Q$100, AO379)))))"),"Point")</f>
        <v>Point</v>
      </c>
      <c r="AQ379" s="12">
        <f>IFERROR(__xludf.DUMMYFUNCTION("IFERROR(VALUE(REGEXEXTRACT(AO379, ""\d+"")), """")"),60.0)</f>
        <v>60</v>
      </c>
      <c r="AR379" s="12" t="str">
        <f>IFERROR(__xludf.DUMMYFUNCTION("TEXTJOIN("", "", TRUE, FILTER(Validations!$R$2:$R$100, ISNUMBER(SEARCH(Validations!$R$2:$R$100, AO379))))"),"Feet")</f>
        <v>Feet</v>
      </c>
      <c r="AS379" s="27"/>
      <c r="AT379" s="12" t="str">
        <f>IFERROR(__xludf.DUMMYFUNCTION("IFERROR(TEXTJOIN("", "", TRUE, FILTER(Validations!$I$2:$I$100, ISNUMBER(SEARCH(Validations!$I$2:$I$100, AS379)))), """")"),"")</f>
        <v/>
      </c>
      <c r="AU379" s="16" t="str">
        <f t="array" ref="AU379">IFERROR(INDEX(Validations!$J$2:$J$100, MATCH(TRUE, ISNUMBER(SEARCH(Validations!$I$2:$I$100, AT379)), 0)), "")</f>
        <v/>
      </c>
      <c r="AV379" s="12" t="str">
        <f>IFERROR(__xludf.DUMMYFUNCTION("IFERROR(VALUE(REGEXEXTRACT(AS379, ""\d+"")), """")"),"")</f>
        <v/>
      </c>
      <c r="AW379" s="12" t="str">
        <f>IFERROR(__xludf.DUMMYFUNCTION("IFERROR(TEXTJOIN("", "", TRUE, FILTER(Validations!$Q$2:$Q$100, ISNUMBER(SEARCH(Validations!$Q$2:$Q$100, AS379)))), """")"),"")</f>
        <v/>
      </c>
      <c r="AX379" s="36" t="s">
        <v>106</v>
      </c>
      <c r="AY379" s="28" t="str">
        <f>IFERROR(__xludf.DUMMYFUNCTION("TEXTJOIN("", "", TRUE, FILTER(Validations!$Y$2:$Y$100, ISNUMBER(SEARCH(Validations!$X$2:$X$100, AX379))))"),"S")</f>
        <v>S</v>
      </c>
      <c r="AZ379" s="27"/>
      <c r="BA379" s="22"/>
      <c r="BB379" s="22"/>
      <c r="BC379" s="22"/>
      <c r="BD379" s="22"/>
      <c r="BE379" s="27"/>
      <c r="BF379" s="22"/>
      <c r="BG379" s="27"/>
      <c r="BH379" s="27"/>
      <c r="BI379" s="12" t="str">
        <f>IFERROR(__xludf.DUMMYFUNCTION("IFERROR(TEXTJOIN("", "", TRUE, FILTER(SRD!$A$2:$A$1000, EXACT(SRD!$A$2:$A$1000, J379))), """")"),"")</f>
        <v/>
      </c>
      <c r="BJ379" s="29"/>
      <c r="BK379" s="29"/>
    </row>
    <row r="380">
      <c r="A380" s="38" t="s">
        <v>1805</v>
      </c>
      <c r="B380" s="12"/>
      <c r="C380" s="16"/>
      <c r="D380" s="16" t="s">
        <v>610</v>
      </c>
      <c r="E380" s="16"/>
      <c r="F380" s="14" t="s">
        <v>431</v>
      </c>
      <c r="G380" s="50" t="s">
        <v>1709</v>
      </c>
      <c r="H380" s="31" t="s">
        <v>178</v>
      </c>
      <c r="I380" s="16" t="str">
        <f t="array" ref="I380">INDEX(Validations!$C$2:$C$100, MATCH(TRUE, ISNUMBER(SEARCH(Validations!$B$2:$B$100, H380)), 0))</f>
        <v>A</v>
      </c>
      <c r="J380" s="17" t="s">
        <v>1806</v>
      </c>
      <c r="K380" s="18" t="s">
        <v>1763</v>
      </c>
      <c r="L380" s="17"/>
      <c r="M380" s="52"/>
      <c r="N380" s="20" t="s">
        <v>1807</v>
      </c>
      <c r="O380" s="17" t="s">
        <v>1808</v>
      </c>
      <c r="P380" s="21"/>
      <c r="Q380" s="21"/>
      <c r="R380" s="36" t="s">
        <v>1809</v>
      </c>
      <c r="S380" s="17" t="str">
        <f>IFERROR(__xludf.DUMMYFUNCTION("IFERROR(REGEXEXTRACT(J380, ""(\d{1,3}[dD]\d{1,3})""), """")"),"1d6")</f>
        <v>1d6</v>
      </c>
      <c r="T380" s="17" t="str">
        <f>IFERROR(__xludf.DUMMYFUNCTION("IF(COUNTIF(ARRAYFORMULA(LOWER(Validations!$O$2:$O$100)), LOWER(REGEXEXTRACT(J380, ""\d{1,3}[dD]\d{1,3}\s+(\w+)"")))&gt;0, REGEXEXTRACT(J380, ""\d{1,3}[dD]\d{1,3}\s+(\w+)""), """")"),"cognitive")</f>
        <v>cognitive</v>
      </c>
      <c r="U380" s="17" t="str">
        <f>IFERROR(__xludf.DUMMYFUNCTION("IF(COUNTIF(ARRAYFORMULA(LOWER(Validations!$P$2:$P$100)), LOWER(REGEXEXTRACT(J380, ""\d{1,3}[dD]\d{1,3}\s+(\w+)"")))&gt;0, REGEXEXTRACT(J380, ""\d{1,3}[dD]\d{1,3}\s+(\w+)""), """")"),"")</f>
        <v/>
      </c>
      <c r="V380" s="12" t="str">
        <f>IFERROR(__xludf.DUMMYFUNCTION("TEXTJOIN("", "", TRUE, FILTER(Validations!$L$2:$L$100, ISNUMBER(SEARCH(Validations!$L$2:$L$100, J380))))"),"Compelled, Paranoid, Frightened")</f>
        <v>Compelled, Paranoid, Frightened</v>
      </c>
      <c r="W380" s="12" t="str">
        <f>IFERROR(__xludf.DUMMYFUNCTION("IFERROR(TEXTJOIN("", "", TRUE, FILTER(Validations!$M$2:$M$100, ISNUMBER(SEARCH(Validations!$M$2:$M$100 &amp; "" saving throw"", J380)))), """")"),"Charisma")</f>
        <v>Charisma</v>
      </c>
      <c r="X380" s="12"/>
      <c r="Y380" s="12"/>
      <c r="Z380" s="12" t="str">
        <f>IFERROR(__xludf.DUMMYFUNCTION("IFERROR(TEXTJOIN("", "", TRUE, FILTER(Validations!$N$2:$N$100, ISNUMBER(SEARCH(Validations!$N$2:$N$100 &amp; "" check"", J380)))), """")"),"")</f>
        <v/>
      </c>
      <c r="AA380" s="12" t="str">
        <f>IFERROR(__xludf.DUMMYFUNCTION("IFERROR(TEXTJOIN("", "", TRUE, FILTER(Validations!$N$2:$N$100, ISNUMBER(SEARCH(Validations!$N$2:$N$100 &amp; "" check"", W380)))), """")"),"")</f>
        <v/>
      </c>
      <c r="AB380" s="23" t="str">
        <f>IFERROR(__xludf.DUMMYFUNCTION("IFERROR(CONCATENATE(IF(ISNUMBER(SEARCH(Validations!$M$2:$M$100 &amp; "" spell save"", J380)),""Spell Save"",""""), REGEXEXTRACT(J380, ""DC (\d+)"")), """")"),"")</f>
        <v/>
      </c>
      <c r="AC380" s="24" t="b">
        <v>0</v>
      </c>
      <c r="AD380" s="24" t="b">
        <v>0</v>
      </c>
      <c r="AE380" s="12" t="s">
        <v>69</v>
      </c>
      <c r="AF380" s="25">
        <f>IFERROR(__xludf.DUMMYFUNCTION("IFERROR(VALUE(REGEXEXTRACT(AE380, ""\d+"")), 1)"),1.0)</f>
        <v>1</v>
      </c>
      <c r="AG380" s="12" t="str">
        <f>IFERROR(__xludf.DUMMYFUNCTION("IF(
  ISNUMBER(SEARCH(""Bonus Action"", AE380)),
  ""Bonus Action"",
  IF(
    ISNUMBER(SEARCH(""Reaction"", AE380)),
    ""Reaction"",
    IF(
      ISNUMBER(SEARCH(""Action"", AE380)),
      ""Action"",
      TEXTJOIN("", "", TRUE, FILTER(Validations!$S"&amp;"$2:$S$100, ISNUMBER(SEARCH(Validations!$S$2:$S$100, AE380))))
    )
  )
)"),"Action")</f>
        <v>Action</v>
      </c>
      <c r="AH380" s="12"/>
      <c r="AI380" s="20" t="s">
        <v>92</v>
      </c>
      <c r="AJ380" s="26" t="str">
        <f>IFERROR(__xludf.DUMMYFUNCTION("TEXTJOIN("", "", TRUE, FILTER(Validations!$T$2:$T$100, ISNUMBER(SEARCH(Validations!$T$2:$T$100, AI380))))"),"")</f>
        <v/>
      </c>
      <c r="AK380" s="26">
        <f>IFERROR(__xludf.DUMMYFUNCTION("IFERROR(VALUE(REGEXEXTRACT(AI380, ""\d+"")), """")"),1.0)</f>
        <v>1</v>
      </c>
      <c r="AL380" s="26" t="str">
        <f>IFERROR(__xludf.DUMMYFUNCTION("TEXTJOIN("", "", TRUE, FILTER(Validations!$U$2:$U$100, ISNUMBER(SEARCH(Validations!$U$2:$U$100, AI380))))"),"Minutes")</f>
        <v>Minutes</v>
      </c>
      <c r="AM380" s="24" t="b">
        <f t="shared" si="1"/>
        <v>0</v>
      </c>
      <c r="AN380" s="24" t="b">
        <v>0</v>
      </c>
      <c r="AO380" s="12" t="s">
        <v>78</v>
      </c>
      <c r="AP380" s="12" t="str">
        <f>IFERROR(__xludf.DUMMYFUNCTION("IF(TEXTJOIN("", "", TRUE, FILTER(Validations!$Q$2:$Q$100, ISNUMBER(SEARCH(Validations!$Q$2:$Q$100, AO380)))) = """", Validations!$Q$2, TEXTJOIN("", "", TRUE, FILTER(Validations!$Q$2:$Q$100, ISNUMBER(SEARCH(Validations!$Q$2:$Q$100, AO380)))))"),"Point")</f>
        <v>Point</v>
      </c>
      <c r="AQ380" s="12" t="str">
        <f>IFERROR(__xludf.DUMMYFUNCTION("IFERROR(VALUE(REGEXEXTRACT(AO380, ""\d+"")), """")"),"")</f>
        <v/>
      </c>
      <c r="AR380" s="12" t="str">
        <f>IFERROR(__xludf.DUMMYFUNCTION("TEXTJOIN("", "", TRUE, FILTER(Validations!$R$2:$R$100, ISNUMBER(SEARCH(Validations!$R$2:$R$100, AO380))))"),"Self")</f>
        <v>Self</v>
      </c>
      <c r="AS380" s="20" t="s">
        <v>1810</v>
      </c>
      <c r="AT380" s="12" t="str">
        <f>IFERROR(__xludf.DUMMYFUNCTION("IFERROR(TEXTJOIN("", "", TRUE, FILTER(Validations!$I$2:$I$100, ISNUMBER(SEARCH(Validations!$I$2:$I$100, AS380)))), """")"),"")</f>
        <v/>
      </c>
      <c r="AU380" s="16" t="str">
        <f t="array" ref="AU380">IFERROR(INDEX(Validations!$J$2:$J$100, MATCH(TRUE, ISNUMBER(SEARCH(Validations!$I$2:$I$100, AT380)), 0)), "")</f>
        <v/>
      </c>
      <c r="AV380" s="12">
        <f>IFERROR(__xludf.DUMMYFUNCTION("IFERROR(VALUE(REGEXEXTRACT(AS380, ""\d+"")), """")"),15.0)</f>
        <v>15</v>
      </c>
      <c r="AW380" s="12" t="str">
        <f>IFERROR(__xludf.DUMMYFUNCTION("IFERROR(TEXTJOIN("", "", TRUE, FILTER(Validations!$Q$2:$Q$100, ISNUMBER(SEARCH(Validations!$Q$2:$Q$100, AS380)))), """")"),"Radius")</f>
        <v>Radius</v>
      </c>
      <c r="AX380" s="36" t="s">
        <v>152</v>
      </c>
      <c r="AY380" s="28" t="str">
        <f>IFERROR(__xludf.DUMMYFUNCTION("TEXTJOIN("", "", TRUE, FILTER(Validations!$Y$2:$Y$100, ISNUMBER(SEARCH(Validations!$X$2:$X$100, AX380))))"),"V, S, R")</f>
        <v>V, S, R</v>
      </c>
      <c r="AZ380" s="20" t="s">
        <v>1811</v>
      </c>
      <c r="BA380" s="12"/>
      <c r="BB380" s="22"/>
      <c r="BC380" s="22"/>
      <c r="BD380" s="22"/>
      <c r="BE380" s="27"/>
      <c r="BF380" s="22"/>
      <c r="BG380" s="27"/>
      <c r="BH380" s="27"/>
      <c r="BI380" s="12" t="str">
        <f>IFERROR(__xludf.DUMMYFUNCTION("IFERROR(TEXTJOIN("", "", TRUE, FILTER(SRD!$A$2:$A$1000, EXACT(SRD!$A$2:$A$1000, J380))), """")"),"")</f>
        <v/>
      </c>
      <c r="BJ380" s="29"/>
      <c r="BK380" s="29"/>
    </row>
    <row r="381">
      <c r="A381" s="38" t="s">
        <v>1812</v>
      </c>
      <c r="B381" s="12"/>
      <c r="C381" s="16"/>
      <c r="D381" s="16" t="s">
        <v>1813</v>
      </c>
      <c r="E381" s="16"/>
      <c r="F381" s="39" t="s">
        <v>1814</v>
      </c>
      <c r="G381" s="50" t="s">
        <v>1709</v>
      </c>
      <c r="H381" s="31" t="s">
        <v>140</v>
      </c>
      <c r="I381" s="16" t="str">
        <f t="array" ref="I381">INDEX(Validations!$C$2:$C$100, MATCH(TRUE, ISNUMBER(SEARCH(Validations!$B$2:$B$100, H381)), 0))</f>
        <v>N</v>
      </c>
      <c r="J381" s="17" t="s">
        <v>1815</v>
      </c>
      <c r="K381" s="51"/>
      <c r="L381" s="17"/>
      <c r="M381" s="17" t="s">
        <v>1816</v>
      </c>
      <c r="N381" s="20" t="s">
        <v>1817</v>
      </c>
      <c r="O381" s="20" t="s">
        <v>1816</v>
      </c>
      <c r="P381" s="70"/>
      <c r="Q381" s="70"/>
      <c r="R381" s="36" t="s">
        <v>1818</v>
      </c>
      <c r="S381" s="17" t="str">
        <f>IFERROR(__xludf.DUMMYFUNCTION("IFERROR(REGEXEXTRACT(J381, ""(\d{1,3}[dD]\d{1,3})""), """")"),"6d10")</f>
        <v>6d10</v>
      </c>
      <c r="T381" s="17" t="str">
        <f>IFERROR(__xludf.DUMMYFUNCTION("IF(COUNTIF(ARRAYFORMULA(LOWER(Validations!$O$2:$O$100)), LOWER(REGEXEXTRACT(J381, ""\d{1,3}[dD]\d{1,3}\s+(\w+)"")))&gt;0, REGEXEXTRACT(J381, ""\d{1,3}[dD]\d{1,3}\s+(\w+)""), """")"),"chiaric")</f>
        <v>chiaric</v>
      </c>
      <c r="U381" s="17" t="str">
        <f>IFERROR(__xludf.DUMMYFUNCTION("IF(COUNTIF(ARRAYFORMULA(LOWER(Validations!$P$2:$P$100)), LOWER(REGEXEXTRACT(J381, ""\d{1,3}[dD]\d{1,3}\s+(\w+)"")))&gt;0, REGEXEXTRACT(J381, ""\d{1,3}[dD]\d{1,3}\s+(\w+)""), """")"),"")</f>
        <v/>
      </c>
      <c r="V381" s="12" t="str">
        <f>IFERROR(__xludf.DUMMYFUNCTION("TEXTJOIN("", "", TRUE, FILTER(Validations!$L$2:$L$100, ISNUMBER(SEARCH(Validations!$L$2:$L$100, J381))))"),"Erased")</f>
        <v>Erased</v>
      </c>
      <c r="W381" s="12" t="str">
        <f>IFERROR(__xludf.DUMMYFUNCTION("IFERROR(TEXTJOIN("", "", TRUE, FILTER(Validations!$M$2:$M$100, ISNUMBER(SEARCH(Validations!$M$2:$M$100 &amp; "" saving throw"", J381)))), """")"),"Constitution")</f>
        <v>Constitution</v>
      </c>
      <c r="X381" s="12"/>
      <c r="Y381" s="12"/>
      <c r="Z381" s="12" t="str">
        <f>IFERROR(__xludf.DUMMYFUNCTION("IFERROR(TEXTJOIN("", "", TRUE, FILTER(Validations!$N$2:$N$100, ISNUMBER(SEARCH(Validations!$N$2:$N$100 &amp; "" check"", J381)))), """")"),"")</f>
        <v/>
      </c>
      <c r="AA381" s="12" t="str">
        <f>IFERROR(__xludf.DUMMYFUNCTION("IFERROR(TEXTJOIN("", "", TRUE, FILTER(Validations!$N$2:$N$100, ISNUMBER(SEARCH(Validations!$N$2:$N$100 &amp; "" check"", W381)))), """")"),"")</f>
        <v/>
      </c>
      <c r="AB381" s="23" t="str">
        <f>IFERROR(__xludf.DUMMYFUNCTION("IFERROR(CONCATENATE(IF(ISNUMBER(SEARCH(Validations!$M$2:$M$100 &amp; "" spell save"", J381)),""Spell Save"",""""), REGEXEXTRACT(J381, ""DC (\d+)"")), """")"),"")</f>
        <v/>
      </c>
      <c r="AC381" s="24" t="b">
        <v>0</v>
      </c>
      <c r="AD381" s="24" t="b">
        <v>0</v>
      </c>
      <c r="AE381" s="12" t="s">
        <v>69</v>
      </c>
      <c r="AF381" s="25">
        <f>IFERROR(__xludf.DUMMYFUNCTION("IFERROR(VALUE(REGEXEXTRACT(AE381, ""\d+"")), 1)"),1.0)</f>
        <v>1</v>
      </c>
      <c r="AG381" s="12" t="str">
        <f>IFERROR(__xludf.DUMMYFUNCTION("IF(
  ISNUMBER(SEARCH(""Bonus Action"", AE381)),
  ""Bonus Action"",
  IF(
    ISNUMBER(SEARCH(""Reaction"", AE381)),
    ""Reaction"",
    IF(
      ISNUMBER(SEARCH(""Action"", AE381)),
      ""Action"",
      TEXTJOIN("", "", TRUE, FILTER(Validations!$S"&amp;"$2:$S$100, ISNUMBER(SEARCH(Validations!$S$2:$S$100, AE381))))
    )
  )
)"),"Action")</f>
        <v>Action</v>
      </c>
      <c r="AH381" s="12"/>
      <c r="AI381" s="26" t="s">
        <v>70</v>
      </c>
      <c r="AJ381" s="26" t="str">
        <f>IFERROR(__xludf.DUMMYFUNCTION("TEXTJOIN("", "", TRUE, FILTER(Validations!$T$2:$T$100, ISNUMBER(SEARCH(Validations!$T$2:$T$100, AI381))))"),"Instantaneous")</f>
        <v>Instantaneous</v>
      </c>
      <c r="AK381" s="26" t="str">
        <f>IFERROR(__xludf.DUMMYFUNCTION("IFERROR(VALUE(REGEXEXTRACT(AI381, ""\d+"")), """")"),"")</f>
        <v/>
      </c>
      <c r="AL381" s="26" t="str">
        <f>IFERROR(__xludf.DUMMYFUNCTION("TEXTJOIN("", "", TRUE, FILTER(Validations!$U$2:$U$100, ISNUMBER(SEARCH(Validations!$U$2:$U$100, AI381))))"),"")</f>
        <v/>
      </c>
      <c r="AM381" s="24" t="b">
        <f t="shared" si="1"/>
        <v>0</v>
      </c>
      <c r="AN381" s="24" t="b">
        <v>0</v>
      </c>
      <c r="AO381" s="12" t="s">
        <v>71</v>
      </c>
      <c r="AP381" s="12" t="str">
        <f>IFERROR(__xludf.DUMMYFUNCTION("IF(TEXTJOIN("", "", TRUE, FILTER(Validations!$Q$2:$Q$100, ISNUMBER(SEARCH(Validations!$Q$2:$Q$100, AO381)))) = """", Validations!$Q$2, TEXTJOIN("", "", TRUE, FILTER(Validations!$Q$2:$Q$100, ISNUMBER(SEARCH(Validations!$Q$2:$Q$100, AO381)))))"),"Point")</f>
        <v>Point</v>
      </c>
      <c r="AQ381" s="12" t="str">
        <f>IFERROR(__xludf.DUMMYFUNCTION("IFERROR(VALUE(REGEXEXTRACT(AO381, ""\d+"")), """")"),"")</f>
        <v/>
      </c>
      <c r="AR381" s="12" t="str">
        <f>IFERROR(__xludf.DUMMYFUNCTION("TEXTJOIN("", "", TRUE, FILTER(Validations!$R$2:$R$100, ISNUMBER(SEARCH(Validations!$R$2:$R$100, AO381))))"),"Touch")</f>
        <v>Touch</v>
      </c>
      <c r="AS381" s="26" t="s">
        <v>1819</v>
      </c>
      <c r="AT381" s="12" t="str">
        <f>IFERROR(__xludf.DUMMYFUNCTION("IFERROR(TEXTJOIN("", "", TRUE, FILTER(Validations!$I$2:$I$100, ISNUMBER(SEARCH(Validations!$I$2:$I$100, AS381)))), """")"),"Line")</f>
        <v>Line</v>
      </c>
      <c r="AU381" s="16" t="str">
        <f t="array" ref="AU381">IFERROR(INDEX(Validations!$J$2:$J$100, MATCH(TRUE, ISNUMBER(SEARCH(Validations!$I$2:$I$100, AT381)), 0)), "")</f>
        <v>L</v>
      </c>
      <c r="AV381" s="12">
        <f>IFERROR(__xludf.DUMMYFUNCTION("IFERROR(VALUE(REGEXEXTRACT(AS381, ""\d+"")), """")"),120.0)</f>
        <v>120</v>
      </c>
      <c r="AW381" s="12" t="str">
        <f>IFERROR(__xludf.DUMMYFUNCTION("IFERROR(TEXTJOIN("", "", TRUE, FILTER(Validations!$Q$2:$Q$100, ISNUMBER(SEARCH(Validations!$Q$2:$Q$100, AS381)))), """")"),"Line")</f>
        <v>Line</v>
      </c>
      <c r="AX381" s="36" t="s">
        <v>152</v>
      </c>
      <c r="AY381" s="28" t="str">
        <f>IFERROR(__xludf.DUMMYFUNCTION("TEXTJOIN("", "", TRUE, FILTER(Validations!$Y$2:$Y$100, ISNUMBER(SEARCH(Validations!$X$2:$X$100, AX381))))"),"V, S, R")</f>
        <v>V, S, R</v>
      </c>
      <c r="AZ381" s="26" t="s">
        <v>1820</v>
      </c>
      <c r="BA381" s="12"/>
      <c r="BB381" s="22"/>
      <c r="BC381" s="22"/>
      <c r="BD381" s="22"/>
      <c r="BE381" s="27"/>
      <c r="BF381" s="22" t="s">
        <v>597</v>
      </c>
      <c r="BG381" s="27"/>
      <c r="BH381" s="27"/>
      <c r="BI381" s="12" t="str">
        <f>IFERROR(__xludf.DUMMYFUNCTION("IFERROR(TEXTJOIN("", "", TRUE, FILTER(SRD!$A$2:$A$1000, EXACT(SRD!$A$2:$A$1000, J381))), """")"),"")</f>
        <v/>
      </c>
      <c r="BJ381" s="29"/>
      <c r="BK381" s="29"/>
    </row>
    <row r="382" ht="15.75" customHeight="1">
      <c r="A382" s="38" t="s">
        <v>1821</v>
      </c>
      <c r="B382" s="12"/>
      <c r="C382" s="16"/>
      <c r="D382" s="16" t="s">
        <v>1273</v>
      </c>
      <c r="E382" s="16"/>
      <c r="F382" s="40" t="s">
        <v>649</v>
      </c>
      <c r="G382" s="50" t="s">
        <v>1709</v>
      </c>
      <c r="H382" s="31" t="s">
        <v>140</v>
      </c>
      <c r="I382" s="16" t="str">
        <f t="array" ref="I382">INDEX(Validations!$C$2:$C$100, MATCH(TRUE, ISNUMBER(SEARCH(Validations!$B$2:$B$100, H382)), 0))</f>
        <v>N</v>
      </c>
      <c r="J382" s="17" t="s">
        <v>1822</v>
      </c>
      <c r="K382" s="18" t="s">
        <v>1763</v>
      </c>
      <c r="L382" s="52"/>
      <c r="M382" s="52"/>
      <c r="N382" s="20" t="s">
        <v>1823</v>
      </c>
      <c r="O382" s="17" t="s">
        <v>1824</v>
      </c>
      <c r="P382" s="21"/>
      <c r="Q382" s="21"/>
      <c r="R382" s="36" t="s">
        <v>1825</v>
      </c>
      <c r="S382" s="17" t="str">
        <f>IFERROR(__xludf.DUMMYFUNCTION("IFERROR(REGEXEXTRACT(J382, ""(\d{1,3}[dD]\d{1,3})""), """")"),"")</f>
        <v/>
      </c>
      <c r="T382" s="17" t="str">
        <f>IFERROR(__xludf.DUMMYFUNCTION("IF(COUNTIF(ARRAYFORMULA(LOWER(Validations!$O$2:$O$100)), LOWER(REGEXEXTRACT(J382, ""\d{1,3}[dD]\d{1,3}\s+(\w+)"")))&gt;0, REGEXEXTRACT(J382, ""\d{1,3}[dD]\d{1,3}\s+(\w+)""), """")"),"")</f>
        <v/>
      </c>
      <c r="U382" s="17" t="str">
        <f>IFERROR(__xludf.DUMMYFUNCTION("IF(COUNTIF(ARRAYFORMULA(LOWER(Validations!$P$2:$P$100)), LOWER(REGEXEXTRACT(J382, ""\d{1,3}[dD]\d{1,3}\s+(\w+)"")))&gt;0, REGEXEXTRACT(J382, ""\d{1,3}[dD]\d{1,3}\s+(\w+)""), """")"),"")</f>
        <v/>
      </c>
      <c r="V382" s="12" t="str">
        <f>IFERROR(__xludf.DUMMYFUNCTION("TEXTJOIN("", "", TRUE, FILTER(Validations!$L$2:$L$100, ISNUMBER(SEARCH(Validations!$L$2:$L$100, J382))))"),"")</f>
        <v/>
      </c>
      <c r="W382" s="12" t="str">
        <f>IFERROR(__xludf.DUMMYFUNCTION("IFERROR(TEXTJOIN("", "", TRUE, FILTER(Validations!$M$2:$M$100, ISNUMBER(SEARCH(Validations!$M$2:$M$100 &amp; "" saving throw"", J382)))), """")"),"Constitution")</f>
        <v>Constitution</v>
      </c>
      <c r="X382" s="12"/>
      <c r="Y382" s="12"/>
      <c r="Z382" s="12" t="str">
        <f>IFERROR(__xludf.DUMMYFUNCTION("IFERROR(TEXTJOIN("", "", TRUE, FILTER(Validations!$N$2:$N$100, ISNUMBER(SEARCH(Validations!$N$2:$N$100 &amp; "" check"", J382)))), """")"),"")</f>
        <v/>
      </c>
      <c r="AA382" s="12" t="str">
        <f>IFERROR(__xludf.DUMMYFUNCTION("IFERROR(TEXTJOIN("", "", TRUE, FILTER(Validations!$N$2:$N$100, ISNUMBER(SEARCH(Validations!$N$2:$N$100 &amp; "" check"", W382)))), """")"),"")</f>
        <v/>
      </c>
      <c r="AB382" s="23" t="str">
        <f>IFERROR(__xludf.DUMMYFUNCTION("IFERROR(CONCATENATE(IF(ISNUMBER(SEARCH(Validations!$M$2:$M$100 &amp; "" spell save"", J382)),""Spell Save"",""""), REGEXEXTRACT(J382, ""DC (\d+)"")), """")"),"")</f>
        <v/>
      </c>
      <c r="AC382" s="24" t="b">
        <v>0</v>
      </c>
      <c r="AD382" s="24" t="b">
        <v>0</v>
      </c>
      <c r="AE382" s="12" t="s">
        <v>69</v>
      </c>
      <c r="AF382" s="25">
        <f>IFERROR(__xludf.DUMMYFUNCTION("IFERROR(VALUE(REGEXEXTRACT(AE382, ""\d+"")), 1)"),1.0)</f>
        <v>1</v>
      </c>
      <c r="AG382" s="12" t="str">
        <f>IFERROR(__xludf.DUMMYFUNCTION("IF(
  ISNUMBER(SEARCH(""Bonus Action"", AE382)),
  ""Bonus Action"",
  IF(
    ISNUMBER(SEARCH(""Reaction"", AE382)),
    ""Reaction"",
    IF(
      ISNUMBER(SEARCH(""Action"", AE382)),
      ""Action"",
      TEXTJOIN("", "", TRUE, FILTER(Validations!$S"&amp;"$2:$S$100, ISNUMBER(SEARCH(Validations!$S$2:$S$100, AE382))))
    )
  )
)"),"Action")</f>
        <v>Action</v>
      </c>
      <c r="AH382" s="12"/>
      <c r="AI382" s="20" t="s">
        <v>556</v>
      </c>
      <c r="AJ382" s="26" t="str">
        <f>IFERROR(__xludf.DUMMYFUNCTION("TEXTJOIN("", "", TRUE, FILTER(Validations!$T$2:$T$100, ISNUMBER(SEARCH(Validations!$T$2:$T$100, AI382))))"),"")</f>
        <v/>
      </c>
      <c r="AK382" s="26">
        <f>IFERROR(__xludf.DUMMYFUNCTION("IFERROR(VALUE(REGEXEXTRACT(AI382, ""\d+"")), """")"),1.0)</f>
        <v>1</v>
      </c>
      <c r="AL382" s="26" t="str">
        <f>IFERROR(__xludf.DUMMYFUNCTION("TEXTJOIN("", "", TRUE, FILTER(Validations!$U$2:$U$100, ISNUMBER(SEARCH(Validations!$U$2:$U$100, AI382))))"),"Minutes")</f>
        <v>Minutes</v>
      </c>
      <c r="AM382" s="24" t="b">
        <f t="shared" si="1"/>
        <v>1</v>
      </c>
      <c r="AN382" s="42" t="b">
        <v>1</v>
      </c>
      <c r="AO382" s="12" t="s">
        <v>71</v>
      </c>
      <c r="AP382" s="12" t="str">
        <f>IFERROR(__xludf.DUMMYFUNCTION("IF(TEXTJOIN("", "", TRUE, FILTER(Validations!$Q$2:$Q$100, ISNUMBER(SEARCH(Validations!$Q$2:$Q$100, AO382)))) = """", Validations!$Q$2, TEXTJOIN("", "", TRUE, FILTER(Validations!$Q$2:$Q$100, ISNUMBER(SEARCH(Validations!$Q$2:$Q$100, AO382)))))"),"Point")</f>
        <v>Point</v>
      </c>
      <c r="AQ382" s="12" t="str">
        <f>IFERROR(__xludf.DUMMYFUNCTION("IFERROR(VALUE(REGEXEXTRACT(AO382, ""\d+"")), """")"),"")</f>
        <v/>
      </c>
      <c r="AR382" s="12" t="str">
        <f>IFERROR(__xludf.DUMMYFUNCTION("TEXTJOIN("", "", TRUE, FILTER(Validations!$R$2:$R$100, ISNUMBER(SEARCH(Validations!$R$2:$R$100, AO382))))"),"Touch")</f>
        <v>Touch</v>
      </c>
      <c r="AS382" s="26" t="s">
        <v>1826</v>
      </c>
      <c r="AT382" s="12" t="str">
        <f>IFERROR(__xludf.DUMMYFUNCTION("IFERROR(TEXTJOIN("", "", TRUE, FILTER(Validations!$I$2:$I$100, ISNUMBER(SEARCH(Validations!$I$2:$I$100, AS382)))), """")"),"Sphere")</f>
        <v>Sphere</v>
      </c>
      <c r="AU382" s="16" t="str">
        <f t="array" ref="AU382">IFERROR(INDEX(Validations!$J$2:$J$100, MATCH(TRUE, ISNUMBER(SEARCH(Validations!$I$2:$I$100, AT382)), 0)), "")</f>
        <v>S</v>
      </c>
      <c r="AV382" s="12">
        <f>IFERROR(__xludf.DUMMYFUNCTION("IFERROR(VALUE(REGEXEXTRACT(AS382, ""\d+"")), """")"),15.0)</f>
        <v>15</v>
      </c>
      <c r="AW382" s="12" t="str">
        <f>IFERROR(__xludf.DUMMYFUNCTION("IFERROR(TEXTJOIN("", "", TRUE, FILTER(Validations!$Q$2:$Q$100, ISNUMBER(SEARCH(Validations!$Q$2:$Q$100, AS382)))), """")"),"Sphere")</f>
        <v>Sphere</v>
      </c>
      <c r="AX382" s="36" t="s">
        <v>808</v>
      </c>
      <c r="AY382" s="28" t="str">
        <f>IFERROR(__xludf.DUMMYFUNCTION("TEXTJOIN("", "", TRUE, FILTER(Validations!$Y$2:$Y$100, ISNUMBER(SEARCH(Validations!$X$2:$X$100, AX382))))"),"R")</f>
        <v>R</v>
      </c>
      <c r="AZ382" s="26" t="s">
        <v>1744</v>
      </c>
      <c r="BA382" s="12"/>
      <c r="BB382" s="22"/>
      <c r="BC382" s="22"/>
      <c r="BD382" s="22"/>
      <c r="BE382" s="27"/>
      <c r="BF382" s="22"/>
      <c r="BG382" s="27"/>
      <c r="BH382" s="27"/>
      <c r="BI382" s="12" t="str">
        <f>IFERROR(__xludf.DUMMYFUNCTION("IFERROR(TEXTJOIN("", "", TRUE, FILTER(SRD!$A$2:$A$1000, EXACT(SRD!$A$2:$A$1000, J382))), """")"),"")</f>
        <v/>
      </c>
      <c r="BJ382" s="29"/>
      <c r="BK382" s="29"/>
    </row>
    <row r="383">
      <c r="A383" s="38" t="s">
        <v>1827</v>
      </c>
      <c r="B383" s="12"/>
      <c r="C383" s="16"/>
      <c r="D383" s="16" t="s">
        <v>610</v>
      </c>
      <c r="E383" s="16"/>
      <c r="F383" s="14" t="s">
        <v>1828</v>
      </c>
      <c r="G383" s="50" t="s">
        <v>1709</v>
      </c>
      <c r="H383" s="31" t="s">
        <v>85</v>
      </c>
      <c r="I383" s="16" t="str">
        <f t="array" ref="I383">INDEX(Validations!$C$2:$C$100, MATCH(TRUE, ISNUMBER(SEARCH(Validations!$B$2:$B$100, H383)), 0))</f>
        <v>T</v>
      </c>
      <c r="J383" s="17" t="s">
        <v>1829</v>
      </c>
      <c r="K383" s="51"/>
      <c r="L383" s="52"/>
      <c r="M383" s="52"/>
      <c r="N383" s="27"/>
      <c r="O383" s="17" t="s">
        <v>1830</v>
      </c>
      <c r="P383" s="21" t="s">
        <v>1831</v>
      </c>
      <c r="Q383" s="21" t="s">
        <v>1832</v>
      </c>
      <c r="R383" s="36" t="s">
        <v>1833</v>
      </c>
      <c r="S383" s="17" t="str">
        <f>IFERROR(__xludf.DUMMYFUNCTION("IFERROR(REGEXEXTRACT(J383, ""(\d{1,3}[dD]\d{1,3})""), """")"),"1d3")</f>
        <v>1d3</v>
      </c>
      <c r="T383" s="17" t="str">
        <f>IFERROR(__xludf.DUMMYFUNCTION("IF(COUNTIF(ARRAYFORMULA(LOWER(Validations!$O$2:$O$100)), LOWER(REGEXEXTRACT(J383, ""\d{1,3}[dD]\d{1,3}\s+(\w+)"")))&gt;0, REGEXEXTRACT(J383, ""\d{1,3}[dD]\d{1,3}\s+(\w+)""), """")"),"")</f>
        <v/>
      </c>
      <c r="U383" s="17" t="str">
        <f>IFERROR(__xludf.DUMMYFUNCTION("IF(COUNTIF(ARRAYFORMULA(LOWER(Validations!$P$2:$P$100)), LOWER(REGEXEXTRACT(J383, ""\d{1,3}[dD]\d{1,3}\s+(\w+)"")))&gt;0, REGEXEXTRACT(J383, ""\d{1,3}[dD]\d{1,3}\s+(\w+)""), """")"),"")</f>
        <v/>
      </c>
      <c r="V383" s="12" t="str">
        <f>IFERROR(__xludf.DUMMYFUNCTION("TEXTJOIN("", "", TRUE, FILTER(Validations!$L$2:$L$100, ISNUMBER(SEARCH(Validations!$L$2:$L$100, J383))))"),"Altered, Poisoned")</f>
        <v>Altered, Poisoned</v>
      </c>
      <c r="W383" s="12" t="str">
        <f>IFERROR(__xludf.DUMMYFUNCTION("IFERROR(TEXTJOIN("", "", TRUE, FILTER(Validations!$M$2:$M$100, ISNUMBER(SEARCH(Validations!$M$2:$M$100 &amp; "" saving throw"", J383)))), """")"),"Constitution")</f>
        <v>Constitution</v>
      </c>
      <c r="X383" s="12"/>
      <c r="Y383" s="12"/>
      <c r="Z383" s="12" t="str">
        <f>IFERROR(__xludf.DUMMYFUNCTION("IFERROR(TEXTJOIN("", "", TRUE, FILTER(Validations!$N$2:$N$100, ISNUMBER(SEARCH(Validations!$N$2:$N$100 &amp; "" check"", J383)))), """")"),"")</f>
        <v/>
      </c>
      <c r="AA383" s="12" t="str">
        <f>IFERROR(__xludf.DUMMYFUNCTION("IFERROR(TEXTJOIN("", "", TRUE, FILTER(Validations!$N$2:$N$100, ISNUMBER(SEARCH(Validations!$N$2:$N$100 &amp; "" check"", W383)))), """")"),"")</f>
        <v/>
      </c>
      <c r="AB383" s="23" t="str">
        <f>IFERROR(__xludf.DUMMYFUNCTION("IFERROR(CONCATENATE(IF(ISNUMBER(SEARCH(Validations!$M$2:$M$100 &amp; "" spell save"", J383)),""Spell Save"",""""), REGEXEXTRACT(J383, ""DC (\d+)"")), """")"),"")</f>
        <v/>
      </c>
      <c r="AC383" s="24" t="b">
        <v>0</v>
      </c>
      <c r="AD383" s="24" t="b">
        <v>0</v>
      </c>
      <c r="AE383" s="12" t="s">
        <v>208</v>
      </c>
      <c r="AF383" s="25">
        <f>IFERROR(__xludf.DUMMYFUNCTION("IFERROR(VALUE(REGEXEXTRACT(AE383, ""\d+"")), 1)"),1.0)</f>
        <v>1</v>
      </c>
      <c r="AG383" s="12" t="str">
        <f>IFERROR(__xludf.DUMMYFUNCTION("IF(
  ISNUMBER(SEARCH(""Bonus Action"", AE383)),
  ""Bonus Action"",
  IF(
    ISNUMBER(SEARCH(""Reaction"", AE383)),
    ""Reaction"",
    IF(
      ISNUMBER(SEARCH(""Action"", AE383)),
      ""Action"",
      TEXTJOIN("", "", TRUE, FILTER(Validations!$S"&amp;"$2:$S$100, ISNUMBER(SEARCH(Validations!$S$2:$S$100, AE383))))
    )
  )
)"),"Reaction")</f>
        <v>Reaction</v>
      </c>
      <c r="AH383" s="36" t="s">
        <v>1834</v>
      </c>
      <c r="AI383" s="20" t="s">
        <v>1835</v>
      </c>
      <c r="AJ383" s="26" t="str">
        <f>IFERROR(__xludf.DUMMYFUNCTION("TEXTJOIN("", "", TRUE, FILTER(Validations!$T$2:$T$100, ISNUMBER(SEARCH(Validations!$T$2:$T$100, AI383))))"),"")</f>
        <v/>
      </c>
      <c r="AK383" s="26">
        <f>IFERROR(__xludf.DUMMYFUNCTION("IFERROR(VALUE(REGEXEXTRACT(AI383, ""\d+"")), """")"),1.0)</f>
        <v>1</v>
      </c>
      <c r="AL383" s="26" t="str">
        <f>IFERROR(__xludf.DUMMYFUNCTION("TEXTJOIN("", "", TRUE, FILTER(Validations!$U$2:$U$100, ISNUMBER(SEARCH(Validations!$U$2:$U$100, AI383))))"),"Rounds")</f>
        <v>Rounds</v>
      </c>
      <c r="AM383" s="24" t="b">
        <f t="shared" si="1"/>
        <v>0</v>
      </c>
      <c r="AN383" s="24" t="b">
        <v>0</v>
      </c>
      <c r="AO383" s="12" t="s">
        <v>71</v>
      </c>
      <c r="AP383" s="12" t="str">
        <f>IFERROR(__xludf.DUMMYFUNCTION("IF(TEXTJOIN("", "", TRUE, FILTER(Validations!$Q$2:$Q$100, ISNUMBER(SEARCH(Validations!$Q$2:$Q$100, AO383)))) = """", Validations!$Q$2, TEXTJOIN("", "", TRUE, FILTER(Validations!$Q$2:$Q$100, ISNUMBER(SEARCH(Validations!$Q$2:$Q$100, AO383)))))"),"Point")</f>
        <v>Point</v>
      </c>
      <c r="AQ383" s="12" t="str">
        <f>IFERROR(__xludf.DUMMYFUNCTION("IFERROR(VALUE(REGEXEXTRACT(AO383, ""\d+"")), """")"),"")</f>
        <v/>
      </c>
      <c r="AR383" s="12" t="str">
        <f>IFERROR(__xludf.DUMMYFUNCTION("TEXTJOIN("", "", TRUE, FILTER(Validations!$R$2:$R$100, ISNUMBER(SEARCH(Validations!$R$2:$R$100, AO383))))"),"Touch")</f>
        <v>Touch</v>
      </c>
      <c r="AS383" s="27"/>
      <c r="AT383" s="12" t="str">
        <f>IFERROR(__xludf.DUMMYFUNCTION("IFERROR(TEXTJOIN("", "", TRUE, FILTER(Validations!$I$2:$I$100, ISNUMBER(SEARCH(Validations!$I$2:$I$100, AS383)))), """")"),"")</f>
        <v/>
      </c>
      <c r="AU383" s="16" t="str">
        <f t="array" ref="AU383">IFERROR(INDEX(Validations!$J$2:$J$100, MATCH(TRUE, ISNUMBER(SEARCH(Validations!$I$2:$I$100, AT383)), 0)), "")</f>
        <v/>
      </c>
      <c r="AV383" s="12" t="str">
        <f>IFERROR(__xludf.DUMMYFUNCTION("IFERROR(VALUE(REGEXEXTRACT(AS383, ""\d+"")), """")"),"")</f>
        <v/>
      </c>
      <c r="AW383" s="12" t="str">
        <f>IFERROR(__xludf.DUMMYFUNCTION("IFERROR(TEXTJOIN("", "", TRUE, FILTER(Validations!$Q$2:$Q$100, ISNUMBER(SEARCH(Validations!$Q$2:$Q$100, AS383)))), """")"),"")</f>
        <v/>
      </c>
      <c r="AX383" s="36" t="s">
        <v>248</v>
      </c>
      <c r="AY383" s="28" t="str">
        <f>IFERROR(__xludf.DUMMYFUNCTION("TEXTJOIN("", "", TRUE, FILTER(Validations!$Y$2:$Y$100, ISNUMBER(SEARCH(Validations!$X$2:$X$100, AX383))))"),"V")</f>
        <v>V</v>
      </c>
      <c r="AZ383" s="27"/>
      <c r="BA383" s="22"/>
      <c r="BB383" s="22"/>
      <c r="BC383" s="22"/>
      <c r="BD383" s="22"/>
      <c r="BE383" s="27"/>
      <c r="BF383" s="22"/>
      <c r="BG383" s="27"/>
      <c r="BH383" s="27"/>
      <c r="BI383" s="12" t="str">
        <f>IFERROR(__xludf.DUMMYFUNCTION("IFERROR(TEXTJOIN("", "", TRUE, FILTER(SRD!$A$2:$A$1000, EXACT(SRD!$A$2:$A$1000, J383))), """")"),"")</f>
        <v/>
      </c>
      <c r="BJ383" s="29"/>
      <c r="BK383" s="29"/>
    </row>
    <row r="384">
      <c r="A384" s="30" t="s">
        <v>1836</v>
      </c>
      <c r="B384" s="22"/>
      <c r="C384" s="31"/>
      <c r="D384" s="31" t="s">
        <v>1451</v>
      </c>
      <c r="E384" s="31"/>
      <c r="F384" s="40" t="s">
        <v>139</v>
      </c>
      <c r="G384" s="50" t="s">
        <v>1837</v>
      </c>
      <c r="H384" s="31" t="s">
        <v>178</v>
      </c>
      <c r="I384" s="16" t="str">
        <f t="array" ref="I384">INDEX(Validations!$C$2:$C$100, MATCH(TRUE, ISNUMBER(SEARCH(Validations!$B$2:$B$100, H384)), 0))</f>
        <v>A</v>
      </c>
      <c r="J384" s="17" t="s">
        <v>1838</v>
      </c>
      <c r="K384" s="18"/>
      <c r="L384" s="17"/>
      <c r="M384" s="17"/>
      <c r="N384" s="27"/>
      <c r="O384" s="17"/>
      <c r="P384" s="21"/>
      <c r="Q384" s="21"/>
      <c r="R384" s="22"/>
      <c r="S384" s="17" t="str">
        <f>IFERROR(__xludf.DUMMYFUNCTION("IFERROR(REGEXEXTRACT(J384, ""(\d{1,3}[dD]\d{1,3})""), """")"),"")</f>
        <v/>
      </c>
      <c r="T384" s="17" t="str">
        <f>IFERROR(__xludf.DUMMYFUNCTION("IF(COUNTIF(ARRAYFORMULA(LOWER(Validations!$O$2:$O$100)), LOWER(REGEXEXTRACT(J384, ""\d{1,3}[dD]\d{1,3}\s+(\w+)"")))&gt;0, REGEXEXTRACT(J384, ""\d{1,3}[dD]\d{1,3}\s+(\w+)""), """")"),"")</f>
        <v/>
      </c>
      <c r="U384" s="17" t="str">
        <f>IFERROR(__xludf.DUMMYFUNCTION("IF(COUNTIF(ARRAYFORMULA(LOWER(Validations!$P$2:$P$100)), LOWER(REGEXEXTRACT(J384, ""\d{1,3}[dD]\d{1,3}\s+(\w+)"")))&gt;0, REGEXEXTRACT(J384, ""\d{1,3}[dD]\d{1,3}\s+(\w+)""), """")"),"")</f>
        <v/>
      </c>
      <c r="V384" s="12" t="str">
        <f>IFERROR(__xludf.DUMMYFUNCTION("TEXTJOIN("", "", TRUE, FILTER(Validations!$L$2:$L$100, ISNUMBER(SEARCH(Validations!$L$2:$L$100, J384))))"),"")</f>
        <v/>
      </c>
      <c r="W384" s="12" t="str">
        <f>IFERROR(__xludf.DUMMYFUNCTION("IFERROR(TEXTJOIN("", "", TRUE, FILTER(Validations!$M$2:$M$100, ISNUMBER(SEARCH(Validations!$M$2:$M$100 &amp; "" saving throw"", J384)))), """")"),"Wisdom")</f>
        <v>Wisdom</v>
      </c>
      <c r="X384" s="12"/>
      <c r="Y384" s="12"/>
      <c r="Z384" s="12" t="str">
        <f>IFERROR(__xludf.DUMMYFUNCTION("IFERROR(TEXTJOIN("", "", TRUE, FILTER(Validations!$N$2:$N$100, ISNUMBER(SEARCH(Validations!$N$2:$N$100 &amp; "" check"", J384)))), """")"),"")</f>
        <v/>
      </c>
      <c r="AA384" s="12" t="str">
        <f>IFERROR(__xludf.DUMMYFUNCTION("IFERROR(TEXTJOIN("", "", TRUE, FILTER(Validations!$N$2:$N$100, ISNUMBER(SEARCH(Validations!$N$2:$N$100 &amp; "" check"", W384)))), """")"),"")</f>
        <v/>
      </c>
      <c r="AB384" s="23" t="str">
        <f>IFERROR(__xludf.DUMMYFUNCTION("IFERROR(CONCATENATE(IF(ISNUMBER(SEARCH(Validations!$M$2:$M$100 &amp; "" spell save"", J384)),""Spell Save"",""""), REGEXEXTRACT(J384, ""DC (\d+)"")), """")"),"")</f>
        <v/>
      </c>
      <c r="AC384" s="24" t="b">
        <v>0</v>
      </c>
      <c r="AD384" s="24" t="b">
        <v>0</v>
      </c>
      <c r="AE384" s="36" t="s">
        <v>69</v>
      </c>
      <c r="AF384" s="25">
        <f>IFERROR(__xludf.DUMMYFUNCTION("IFERROR(VALUE(REGEXEXTRACT(AE384, ""\d+"")), 1)"),1.0)</f>
        <v>1</v>
      </c>
      <c r="AG384" s="12" t="str">
        <f>IFERROR(__xludf.DUMMYFUNCTION("IF(
  ISNUMBER(SEARCH(""Bonus Action"", AE384)),
  ""Bonus Action"",
  IF(
    ISNUMBER(SEARCH(""Reaction"", AE384)),
    ""Reaction"",
    IF(
      ISNUMBER(SEARCH(""Action"", AE384)),
      ""Action"",
      TEXTJOIN("", "", TRUE, FILTER(Validations!$S"&amp;"$2:$S$100, ISNUMBER(SEARCH(Validations!$S$2:$S$100, AE384))))
    )
  )
)"),"Action")</f>
        <v>Action</v>
      </c>
      <c r="AH384" s="36"/>
      <c r="AI384" s="20" t="s">
        <v>92</v>
      </c>
      <c r="AJ384" s="26" t="str">
        <f>IFERROR(__xludf.DUMMYFUNCTION("TEXTJOIN("", "", TRUE, FILTER(Validations!$T$2:$T$100, ISNUMBER(SEARCH(Validations!$T$2:$T$100, AI384))))"),"")</f>
        <v/>
      </c>
      <c r="AK384" s="26">
        <f>IFERROR(__xludf.DUMMYFUNCTION("IFERROR(VALUE(REGEXEXTRACT(AI384, ""\d+"")), """")"),1.0)</f>
        <v>1</v>
      </c>
      <c r="AL384" s="26" t="str">
        <f>IFERROR(__xludf.DUMMYFUNCTION("TEXTJOIN("", "", TRUE, FILTER(Validations!$U$2:$U$100, ISNUMBER(SEARCH(Validations!$U$2:$U$100, AI384))))"),"Minutes")</f>
        <v>Minutes</v>
      </c>
      <c r="AM384" s="24" t="b">
        <f t="shared" si="1"/>
        <v>0</v>
      </c>
      <c r="AN384" s="24" t="b">
        <v>1</v>
      </c>
      <c r="AO384" s="36" t="s">
        <v>1839</v>
      </c>
      <c r="AP384" s="12" t="str">
        <f>IFERROR(__xludf.DUMMYFUNCTION("IF(TEXTJOIN("", "", TRUE, FILTER(Validations!$Q$2:$Q$100, ISNUMBER(SEARCH(Validations!$Q$2:$Q$100, AO384)))) = """", Validations!$Q$2, TEXTJOIN("", "", TRUE, FILTER(Validations!$Q$2:$Q$100, ISNUMBER(SEARCH(Validations!$Q$2:$Q$100, AO384)))))"),"Radius, Sphere")</f>
        <v>Radius, Sphere</v>
      </c>
      <c r="AQ384" s="12">
        <f>IFERROR(__xludf.DUMMYFUNCTION("IFERROR(VALUE(REGEXEXTRACT(AO384, ""\d+"")), """")"),60.0)</f>
        <v>60</v>
      </c>
      <c r="AR384" s="12" t="str">
        <f>IFERROR(__xludf.DUMMYFUNCTION("TEXTJOIN("", "", TRUE, FILTER(Validations!$R$2:$R$100, ISNUMBER(SEARCH(Validations!$R$2:$R$100, AO384))))"),"Feet")</f>
        <v>Feet</v>
      </c>
      <c r="AS384" s="27"/>
      <c r="AT384" s="12" t="str">
        <f>IFERROR(__xludf.DUMMYFUNCTION("IFERROR(TEXTJOIN("", "", TRUE, FILTER(Validations!$I$2:$I$100, ISNUMBER(SEARCH(Validations!$I$2:$I$100, AS384)))), """")"),"")</f>
        <v/>
      </c>
      <c r="AU384" s="16" t="str">
        <f t="array" ref="AU384">IFERROR(INDEX(Validations!$J$2:$J$100, MATCH(TRUE, ISNUMBER(SEARCH(Validations!$I$2:$I$100, AT384)), 0)), "")</f>
        <v/>
      </c>
      <c r="AV384" s="12" t="str">
        <f>IFERROR(__xludf.DUMMYFUNCTION("IFERROR(VALUE(REGEXEXTRACT(AS384, ""\d+"")), """")"),"")</f>
        <v/>
      </c>
      <c r="AW384" s="12" t="str">
        <f>IFERROR(__xludf.DUMMYFUNCTION("IFERROR(TEXTJOIN("", "", TRUE, FILTER(Validations!$Q$2:$Q$100, ISNUMBER(SEARCH(Validations!$Q$2:$Q$100, AS384)))), """")"),"")</f>
        <v/>
      </c>
      <c r="AX384" s="28" t="s">
        <v>152</v>
      </c>
      <c r="AY384" s="28" t="str">
        <f>IFERROR(__xludf.DUMMYFUNCTION("TEXTJOIN("", "", TRUE, FILTER(Validations!$Y$2:$Y$100, ISNUMBER(SEARCH(Validations!$X$2:$X$100, AX384))))"),"V, S, R")</f>
        <v>V, S, R</v>
      </c>
      <c r="AZ384" s="20" t="s">
        <v>1840</v>
      </c>
      <c r="BA384" s="22"/>
      <c r="BB384" s="22"/>
      <c r="BC384" s="22"/>
      <c r="BD384" s="27"/>
      <c r="BE384" s="27"/>
      <c r="BF384" s="12" t="s">
        <v>352</v>
      </c>
      <c r="BG384" s="26"/>
      <c r="BH384" s="27"/>
      <c r="BI384" s="12" t="str">
        <f>IFERROR(__xludf.DUMMYFUNCTION("IFERROR(TEXTJOIN("", "", TRUE, FILTER(SRD!$A$2:$A$1000, EXACT(SRD!$A$2:$A$1000, J384))), """")"),"")</f>
        <v/>
      </c>
      <c r="BJ384" s="29"/>
      <c r="BK384" s="29"/>
    </row>
    <row r="385">
      <c r="A385" s="30" t="s">
        <v>1841</v>
      </c>
      <c r="B385" s="22"/>
      <c r="C385" s="31"/>
      <c r="D385" s="31" t="s">
        <v>18</v>
      </c>
      <c r="E385" s="31"/>
      <c r="F385" s="32" t="s">
        <v>1842</v>
      </c>
      <c r="G385" s="50" t="s">
        <v>1837</v>
      </c>
      <c r="H385" s="31" t="s">
        <v>76</v>
      </c>
      <c r="I385" s="16" t="str">
        <f t="array" ref="I385">INDEX(Validations!$C$2:$C$100, MATCH(TRUE, ISNUMBER(SEARCH(Validations!$B$2:$B$100, H385)), 0))</f>
        <v>V</v>
      </c>
      <c r="J385" s="17" t="s">
        <v>1843</v>
      </c>
      <c r="K385" s="18"/>
      <c r="L385" s="17"/>
      <c r="M385" s="17"/>
      <c r="N385" s="27"/>
      <c r="O385" s="17"/>
      <c r="P385" s="21"/>
      <c r="Q385" s="21"/>
      <c r="R385" s="22"/>
      <c r="S385" s="17" t="str">
        <f>IFERROR(__xludf.DUMMYFUNCTION("IFERROR(REGEXEXTRACT(J385, ""(\d{1,3}[dD]\d{1,3})""), """")"),"12d10")</f>
        <v>12d10</v>
      </c>
      <c r="T385" s="17" t="str">
        <f>IFERROR(__xludf.DUMMYFUNCTION("IF(COUNTIF(ARRAYFORMULA(LOWER(Validations!$O$2:$O$100)), LOWER(REGEXEXTRACT(J385, ""\d{1,3}[dD]\d{1,3}\s+(\w+)"")))&gt;0, REGEXEXTRACT(J385, ""\d{1,3}[dD]\d{1,3}\s+(\w+)""), """")"),"impact")</f>
        <v>impact</v>
      </c>
      <c r="U385" s="17" t="str">
        <f>IFERROR(__xludf.DUMMYFUNCTION("IF(COUNTIF(ARRAYFORMULA(LOWER(Validations!$P$2:$P$100)), LOWER(REGEXEXTRACT(J385, ""\d{1,3}[dD]\d{1,3}\s+(\w+)"")))&gt;0, REGEXEXTRACT(J385, ""\d{1,3}[dD]\d{1,3}\s+(\w+)""), """")"),"")</f>
        <v/>
      </c>
      <c r="V385" s="12" t="str">
        <f>IFERROR(__xludf.DUMMYFUNCTION("TEXTJOIN("", "", TRUE, FILTER(Validations!$L$2:$L$100, ISNUMBER(SEARCH(Validations!$L$2:$L$100, J385))))"),"")</f>
        <v/>
      </c>
      <c r="W385" s="12" t="str">
        <f>IFERROR(__xludf.DUMMYFUNCTION("IFERROR(TEXTJOIN("", "", TRUE, FILTER(Validations!$M$2:$M$100, ISNUMBER(SEARCH(Validations!$M$2:$M$100 &amp; "" saving throw"", J385)))), """")"),"Dexterity")</f>
        <v>Dexterity</v>
      </c>
      <c r="X385" s="12"/>
      <c r="Y385" s="12"/>
      <c r="Z385" s="12" t="str">
        <f>IFERROR(__xludf.DUMMYFUNCTION("IFERROR(TEXTJOIN("", "", TRUE, FILTER(Validations!$N$2:$N$100, ISNUMBER(SEARCH(Validations!$N$2:$N$100 &amp; "" check"", J385)))), """")"),"")</f>
        <v/>
      </c>
      <c r="AA385" s="12" t="str">
        <f>IFERROR(__xludf.DUMMYFUNCTION("IFERROR(TEXTJOIN("", "", TRUE, FILTER(Validations!$N$2:$N$100, ISNUMBER(SEARCH(Validations!$N$2:$N$100 &amp; "" check"", W385)))), """")"),"")</f>
        <v/>
      </c>
      <c r="AB385" s="23" t="str">
        <f>IFERROR(__xludf.DUMMYFUNCTION("IFERROR(CONCATENATE(IF(ISNUMBER(SEARCH(Validations!$M$2:$M$100 &amp; "" spell save"", J385)),""Spell Save"",""""), REGEXEXTRACT(J385, ""DC (\d+)"")), """")"),"")</f>
        <v/>
      </c>
      <c r="AC385" s="24" t="b">
        <v>0</v>
      </c>
      <c r="AD385" s="24" t="b">
        <v>0</v>
      </c>
      <c r="AE385" s="36" t="s">
        <v>69</v>
      </c>
      <c r="AF385" s="25">
        <f>IFERROR(__xludf.DUMMYFUNCTION("IFERROR(VALUE(REGEXEXTRACT(AE385, ""\d+"")), 1)"),1.0)</f>
        <v>1</v>
      </c>
      <c r="AG385" s="12" t="str">
        <f>IFERROR(__xludf.DUMMYFUNCTION("IF(
  ISNUMBER(SEARCH(""Bonus Action"", AE385)),
  ""Bonus Action"",
  IF(
    ISNUMBER(SEARCH(""Reaction"", AE385)),
    ""Reaction"",
    IF(
      ISNUMBER(SEARCH(""Action"", AE385)),
      ""Action"",
      TEXTJOIN("", "", TRUE, FILTER(Validations!$S"&amp;"$2:$S$100, ISNUMBER(SEARCH(Validations!$S$2:$S$100, AE385))))
    )
  )
)"),"Action")</f>
        <v>Action</v>
      </c>
      <c r="AH385" s="36"/>
      <c r="AI385" s="27" t="s">
        <v>70</v>
      </c>
      <c r="AJ385" s="26" t="str">
        <f>IFERROR(__xludf.DUMMYFUNCTION("TEXTJOIN("", "", TRUE, FILTER(Validations!$T$2:$T$100, ISNUMBER(SEARCH(Validations!$T$2:$T$100, AI385))))"),"Instantaneous")</f>
        <v>Instantaneous</v>
      </c>
      <c r="AK385" s="26" t="str">
        <f>IFERROR(__xludf.DUMMYFUNCTION("IFERROR(VALUE(REGEXEXTRACT(AI385, ""\d+"")), """")"),"")</f>
        <v/>
      </c>
      <c r="AL385" s="26" t="str">
        <f>IFERROR(__xludf.DUMMYFUNCTION("TEXTJOIN("", "", TRUE, FILTER(Validations!$U$2:$U$100, ISNUMBER(SEARCH(Validations!$U$2:$U$100, AI385))))"),"")</f>
        <v/>
      </c>
      <c r="AM385" s="24" t="b">
        <f t="shared" si="1"/>
        <v>0</v>
      </c>
      <c r="AN385" s="24" t="b">
        <v>0</v>
      </c>
      <c r="AO385" s="22" t="s">
        <v>440</v>
      </c>
      <c r="AP385" s="12" t="str">
        <f>IFERROR(__xludf.DUMMYFUNCTION("IF(TEXTJOIN("", "", TRUE, FILTER(Validations!$Q$2:$Q$100, ISNUMBER(SEARCH(Validations!$Q$2:$Q$100, AO385)))) = """", Validations!$Q$2, TEXTJOIN("", "", TRUE, FILTER(Validations!$Q$2:$Q$100, ISNUMBER(SEARCH(Validations!$Q$2:$Q$100, AO385)))))"),"Point")</f>
        <v>Point</v>
      </c>
      <c r="AQ385" s="12">
        <f>IFERROR(__xludf.DUMMYFUNCTION("IFERROR(VALUE(REGEXEXTRACT(AO385, ""\d+"")), """")"),60.0)</f>
        <v>60</v>
      </c>
      <c r="AR385" s="12" t="str">
        <f>IFERROR(__xludf.DUMMYFUNCTION("TEXTJOIN("", "", TRUE, FILTER(Validations!$R$2:$R$100, ISNUMBER(SEARCH(Validations!$R$2:$R$100, AO385))))"),"Feet")</f>
        <v>Feet</v>
      </c>
      <c r="AS385" s="27"/>
      <c r="AT385" s="12" t="str">
        <f>IFERROR(__xludf.DUMMYFUNCTION("IFERROR(TEXTJOIN("", "", TRUE, FILTER(Validations!$I$2:$I$100, ISNUMBER(SEARCH(Validations!$I$2:$I$100, AS385)))), """")"),"")</f>
        <v/>
      </c>
      <c r="AU385" s="16" t="str">
        <f t="array" ref="AU385">IFERROR(INDEX(Validations!$J$2:$J$100, MATCH(TRUE, ISNUMBER(SEARCH(Validations!$I$2:$I$100, AT385)), 0)), "")</f>
        <v/>
      </c>
      <c r="AV385" s="12" t="str">
        <f>IFERROR(__xludf.DUMMYFUNCTION("IFERROR(VALUE(REGEXEXTRACT(AS385, ""\d+"")), """")"),"")</f>
        <v/>
      </c>
      <c r="AW385" s="12" t="str">
        <f>IFERROR(__xludf.DUMMYFUNCTION("IFERROR(TEXTJOIN("", "", TRUE, FILTER(Validations!$Q$2:$Q$100, ISNUMBER(SEARCH(Validations!$Q$2:$Q$100, AS385)))), """")"),"")</f>
        <v/>
      </c>
      <c r="AX385" s="36" t="s">
        <v>152</v>
      </c>
      <c r="AY385" s="28" t="str">
        <f>IFERROR(__xludf.DUMMYFUNCTION("TEXTJOIN("", "", TRUE, FILTER(Validations!$Y$2:$Y$100, ISNUMBER(SEARCH(Validations!$X$2:$X$100, AX385))))"),"V, S, R")</f>
        <v>V, S, R</v>
      </c>
      <c r="AZ385" s="20" t="s">
        <v>1844</v>
      </c>
      <c r="BA385" s="12"/>
      <c r="BB385" s="22"/>
      <c r="BC385" s="22"/>
      <c r="BD385" s="36" t="s">
        <v>1845</v>
      </c>
      <c r="BE385" s="27"/>
      <c r="BF385" s="22"/>
      <c r="BG385" s="27"/>
      <c r="BH385" s="27"/>
      <c r="BI385" s="12" t="str">
        <f>IFERROR(__xludf.DUMMYFUNCTION("IFERROR(TEXTJOIN("", "", TRUE, FILTER(SRD!$A$2:$A$1000, EXACT(SRD!$A$2:$A$1000, J385))), """")"),"")</f>
        <v/>
      </c>
      <c r="BJ385" s="29"/>
      <c r="BK385" s="29"/>
    </row>
    <row r="386">
      <c r="A386" s="30" t="s">
        <v>1846</v>
      </c>
      <c r="B386" s="22"/>
      <c r="C386" s="31"/>
      <c r="D386" s="31" t="s">
        <v>74</v>
      </c>
      <c r="E386" s="31"/>
      <c r="F386" s="40" t="s">
        <v>102</v>
      </c>
      <c r="G386" s="50" t="s">
        <v>1837</v>
      </c>
      <c r="H386" s="16" t="s">
        <v>103</v>
      </c>
      <c r="I386" s="16" t="str">
        <f t="array" ref="I386">INDEX(Validations!$C$2:$C$100, MATCH(TRUE, ISNUMBER(SEARCH(Validations!$B$2:$B$100, H386)), 0))</f>
        <v>C</v>
      </c>
      <c r="J386" s="17" t="s">
        <v>1847</v>
      </c>
      <c r="K386" s="18"/>
      <c r="L386" s="17"/>
      <c r="M386" s="17"/>
      <c r="N386" s="27"/>
      <c r="O386" s="17"/>
      <c r="P386" s="21"/>
      <c r="Q386" s="21"/>
      <c r="R386" s="22"/>
      <c r="S386" s="17" t="str">
        <f>IFERROR(__xludf.DUMMYFUNCTION("IFERROR(REGEXEXTRACT(J386, ""(\d{1,3}[dD]\d{1,3})""), """")"),"1d10")</f>
        <v>1d10</v>
      </c>
      <c r="T386" s="17" t="str">
        <f>IFERROR(__xludf.DUMMYFUNCTION("IF(COUNTIF(ARRAYFORMULA(LOWER(Validations!$O$2:$O$100)), LOWER(REGEXEXTRACT(J386, ""\d{1,3}[dD]\d{1,3}\s+(\w+)"")))&gt;0, REGEXEXTRACT(J386, ""\d{1,3}[dD]\d{1,3}\s+(\w+)""), """")"),"")</f>
        <v/>
      </c>
      <c r="U386" s="17" t="str">
        <f>IFERROR(__xludf.DUMMYFUNCTION("IF(COUNTIF(ARRAYFORMULA(LOWER(Validations!$P$2:$P$100)), LOWER(REGEXEXTRACT(J386, ""\d{1,3}[dD]\d{1,3}\s+(\w+)"")))&gt;0, REGEXEXTRACT(J386, ""\d{1,3}[dD]\d{1,3}\s+(\w+)""), """")"),"")</f>
        <v/>
      </c>
      <c r="V386" s="12" t="str">
        <f>IFERROR(__xludf.DUMMYFUNCTION("TEXTJOIN("", "", TRUE, FILTER(Validations!$L$2:$L$100, ISNUMBER(SEARCH(Validations!$L$2:$L$100, J386))))"),"")</f>
        <v/>
      </c>
      <c r="W386" s="12" t="str">
        <f>IFERROR(__xludf.DUMMYFUNCTION("IFERROR(TEXTJOIN("", "", TRUE, FILTER(Validations!$M$2:$M$100, ISNUMBER(SEARCH(Validations!$M$2:$M$100 &amp; "" saving throw"", J386)))), """")"),"Wisdom")</f>
        <v>Wisdom</v>
      </c>
      <c r="X386" s="12"/>
      <c r="Y386" s="12"/>
      <c r="Z386" s="12" t="str">
        <f>IFERROR(__xludf.DUMMYFUNCTION("IFERROR(TEXTJOIN("", "", TRUE, FILTER(Validations!$N$2:$N$100, ISNUMBER(SEARCH(Validations!$N$2:$N$100 &amp; "" check"", J386)))), """")"),"")</f>
        <v/>
      </c>
      <c r="AA386" s="12" t="str">
        <f>IFERROR(__xludf.DUMMYFUNCTION("IFERROR(TEXTJOIN("", "", TRUE, FILTER(Validations!$N$2:$N$100, ISNUMBER(SEARCH(Validations!$N$2:$N$100 &amp; "" check"", W386)))), """")"),"")</f>
        <v/>
      </c>
      <c r="AB386" s="23" t="str">
        <f>IFERROR(__xludf.DUMMYFUNCTION("IFERROR(CONCATENATE(IF(ISNUMBER(SEARCH(Validations!$M$2:$M$100 &amp; "" spell save"", J386)),""Spell Save"",""""), REGEXEXTRACT(J386, ""DC (\d+)"")), """")"),"")</f>
        <v/>
      </c>
      <c r="AC386" s="24" t="b">
        <v>0</v>
      </c>
      <c r="AD386" s="24" t="b">
        <v>0</v>
      </c>
      <c r="AE386" s="36" t="s">
        <v>92</v>
      </c>
      <c r="AF386" s="25">
        <f>IFERROR(__xludf.DUMMYFUNCTION("IFERROR(VALUE(REGEXEXTRACT(AE386, ""\d+"")), 1)"),1.0)</f>
        <v>1</v>
      </c>
      <c r="AG386" s="12" t="str">
        <f>IFERROR(__xludf.DUMMYFUNCTION("IF(
  ISNUMBER(SEARCH(""Bonus Action"", AE386)),
  ""Bonus Action"",
  IF(
    ISNUMBER(SEARCH(""Reaction"", AE386)),
    ""Reaction"",
    IF(
      ISNUMBER(SEARCH(""Action"", AE386)),
      ""Action"",
      TEXTJOIN("", "", TRUE, FILTER(Validations!$S"&amp;"$2:$S$100, ISNUMBER(SEARCH(Validations!$S$2:$S$100, AE386))))
    )
  )
)"),"Minutes")</f>
        <v>Minutes</v>
      </c>
      <c r="AH386" s="22"/>
      <c r="AI386" s="27" t="s">
        <v>255</v>
      </c>
      <c r="AJ386" s="26" t="str">
        <f>IFERROR(__xludf.DUMMYFUNCTION("TEXTJOIN("", "", TRUE, FILTER(Validations!$T$2:$T$100, ISNUMBER(SEARCH(Validations!$T$2:$T$100, AI386))))"),"Permanent")</f>
        <v>Permanent</v>
      </c>
      <c r="AK386" s="26" t="str">
        <f>IFERROR(__xludf.DUMMYFUNCTION("IFERROR(VALUE(REGEXEXTRACT(AI386, ""\d+"")), """")"),"")</f>
        <v/>
      </c>
      <c r="AL386" s="26" t="str">
        <f>IFERROR(__xludf.DUMMYFUNCTION("TEXTJOIN("", "", TRUE, FILTER(Validations!$U$2:$U$100, ISNUMBER(SEARCH(Validations!$U$2:$U$100, AI386))))"),"")</f>
        <v/>
      </c>
      <c r="AM386" s="24" t="b">
        <f t="shared" si="1"/>
        <v>0</v>
      </c>
      <c r="AN386" s="24" t="b">
        <v>0</v>
      </c>
      <c r="AO386" s="22" t="s">
        <v>112</v>
      </c>
      <c r="AP386" s="12" t="str">
        <f>IFERROR(__xludf.DUMMYFUNCTION("IF(TEXTJOIN("", "", TRUE, FILTER(Validations!$Q$2:$Q$100, ISNUMBER(SEARCH(Validations!$Q$2:$Q$100, AO386)))) = """", Validations!$Q$2, TEXTJOIN("", "", TRUE, FILTER(Validations!$Q$2:$Q$100, ISNUMBER(SEARCH(Validations!$Q$2:$Q$100, AO386)))))"),"Point")</f>
        <v>Point</v>
      </c>
      <c r="AQ386" s="12">
        <f>IFERROR(__xludf.DUMMYFUNCTION("IFERROR(VALUE(REGEXEXTRACT(AO386, ""\d+"")), """")"),30.0)</f>
        <v>30</v>
      </c>
      <c r="AR386" s="12" t="str">
        <f>IFERROR(__xludf.DUMMYFUNCTION("TEXTJOIN("", "", TRUE, FILTER(Validations!$R$2:$R$100, ISNUMBER(SEARCH(Validations!$R$2:$R$100, AO386))))"),"Feet")</f>
        <v>Feet</v>
      </c>
      <c r="AS386" s="27"/>
      <c r="AT386" s="12" t="str">
        <f>IFERROR(__xludf.DUMMYFUNCTION("IFERROR(TEXTJOIN("", "", TRUE, FILTER(Validations!$I$2:$I$100, ISNUMBER(SEARCH(Validations!$I$2:$I$100, AS386)))), """")"),"")</f>
        <v/>
      </c>
      <c r="AU386" s="16" t="str">
        <f t="array" ref="AU386">IFERROR(INDEX(Validations!$J$2:$J$100, MATCH(TRUE, ISNUMBER(SEARCH(Validations!$I$2:$I$100, AT386)), 0)), "")</f>
        <v/>
      </c>
      <c r="AV386" s="12" t="str">
        <f>IFERROR(__xludf.DUMMYFUNCTION("IFERROR(VALUE(REGEXEXTRACT(AS386, ""\d+"")), """")"),"")</f>
        <v/>
      </c>
      <c r="AW386" s="12" t="str">
        <f>IFERROR(__xludf.DUMMYFUNCTION("IFERROR(TEXTJOIN("", "", TRUE, FILTER(Validations!$Q$2:$Q$100, ISNUMBER(SEARCH(Validations!$Q$2:$Q$100, AS386)))), """")"),"")</f>
        <v/>
      </c>
      <c r="AX386" s="28" t="s">
        <v>152</v>
      </c>
      <c r="AY386" s="28" t="str">
        <f>IFERROR(__xludf.DUMMYFUNCTION("TEXTJOIN("", "", TRUE, FILTER(Validations!$Y$2:$Y$100, ISNUMBER(SEARCH(Validations!$X$2:$X$100, AX386))))"),"V, S, R")</f>
        <v>V, S, R</v>
      </c>
      <c r="AZ386" s="20" t="s">
        <v>1848</v>
      </c>
      <c r="BA386" s="22"/>
      <c r="BB386" s="22"/>
      <c r="BC386" s="22"/>
      <c r="BD386" s="22"/>
      <c r="BE386" s="27"/>
      <c r="BF386" s="22"/>
      <c r="BG386" s="27"/>
      <c r="BH386" s="27"/>
      <c r="BI386" s="12" t="str">
        <f>IFERROR(__xludf.DUMMYFUNCTION("IFERROR(TEXTJOIN("", "", TRUE, FILTER(SRD!$A$2:$A$1000, EXACT(SRD!$A$2:$A$1000, J386))), """")"),"")</f>
        <v/>
      </c>
      <c r="BJ386" s="29"/>
      <c r="BK386" s="29"/>
    </row>
    <row r="387">
      <c r="A387" s="30" t="s">
        <v>1849</v>
      </c>
      <c r="B387" s="22"/>
      <c r="C387" s="31"/>
      <c r="D387" s="31" t="s">
        <v>74</v>
      </c>
      <c r="E387" s="31"/>
      <c r="F387" s="40" t="s">
        <v>199</v>
      </c>
      <c r="G387" s="50" t="s">
        <v>1837</v>
      </c>
      <c r="H387" s="31" t="s">
        <v>103</v>
      </c>
      <c r="I387" s="16" t="str">
        <f t="array" ref="I387">INDEX(Validations!$C$2:$C$100, MATCH(TRUE, ISNUMBER(SEARCH(Validations!$B$2:$B$100, H387)), 0))</f>
        <v>C</v>
      </c>
      <c r="J387" s="17" t="s">
        <v>1850</v>
      </c>
      <c r="K387" s="18"/>
      <c r="L387" s="17"/>
      <c r="M387" s="17"/>
      <c r="N387" s="27"/>
      <c r="O387" s="17"/>
      <c r="P387" s="21"/>
      <c r="Q387" s="21"/>
      <c r="R387" s="22"/>
      <c r="S387" s="17" t="str">
        <f>IFERROR(__xludf.DUMMYFUNCTION("IFERROR(REGEXEXTRACT(J387, ""(\d{1,3}[dD]\d{1,3})""), """")"),"14d10")</f>
        <v>14d10</v>
      </c>
      <c r="T387" s="17" t="str">
        <f>IFERROR(__xludf.DUMMYFUNCTION("IF(COUNTIF(ARRAYFORMULA(LOWER(Validations!$O$2:$O$100)), LOWER(REGEXEXTRACT(J387, ""\d{1,3}[dD]\d{1,3}\s+(\w+)"")))&gt;0, REGEXEXTRACT(J387, ""\d{1,3}[dD]\d{1,3}\s+(\w+)""), """")"),"impact")</f>
        <v>impact</v>
      </c>
      <c r="U387" s="17" t="str">
        <f>IFERROR(__xludf.DUMMYFUNCTION("IF(COUNTIF(ARRAYFORMULA(LOWER(Validations!$P$2:$P$100)), LOWER(REGEXEXTRACT(J387, ""\d{1,3}[dD]\d{1,3}\s+(\w+)"")))&gt;0, REGEXEXTRACT(J387, ""\d{1,3}[dD]\d{1,3}\s+(\w+)""), """")"),"")</f>
        <v/>
      </c>
      <c r="V387" s="12" t="str">
        <f>IFERROR(__xludf.DUMMYFUNCTION("TEXTJOIN("", "", TRUE, FILTER(Validations!$L$2:$L$100, ISNUMBER(SEARCH(Validations!$L$2:$L$100, J387))))"),"")</f>
        <v/>
      </c>
      <c r="W387" s="12" t="str">
        <f>IFERROR(__xludf.DUMMYFUNCTION("IFERROR(TEXTJOIN("", "", TRUE, FILTER(Validations!$M$2:$M$100, ISNUMBER(SEARCH(Validations!$M$2:$M$100 &amp; "" saving throw"", J387)))), """")"),"Dexterity")</f>
        <v>Dexterity</v>
      </c>
      <c r="X387" s="12"/>
      <c r="Y387" s="12"/>
      <c r="Z387" s="12" t="str">
        <f>IFERROR(__xludf.DUMMYFUNCTION("IFERROR(TEXTJOIN("", "", TRUE, FILTER(Validations!$N$2:$N$100, ISNUMBER(SEARCH(Validations!$N$2:$N$100 &amp; "" check"", J387)))), """")"),"")</f>
        <v/>
      </c>
      <c r="AA387" s="12" t="str">
        <f>IFERROR(__xludf.DUMMYFUNCTION("IFERROR(TEXTJOIN("", "", TRUE, FILTER(Validations!$N$2:$N$100, ISNUMBER(SEARCH(Validations!$N$2:$N$100 &amp; "" check"", W387)))), """")"),"")</f>
        <v/>
      </c>
      <c r="AB387" s="23" t="str">
        <f>IFERROR(__xludf.DUMMYFUNCTION("IFERROR(CONCATENATE(IF(ISNUMBER(SEARCH(Validations!$M$2:$M$100 &amp; "" spell save"", J387)),""Spell Save"",""""), REGEXEXTRACT(J387, ""DC (\d+)"")), """")"),"")</f>
        <v/>
      </c>
      <c r="AC387" s="24" t="b">
        <v>0</v>
      </c>
      <c r="AD387" s="24" t="b">
        <v>0</v>
      </c>
      <c r="AE387" s="36" t="s">
        <v>69</v>
      </c>
      <c r="AF387" s="25">
        <f>IFERROR(__xludf.DUMMYFUNCTION("IFERROR(VALUE(REGEXEXTRACT(AE387, ""\d+"")), 1)"),1.0)</f>
        <v>1</v>
      </c>
      <c r="AG387" s="12" t="str">
        <f>IFERROR(__xludf.DUMMYFUNCTION("IF(
  ISNUMBER(SEARCH(""Bonus Action"", AE387)),
  ""Bonus Action"",
  IF(
    ISNUMBER(SEARCH(""Reaction"", AE387)),
    ""Reaction"",
    IF(
      ISNUMBER(SEARCH(""Action"", AE387)),
      ""Action"",
      TEXTJOIN("", "", TRUE, FILTER(Validations!$S"&amp;"$2:$S$100, ISNUMBER(SEARCH(Validations!$S$2:$S$100, AE387))))
    )
  )
)"),"Action")</f>
        <v>Action</v>
      </c>
      <c r="AH387" s="36"/>
      <c r="AI387" s="20" t="s">
        <v>92</v>
      </c>
      <c r="AJ387" s="26" t="str">
        <f>IFERROR(__xludf.DUMMYFUNCTION("TEXTJOIN("", "", TRUE, FILTER(Validations!$T$2:$T$100, ISNUMBER(SEARCH(Validations!$T$2:$T$100, AI387))))"),"")</f>
        <v/>
      </c>
      <c r="AK387" s="26">
        <f>IFERROR(__xludf.DUMMYFUNCTION("IFERROR(VALUE(REGEXEXTRACT(AI387, ""\d+"")), """")"),1.0)</f>
        <v>1</v>
      </c>
      <c r="AL387" s="26" t="str">
        <f>IFERROR(__xludf.DUMMYFUNCTION("TEXTJOIN("", "", TRUE, FILTER(Validations!$U$2:$U$100, ISNUMBER(SEARCH(Validations!$U$2:$U$100, AI387))))"),"Minutes")</f>
        <v>Minutes</v>
      </c>
      <c r="AM387" s="24" t="b">
        <f t="shared" si="1"/>
        <v>0</v>
      </c>
      <c r="AN387" s="24" t="b">
        <v>1</v>
      </c>
      <c r="AO387" s="22" t="s">
        <v>1851</v>
      </c>
      <c r="AP387" s="12" t="str">
        <f>IFERROR(__xludf.DUMMYFUNCTION("IF(TEXTJOIN("", "", TRUE, FILTER(Validations!$Q$2:$Q$100, ISNUMBER(SEARCH(Validations!$Q$2:$Q$100, AO387)))) = """", Validations!$Q$2, TEXTJOIN("", "", TRUE, FILTER(Validations!$Q$2:$Q$100, ISNUMBER(SEARCH(Validations!$Q$2:$Q$100, AO387)))))"),"Point")</f>
        <v>Point</v>
      </c>
      <c r="AQ387" s="12">
        <f>IFERROR(__xludf.DUMMYFUNCTION("IFERROR(VALUE(REGEXEXTRACT(AO387, ""\d+"")), """")"),150.0)</f>
        <v>150</v>
      </c>
      <c r="AR387" s="12" t="str">
        <f>IFERROR(__xludf.DUMMYFUNCTION("TEXTJOIN("", "", TRUE, FILTER(Validations!$R$2:$R$100, ISNUMBER(SEARCH(Validations!$R$2:$R$100, AO387))))"),"Feet")</f>
        <v>Feet</v>
      </c>
      <c r="AS387" s="27"/>
      <c r="AT387" s="12" t="str">
        <f>IFERROR(__xludf.DUMMYFUNCTION("IFERROR(TEXTJOIN("", "", TRUE, FILTER(Validations!$I$2:$I$100, ISNUMBER(SEARCH(Validations!$I$2:$I$100, AS387)))), """")"),"")</f>
        <v/>
      </c>
      <c r="AU387" s="16" t="str">
        <f t="array" ref="AU387">IFERROR(INDEX(Validations!$J$2:$J$100, MATCH(TRUE, ISNUMBER(SEARCH(Validations!$I$2:$I$100, AT387)), 0)), "")</f>
        <v/>
      </c>
      <c r="AV387" s="12" t="str">
        <f>IFERROR(__xludf.DUMMYFUNCTION("IFERROR(VALUE(REGEXEXTRACT(AS387, ""\d+"")), """")"),"")</f>
        <v/>
      </c>
      <c r="AW387" s="12" t="str">
        <f>IFERROR(__xludf.DUMMYFUNCTION("IFERROR(TEXTJOIN("", "", TRUE, FILTER(Validations!$Q$2:$Q$100, ISNUMBER(SEARCH(Validations!$Q$2:$Q$100, AS387)))), """")"),"")</f>
        <v/>
      </c>
      <c r="AX387" s="28" t="s">
        <v>152</v>
      </c>
      <c r="AY387" s="28" t="str">
        <f>IFERROR(__xludf.DUMMYFUNCTION("TEXTJOIN("", "", TRUE, FILTER(Validations!$Y$2:$Y$100, ISNUMBER(SEARCH(Validations!$X$2:$X$100, AX387))))"),"V, S, R")</f>
        <v>V, S, R</v>
      </c>
      <c r="AZ387" s="20" t="s">
        <v>1521</v>
      </c>
      <c r="BA387" s="22"/>
      <c r="BB387" s="22"/>
      <c r="BC387" s="22"/>
      <c r="BD387" s="22"/>
      <c r="BE387" s="27"/>
      <c r="BF387" s="22"/>
      <c r="BG387" s="27"/>
      <c r="BH387" s="27"/>
      <c r="BI387" s="12" t="str">
        <f>IFERROR(__xludf.DUMMYFUNCTION("IFERROR(TEXTJOIN("", "", TRUE, FILTER(SRD!$A$2:$A$1000, EXACT(SRD!$A$2:$A$1000, J387))), """")"),"")</f>
        <v/>
      </c>
      <c r="BJ387" s="29"/>
      <c r="BK387" s="29"/>
    </row>
    <row r="388">
      <c r="A388" s="30" t="s">
        <v>1852</v>
      </c>
      <c r="B388" s="22"/>
      <c r="C388" s="16"/>
      <c r="D388" s="16" t="s">
        <v>1853</v>
      </c>
      <c r="E388" s="16"/>
      <c r="F388" s="32" t="s">
        <v>365</v>
      </c>
      <c r="G388" s="50" t="s">
        <v>1837</v>
      </c>
      <c r="H388" s="31" t="s">
        <v>85</v>
      </c>
      <c r="I388" s="16" t="str">
        <f t="array" ref="I388">INDEX(Validations!$C$2:$C$100, MATCH(TRUE, ISNUMBER(SEARCH(Validations!$B$2:$B$100, H388)), 0))</f>
        <v>T</v>
      </c>
      <c r="J388" s="17" t="s">
        <v>1854</v>
      </c>
      <c r="K388" s="18"/>
      <c r="L388" s="17"/>
      <c r="M388" s="17"/>
      <c r="N388" s="27"/>
      <c r="O388" s="17"/>
      <c r="P388" s="21"/>
      <c r="Q388" s="21"/>
      <c r="R388" s="22"/>
      <c r="S388" s="17" t="str">
        <f>IFERROR(__xludf.DUMMYFUNCTION("IFERROR(REGEXEXTRACT(J388, ""(\d{1,3}[dD]\d{1,3})""), """")"),"")</f>
        <v/>
      </c>
      <c r="T388" s="17" t="str">
        <f>IFERROR(__xludf.DUMMYFUNCTION("IF(COUNTIF(ARRAYFORMULA(LOWER(Validations!$O$2:$O$100)), LOWER(REGEXEXTRACT(J388, ""\d{1,3}[dD]\d{1,3}\s+(\w+)"")))&gt;0, REGEXEXTRACT(J388, ""\d{1,3}[dD]\d{1,3}\s+(\w+)""), """")"),"")</f>
        <v/>
      </c>
      <c r="U388" s="17" t="str">
        <f>IFERROR(__xludf.DUMMYFUNCTION("IF(COUNTIF(ARRAYFORMULA(LOWER(Validations!$P$2:$P$100)), LOWER(REGEXEXTRACT(J388, ""\d{1,3}[dD]\d{1,3}\s+(\w+)"")))&gt;0, REGEXEXTRACT(J388, ""\d{1,3}[dD]\d{1,3}\s+(\w+)""), """")"),"")</f>
        <v/>
      </c>
      <c r="V388" s="12" t="str">
        <f>IFERROR(__xludf.DUMMYFUNCTION("TEXTJOIN("", "", TRUE, FILTER(Validations!$L$2:$L$100, ISNUMBER(SEARCH(Validations!$L$2:$L$100, J388))))"),"")</f>
        <v/>
      </c>
      <c r="W388" s="12" t="str">
        <f>IFERROR(__xludf.DUMMYFUNCTION("IFERROR(TEXTJOIN("", "", TRUE, FILTER(Validations!$M$2:$M$100, ISNUMBER(SEARCH(Validations!$M$2:$M$100 &amp; "" saving throw"", J388)))), """")"),"Constitution")</f>
        <v>Constitution</v>
      </c>
      <c r="X388" s="12"/>
      <c r="Y388" s="12"/>
      <c r="Z388" s="12" t="str">
        <f>IFERROR(__xludf.DUMMYFUNCTION("IFERROR(TEXTJOIN("", "", TRUE, FILTER(Validations!$N$2:$N$100, ISNUMBER(SEARCH(Validations!$N$2:$N$100 &amp; "" check"", J388)))), """")"),"")</f>
        <v/>
      </c>
      <c r="AA388" s="12" t="str">
        <f>IFERROR(__xludf.DUMMYFUNCTION("IFERROR(TEXTJOIN("", "", TRUE, FILTER(Validations!$N$2:$N$100, ISNUMBER(SEARCH(Validations!$N$2:$N$100 &amp; "" check"", W388)))), """")"),"")</f>
        <v/>
      </c>
      <c r="AB388" s="23" t="str">
        <f>IFERROR(__xludf.DUMMYFUNCTION("IFERROR(CONCATENATE(IF(ISNUMBER(SEARCH(Validations!$M$2:$M$100 &amp; "" spell save"", J388)),""Spell Save"",""""), REGEXEXTRACT(J388, ""DC (\d+)"")), """")"),"")</f>
        <v/>
      </c>
      <c r="AC388" s="24" t="b">
        <v>0</v>
      </c>
      <c r="AD388" s="24" t="b">
        <v>0</v>
      </c>
      <c r="AE388" s="12" t="s">
        <v>69</v>
      </c>
      <c r="AF388" s="25">
        <f>IFERROR(__xludf.DUMMYFUNCTION("IFERROR(VALUE(REGEXEXTRACT(AE388, ""\d+"")), 1)"),1.0)</f>
        <v>1</v>
      </c>
      <c r="AG388" s="12" t="str">
        <f>IFERROR(__xludf.DUMMYFUNCTION("IF(
  ISNUMBER(SEARCH(""Bonus Action"", AE388)),
  ""Bonus Action"",
  IF(
    ISNUMBER(SEARCH(""Reaction"", AE388)),
    ""Reaction"",
    IF(
      ISNUMBER(SEARCH(""Action"", AE388)),
      ""Action"",
      TEXTJOIN("", "", TRUE, FILTER(Validations!$S"&amp;"$2:$S$100, ISNUMBER(SEARCH(Validations!$S$2:$S$100, AE388))))
    )
  )
)"),"Action")</f>
        <v>Action</v>
      </c>
      <c r="AH388" s="12"/>
      <c r="AI388" s="27" t="s">
        <v>70</v>
      </c>
      <c r="AJ388" s="26" t="str">
        <f>IFERROR(__xludf.DUMMYFUNCTION("TEXTJOIN("", "", TRUE, FILTER(Validations!$T$2:$T$100, ISNUMBER(SEARCH(Validations!$T$2:$T$100, AI388))))"),"Instantaneous")</f>
        <v>Instantaneous</v>
      </c>
      <c r="AK388" s="26" t="str">
        <f>IFERROR(__xludf.DUMMYFUNCTION("IFERROR(VALUE(REGEXEXTRACT(AI388, ""\d+"")), """")"),"")</f>
        <v/>
      </c>
      <c r="AL388" s="26" t="str">
        <f>IFERROR(__xludf.DUMMYFUNCTION("TEXTJOIN("", "", TRUE, FILTER(Validations!$U$2:$U$100, ISNUMBER(SEARCH(Validations!$U$2:$U$100, AI388))))"),"")</f>
        <v/>
      </c>
      <c r="AM388" s="24" t="b">
        <f t="shared" si="1"/>
        <v>0</v>
      </c>
      <c r="AN388" s="24" t="b">
        <v>0</v>
      </c>
      <c r="AO388" s="22" t="s">
        <v>71</v>
      </c>
      <c r="AP388" s="12" t="str">
        <f>IFERROR(__xludf.DUMMYFUNCTION("IF(TEXTJOIN("", "", TRUE, FILTER(Validations!$Q$2:$Q$100, ISNUMBER(SEARCH(Validations!$Q$2:$Q$100, AO388)))) = """", Validations!$Q$2, TEXTJOIN("", "", TRUE, FILTER(Validations!$Q$2:$Q$100, ISNUMBER(SEARCH(Validations!$Q$2:$Q$100, AO388)))))"),"Point")</f>
        <v>Point</v>
      </c>
      <c r="AQ388" s="12" t="str">
        <f>IFERROR(__xludf.DUMMYFUNCTION("IFERROR(VALUE(REGEXEXTRACT(AO388, ""\d+"")), """")"),"")</f>
        <v/>
      </c>
      <c r="AR388" s="12" t="str">
        <f>IFERROR(__xludf.DUMMYFUNCTION("TEXTJOIN("", "", TRUE, FILTER(Validations!$R$2:$R$100, ISNUMBER(SEARCH(Validations!$R$2:$R$100, AO388))))"),"Touch")</f>
        <v>Touch</v>
      </c>
      <c r="AS388" s="27"/>
      <c r="AT388" s="12" t="str">
        <f>IFERROR(__xludf.DUMMYFUNCTION("IFERROR(TEXTJOIN("", "", TRUE, FILTER(Validations!$I$2:$I$100, ISNUMBER(SEARCH(Validations!$I$2:$I$100, AS388)))), """")"),"")</f>
        <v/>
      </c>
      <c r="AU388" s="16" t="str">
        <f t="array" ref="AU388">IFERROR(INDEX(Validations!$J$2:$J$100, MATCH(TRUE, ISNUMBER(SEARCH(Validations!$I$2:$I$100, AT388)), 0)), "")</f>
        <v/>
      </c>
      <c r="AV388" s="12" t="str">
        <f>IFERROR(__xludf.DUMMYFUNCTION("IFERROR(VALUE(REGEXEXTRACT(AS388, ""\d+"")), """")"),"")</f>
        <v/>
      </c>
      <c r="AW388" s="12" t="str">
        <f>IFERROR(__xludf.DUMMYFUNCTION("IFERROR(TEXTJOIN("", "", TRUE, FILTER(Validations!$Q$2:$Q$100, ISNUMBER(SEARCH(Validations!$Q$2:$Q$100, AS388)))), """")"),"")</f>
        <v/>
      </c>
      <c r="AX388" s="28" t="s">
        <v>106</v>
      </c>
      <c r="AY388" s="28" t="str">
        <f>IFERROR(__xludf.DUMMYFUNCTION("TEXTJOIN("", "", TRUE, FILTER(Validations!$Y$2:$Y$100, ISNUMBER(SEARCH(Validations!$X$2:$X$100, AX388))))"),"S")</f>
        <v>S</v>
      </c>
      <c r="AZ388" s="27"/>
      <c r="BA388" s="22"/>
      <c r="BB388" s="22"/>
      <c r="BC388" s="22"/>
      <c r="BD388" s="22"/>
      <c r="BE388" s="27"/>
      <c r="BF388" s="22"/>
      <c r="BG388" s="27"/>
      <c r="BH388" s="27"/>
      <c r="BI388" s="12" t="str">
        <f>IFERROR(__xludf.DUMMYFUNCTION("IFERROR(TEXTJOIN("", "", TRUE, FILTER(SRD!$A$2:$A$1000, EXACT(SRD!$A$2:$A$1000, J388))), """")"),"")</f>
        <v/>
      </c>
      <c r="BJ388" s="29"/>
      <c r="BK388" s="29"/>
    </row>
    <row r="389">
      <c r="A389" s="11" t="s">
        <v>1855</v>
      </c>
      <c r="B389" s="12"/>
      <c r="C389" s="13"/>
      <c r="D389" s="13" t="s">
        <v>1856</v>
      </c>
      <c r="E389" s="13"/>
      <c r="F389" s="14" t="s">
        <v>566</v>
      </c>
      <c r="G389" s="15" t="s">
        <v>1837</v>
      </c>
      <c r="H389" s="31" t="s">
        <v>85</v>
      </c>
      <c r="I389" s="16" t="str">
        <f t="array" ref="I389">INDEX(Validations!$C$2:$C$100, MATCH(TRUE, ISNUMBER(SEARCH(Validations!$B$2:$B$100, H389)), 0))</f>
        <v>T</v>
      </c>
      <c r="J389" s="17" t="s">
        <v>1857</v>
      </c>
      <c r="K389" s="18"/>
      <c r="L389" s="17" t="s">
        <v>1858</v>
      </c>
      <c r="M389" s="17"/>
      <c r="N389" s="27"/>
      <c r="O389" s="17"/>
      <c r="P389" s="21"/>
      <c r="Q389" s="21"/>
      <c r="R389" s="22"/>
      <c r="S389" s="17" t="str">
        <f>IFERROR(__xludf.DUMMYFUNCTION("IFERROR(REGEXEXTRACT(J389, ""(\d{1,3}[dD]\d{1,3})""), """")"),"")</f>
        <v/>
      </c>
      <c r="T389" s="17" t="str">
        <f>IFERROR(__xludf.DUMMYFUNCTION("IF(COUNTIF(ARRAYFORMULA(LOWER(Validations!$O$2:$O$100)), LOWER(REGEXEXTRACT(J389, ""\d{1,3}[dD]\d{1,3}\s+(\w+)"")))&gt;0, REGEXEXTRACT(J389, ""\d{1,3}[dD]\d{1,3}\s+(\w+)""), """")"),"")</f>
        <v/>
      </c>
      <c r="U389" s="17" t="str">
        <f>IFERROR(__xludf.DUMMYFUNCTION("IF(COUNTIF(ARRAYFORMULA(LOWER(Validations!$P$2:$P$100)), LOWER(REGEXEXTRACT(J389, ""\d{1,3}[dD]\d{1,3}\s+(\w+)"")))&gt;0, REGEXEXTRACT(J389, ""\d{1,3}[dD]\d{1,3}\s+(\w+)""), """")"),"")</f>
        <v/>
      </c>
      <c r="V389" s="12" t="str">
        <f>IFERROR(__xludf.DUMMYFUNCTION("TEXTJOIN("", "", TRUE, FILTER(Validations!$L$2:$L$100, ISNUMBER(SEARCH(Validations!$L$2:$L$100, J389))))"),"Prone")</f>
        <v>Prone</v>
      </c>
      <c r="W389" s="12" t="str">
        <f>IFERROR(__xludf.DUMMYFUNCTION("IFERROR(TEXTJOIN("", "", TRUE, FILTER(Validations!$M$2:$M$100, ISNUMBER(SEARCH(Validations!$M$2:$M$100 &amp; "" saving throw"", J389)))), """")"),"Constitution")</f>
        <v>Constitution</v>
      </c>
      <c r="X389" s="12"/>
      <c r="Y389" s="12"/>
      <c r="Z389" s="12" t="str">
        <f>IFERROR(__xludf.DUMMYFUNCTION("IFERROR(TEXTJOIN("", "", TRUE, FILTER(Validations!$N$2:$N$100, ISNUMBER(SEARCH(Validations!$N$2:$N$100 &amp; "" check"", J389)))), """")"),"")</f>
        <v/>
      </c>
      <c r="AA389" s="12" t="str">
        <f>IFERROR(__xludf.DUMMYFUNCTION("IFERROR(TEXTJOIN("", "", TRUE, FILTER(Validations!$N$2:$N$100, ISNUMBER(SEARCH(Validations!$N$2:$N$100 &amp; "" check"", W389)))), """")"),"")</f>
        <v/>
      </c>
      <c r="AB389" s="23" t="str">
        <f>IFERROR(__xludf.DUMMYFUNCTION("IFERROR(CONCATENATE(IF(ISNUMBER(SEARCH(Validations!$M$2:$M$100 &amp; "" spell save"", J389)),""Spell Save"",""""), REGEXEXTRACT(J389, ""DC (\d+)"")), """")"),"")</f>
        <v/>
      </c>
      <c r="AC389" s="24" t="b">
        <v>0</v>
      </c>
      <c r="AD389" s="24" t="b">
        <v>0</v>
      </c>
      <c r="AE389" s="12" t="s">
        <v>69</v>
      </c>
      <c r="AF389" s="25">
        <f>IFERROR(__xludf.DUMMYFUNCTION("IFERROR(VALUE(REGEXEXTRACT(AE389, ""\d+"")), 1)"),1.0)</f>
        <v>1</v>
      </c>
      <c r="AG389" s="12" t="str">
        <f>IFERROR(__xludf.DUMMYFUNCTION("IF(
  ISNUMBER(SEARCH(""Bonus Action"", AE389)),
  ""Bonus Action"",
  IF(
    ISNUMBER(SEARCH(""Reaction"", AE389)),
    ""Reaction"",
    IF(
      ISNUMBER(SEARCH(""Action"", AE389)),
      ""Action"",
      TEXTJOIN("", "", TRUE, FILTER(Validations!$S"&amp;"$2:$S$100, ISNUMBER(SEARCH(Validations!$S$2:$S$100, AE389))))
    )
  )
)"),"Action")</f>
        <v>Action</v>
      </c>
      <c r="AH389" s="12"/>
      <c r="AI389" s="20" t="s">
        <v>1859</v>
      </c>
      <c r="AJ389" s="26" t="str">
        <f>IFERROR(__xludf.DUMMYFUNCTION("TEXTJOIN("", "", TRUE, FILTER(Validations!$T$2:$T$100, ISNUMBER(SEARCH(Validations!$T$2:$T$100, AI389))))"),"")</f>
        <v/>
      </c>
      <c r="AK389" s="26">
        <f>IFERROR(__xludf.DUMMYFUNCTION("IFERROR(VALUE(REGEXEXTRACT(AI389, ""\d+"")), """")"),10.0)</f>
        <v>10</v>
      </c>
      <c r="AL389" s="26" t="str">
        <f>IFERROR(__xludf.DUMMYFUNCTION("TEXTJOIN("", "", TRUE, FILTER(Validations!$U$2:$U$100, ISNUMBER(SEARCH(Validations!$U$2:$U$100, AI389))))"),"Minutes")</f>
        <v>Minutes</v>
      </c>
      <c r="AM389" s="24" t="b">
        <f t="shared" si="1"/>
        <v>1</v>
      </c>
      <c r="AN389" s="42" t="b">
        <v>1</v>
      </c>
      <c r="AO389" s="36" t="s">
        <v>112</v>
      </c>
      <c r="AP389" s="12" t="str">
        <f>IFERROR(__xludf.DUMMYFUNCTION("IF(TEXTJOIN("", "", TRUE, FILTER(Validations!$Q$2:$Q$100, ISNUMBER(SEARCH(Validations!$Q$2:$Q$100, AO389)))) = """", Validations!$Q$2, TEXTJOIN("", "", TRUE, FILTER(Validations!$Q$2:$Q$100, ISNUMBER(SEARCH(Validations!$Q$2:$Q$100, AO389)))))"),"Point")</f>
        <v>Point</v>
      </c>
      <c r="AQ389" s="12">
        <f>IFERROR(__xludf.DUMMYFUNCTION("IFERROR(VALUE(REGEXEXTRACT(AO389, ""\d+"")), """")"),30.0)</f>
        <v>30</v>
      </c>
      <c r="AR389" s="12" t="str">
        <f>IFERROR(__xludf.DUMMYFUNCTION("TEXTJOIN("", "", TRUE, FILTER(Validations!$R$2:$R$100, ISNUMBER(SEARCH(Validations!$R$2:$R$100, AO389))))"),"Feet")</f>
        <v>Feet</v>
      </c>
      <c r="AS389" s="27"/>
      <c r="AT389" s="12" t="str">
        <f>IFERROR(__xludf.DUMMYFUNCTION("IFERROR(TEXTJOIN("", "", TRUE, FILTER(Validations!$I$2:$I$100, ISNUMBER(SEARCH(Validations!$I$2:$I$100, AS389)))), """")"),"")</f>
        <v/>
      </c>
      <c r="AU389" s="16" t="str">
        <f t="array" ref="AU389">IFERROR(INDEX(Validations!$J$2:$J$100, MATCH(TRUE, ISNUMBER(SEARCH(Validations!$I$2:$I$100, AT389)), 0)), "")</f>
        <v/>
      </c>
      <c r="AV389" s="12" t="str">
        <f>IFERROR(__xludf.DUMMYFUNCTION("IFERROR(VALUE(REGEXEXTRACT(AS389, ""\d+"")), """")"),"")</f>
        <v/>
      </c>
      <c r="AW389" s="12" t="str">
        <f>IFERROR(__xludf.DUMMYFUNCTION("IFERROR(TEXTJOIN("", "", TRUE, FILTER(Validations!$Q$2:$Q$100, ISNUMBER(SEARCH(Validations!$Q$2:$Q$100, AS389)))), """")"),"")</f>
        <v/>
      </c>
      <c r="AX389" s="28" t="s">
        <v>94</v>
      </c>
      <c r="AY389" s="28" t="str">
        <f>IFERROR(__xludf.DUMMYFUNCTION("TEXTJOIN("", "", TRUE, FILTER(Validations!$Y$2:$Y$100, ISNUMBER(SEARCH(Validations!$X$2:$X$100, AX389))))"),"V, S, R")</f>
        <v>V, S, R</v>
      </c>
      <c r="AZ389" s="20" t="s">
        <v>1860</v>
      </c>
      <c r="BA389" s="12"/>
      <c r="BB389" s="22"/>
      <c r="BC389" s="22"/>
      <c r="BD389" s="22"/>
      <c r="BE389" s="27"/>
      <c r="BF389" s="28" t="s">
        <v>1861</v>
      </c>
      <c r="BG389" s="27"/>
      <c r="BH389" s="27"/>
      <c r="BI389" s="12" t="str">
        <f>IFERROR(__xludf.DUMMYFUNCTION("IFERROR(TEXTJOIN("", "", TRUE, FILTER(SRD!$A$2:$A$1000, EXACT(SRD!$A$2:$A$1000, J389))), """")"),"")</f>
        <v/>
      </c>
      <c r="BJ389" s="29"/>
      <c r="BK389" s="29"/>
    </row>
    <row r="390">
      <c r="A390" s="38" t="s">
        <v>1862</v>
      </c>
      <c r="B390" s="12"/>
      <c r="C390" s="43"/>
      <c r="D390" s="43" t="s">
        <v>1396</v>
      </c>
      <c r="E390" s="43"/>
      <c r="F390" s="39" t="s">
        <v>649</v>
      </c>
      <c r="G390" s="50" t="s">
        <v>1837</v>
      </c>
      <c r="H390" s="31" t="s">
        <v>85</v>
      </c>
      <c r="I390" s="16" t="str">
        <f t="array" ref="I390">INDEX(Validations!$C$2:$C$100, MATCH(TRUE, ISNUMBER(SEARCH(Validations!$B$2:$B$100, H390)), 0))</f>
        <v>T</v>
      </c>
      <c r="J390" s="52" t="s">
        <v>1863</v>
      </c>
      <c r="K390" s="51"/>
      <c r="L390" s="52"/>
      <c r="M390" s="52"/>
      <c r="N390" s="26" t="s">
        <v>1864</v>
      </c>
      <c r="O390" s="52"/>
      <c r="P390" s="53"/>
      <c r="Q390" s="53"/>
      <c r="R390" s="36" t="s">
        <v>840</v>
      </c>
      <c r="S390" s="17" t="str">
        <f>IFERROR(__xludf.DUMMYFUNCTION("IFERROR(REGEXEXTRACT(J390, ""(\d{1,3}[dD]\d{1,3})""), """")"),"")</f>
        <v/>
      </c>
      <c r="T390" s="17" t="str">
        <f>IFERROR(__xludf.DUMMYFUNCTION("IF(COUNTIF(ARRAYFORMULA(LOWER(Validations!$O$2:$O$100)), LOWER(REGEXEXTRACT(J390, ""\d{1,3}[dD]\d{1,3}\s+(\w+)"")))&gt;0, REGEXEXTRACT(J390, ""\d{1,3}[dD]\d{1,3}\s+(\w+)""), """")"),"")</f>
        <v/>
      </c>
      <c r="U390" s="17" t="str">
        <f>IFERROR(__xludf.DUMMYFUNCTION("IF(COUNTIF(ARRAYFORMULA(LOWER(Validations!$P$2:$P$100)), LOWER(REGEXEXTRACT(J390, ""\d{1,3}[dD]\d{1,3}\s+(\w+)"")))&gt;0, REGEXEXTRACT(J390, ""\d{1,3}[dD]\d{1,3}\s+(\w+)""), """")"),"")</f>
        <v/>
      </c>
      <c r="V390" s="12" t="str">
        <f>IFERROR(__xludf.DUMMYFUNCTION("TEXTJOIN("", "", TRUE, FILTER(Validations!$L$2:$L$100, ISNUMBER(SEARCH(Validations!$L$2:$L$100, J390))))"),"")</f>
        <v/>
      </c>
      <c r="W390" s="12" t="str">
        <f>IFERROR(__xludf.DUMMYFUNCTION("IFERROR(TEXTJOIN("", "", TRUE, FILTER(Validations!$M$2:$M$100, ISNUMBER(SEARCH(Validations!$M$2:$M$100 &amp; "" saving throw"", J390)))), """")"),"Constitution")</f>
        <v>Constitution</v>
      </c>
      <c r="X390" s="12"/>
      <c r="Y390" s="12"/>
      <c r="Z390" s="12" t="str">
        <f>IFERROR(__xludf.DUMMYFUNCTION("IFERROR(TEXTJOIN("", "", TRUE, FILTER(Validations!$N$2:$N$100, ISNUMBER(SEARCH(Validations!$N$2:$N$100 &amp; "" check"", J390)))), """")"),"")</f>
        <v/>
      </c>
      <c r="AA390" s="12" t="str">
        <f>IFERROR(__xludf.DUMMYFUNCTION("IFERROR(TEXTJOIN("", "", TRUE, FILTER(Validations!$N$2:$N$100, ISNUMBER(SEARCH(Validations!$N$2:$N$100 &amp; "" check"", W390)))), """")"),"")</f>
        <v/>
      </c>
      <c r="AB390" s="23" t="str">
        <f>IFERROR(__xludf.DUMMYFUNCTION("IFERROR(CONCATENATE(IF(ISNUMBER(SEARCH(Validations!$M$2:$M$100 &amp; "" spell save"", J390)),""Spell Save"",""""), REGEXEXTRACT(J390, ""DC (\d+)"")), """")"),"")</f>
        <v/>
      </c>
      <c r="AC390" s="24" t="b">
        <v>0</v>
      </c>
      <c r="AD390" s="24" t="b">
        <v>0</v>
      </c>
      <c r="AE390" s="12" t="s">
        <v>69</v>
      </c>
      <c r="AF390" s="25">
        <f>IFERROR(__xludf.DUMMYFUNCTION("IFERROR(VALUE(REGEXEXTRACT(AE390, ""\d+"")), 1)"),1.0)</f>
        <v>1</v>
      </c>
      <c r="AG390" s="12" t="str">
        <f>IFERROR(__xludf.DUMMYFUNCTION("IF(
  ISNUMBER(SEARCH(""Bonus Action"", AE390)),
  ""Bonus Action"",
  IF(
    ISNUMBER(SEARCH(""Reaction"", AE390)),
    ""Reaction"",
    IF(
      ISNUMBER(SEARCH(""Action"", AE390)),
      ""Action"",
      TEXTJOIN("", "", TRUE, FILTER(Validations!$S"&amp;"$2:$S$100, ISNUMBER(SEARCH(Validations!$S$2:$S$100, AE390))))
    )
  )
)"),"Action")</f>
        <v>Action</v>
      </c>
      <c r="AH390" s="12"/>
      <c r="AI390" s="26" t="s">
        <v>255</v>
      </c>
      <c r="AJ390" s="26" t="str">
        <f>IFERROR(__xludf.DUMMYFUNCTION("TEXTJOIN("", "", TRUE, FILTER(Validations!$T$2:$T$100, ISNUMBER(SEARCH(Validations!$T$2:$T$100, AI390))))"),"Permanent")</f>
        <v>Permanent</v>
      </c>
      <c r="AK390" s="26" t="str">
        <f>IFERROR(__xludf.DUMMYFUNCTION("IFERROR(VALUE(REGEXEXTRACT(AI390, ""\d+"")), """")"),"")</f>
        <v/>
      </c>
      <c r="AL390" s="26" t="str">
        <f>IFERROR(__xludf.DUMMYFUNCTION("TEXTJOIN("", "", TRUE, FILTER(Validations!$U$2:$U$100, ISNUMBER(SEARCH(Validations!$U$2:$U$100, AI390))))"),"")</f>
        <v/>
      </c>
      <c r="AM390" s="24" t="b">
        <f t="shared" si="1"/>
        <v>0</v>
      </c>
      <c r="AN390" s="24" t="b">
        <v>0</v>
      </c>
      <c r="AO390" s="12" t="s">
        <v>71</v>
      </c>
      <c r="AP390" s="12" t="str">
        <f>IFERROR(__xludf.DUMMYFUNCTION("IF(TEXTJOIN("", "", TRUE, FILTER(Validations!$Q$2:$Q$100, ISNUMBER(SEARCH(Validations!$Q$2:$Q$100, AO390)))) = """", Validations!$Q$2, TEXTJOIN("", "", TRUE, FILTER(Validations!$Q$2:$Q$100, ISNUMBER(SEARCH(Validations!$Q$2:$Q$100, AO390)))))"),"Point")</f>
        <v>Point</v>
      </c>
      <c r="AQ390" s="12" t="str">
        <f>IFERROR(__xludf.DUMMYFUNCTION("IFERROR(VALUE(REGEXEXTRACT(AO390, ""\d+"")), """")"),"")</f>
        <v/>
      </c>
      <c r="AR390" s="12" t="str">
        <f>IFERROR(__xludf.DUMMYFUNCTION("TEXTJOIN("", "", TRUE, FILTER(Validations!$R$2:$R$100, ISNUMBER(SEARCH(Validations!$R$2:$R$100, AO390))))"),"Touch")</f>
        <v>Touch</v>
      </c>
      <c r="AS390" s="27"/>
      <c r="AT390" s="12" t="str">
        <f>IFERROR(__xludf.DUMMYFUNCTION("IFERROR(TEXTJOIN("", "", TRUE, FILTER(Validations!$I$2:$I$100, ISNUMBER(SEARCH(Validations!$I$2:$I$100, AS390)))), """")"),"")</f>
        <v/>
      </c>
      <c r="AU390" s="16" t="str">
        <f t="array" ref="AU390">IFERROR(INDEX(Validations!$J$2:$J$100, MATCH(TRUE, ISNUMBER(SEARCH(Validations!$I$2:$I$100, AT390)), 0)), "")</f>
        <v/>
      </c>
      <c r="AV390" s="12" t="str">
        <f>IFERROR(__xludf.DUMMYFUNCTION("IFERROR(VALUE(REGEXEXTRACT(AS390, ""\d+"")), """")"),"")</f>
        <v/>
      </c>
      <c r="AW390" s="12" t="str">
        <f>IFERROR(__xludf.DUMMYFUNCTION("IFERROR(TEXTJOIN("", "", TRUE, FILTER(Validations!$Q$2:$Q$100, ISNUMBER(SEARCH(Validations!$Q$2:$Q$100, AS390)))), """")"),"")</f>
        <v/>
      </c>
      <c r="AX390" s="28" t="s">
        <v>152</v>
      </c>
      <c r="AY390" s="28" t="str">
        <f>IFERROR(__xludf.DUMMYFUNCTION("TEXTJOIN("", "", TRUE, FILTER(Validations!$Y$2:$Y$100, ISNUMBER(SEARCH(Validations!$X$2:$X$100, AX390))))"),"V, S, R")</f>
        <v>V, S, R</v>
      </c>
      <c r="AZ390" s="26" t="s">
        <v>1865</v>
      </c>
      <c r="BA390" s="12"/>
      <c r="BB390" s="22"/>
      <c r="BC390" s="22"/>
      <c r="BD390" s="22"/>
      <c r="BE390" s="27"/>
      <c r="BF390" s="22" t="s">
        <v>352</v>
      </c>
      <c r="BG390" s="27"/>
      <c r="BH390" s="27"/>
      <c r="BI390" s="12" t="str">
        <f>IFERROR(__xludf.DUMMYFUNCTION("IFERROR(TEXTJOIN("", "", TRUE, FILTER(SRD!$A$2:$A$1000, EXACT(SRD!$A$2:$A$1000, J390))), """")"),"")</f>
        <v/>
      </c>
      <c r="BJ390" s="29"/>
      <c r="BK390" s="29"/>
    </row>
    <row r="391">
      <c r="A391" s="30" t="s">
        <v>1866</v>
      </c>
      <c r="B391" s="22"/>
      <c r="C391" s="31"/>
      <c r="D391" s="31" t="s">
        <v>74</v>
      </c>
      <c r="E391" s="31"/>
      <c r="F391" s="32" t="s">
        <v>1867</v>
      </c>
      <c r="G391" s="50" t="s">
        <v>1837</v>
      </c>
      <c r="H391" s="31" t="s">
        <v>76</v>
      </c>
      <c r="I391" s="16" t="str">
        <f t="array" ref="I391">INDEX(Validations!$C$2:$C$100, MATCH(TRUE, ISNUMBER(SEARCH(Validations!$B$2:$B$100, H391)), 0))</f>
        <v>V</v>
      </c>
      <c r="J391" s="17" t="s">
        <v>1868</v>
      </c>
      <c r="K391" s="18"/>
      <c r="L391" s="17"/>
      <c r="M391" s="17"/>
      <c r="N391" s="20" t="s">
        <v>1869</v>
      </c>
      <c r="O391" s="17"/>
      <c r="P391" s="21"/>
      <c r="Q391" s="21"/>
      <c r="R391" s="22"/>
      <c r="S391" s="17" t="str">
        <f>IFERROR(__xludf.DUMMYFUNCTION("IFERROR(REGEXEXTRACT(J391, ""(\d{1,3}[dD]\d{1,3})""), """")"),"10d10")</f>
        <v>10d10</v>
      </c>
      <c r="T391" s="17" t="str">
        <f>IFERROR(__xludf.DUMMYFUNCTION("IF(COUNTIF(ARRAYFORMULA(LOWER(Validations!$O$2:$O$100)), LOWER(REGEXEXTRACT(J391, ""\d{1,3}[dD]\d{1,3}\s+(\w+)"")))&gt;0, REGEXEXTRACT(J391, ""\d{1,3}[dD]\d{1,3}\s+(\w+)""), """")"),"")</f>
        <v/>
      </c>
      <c r="U391" s="17" t="str">
        <f>IFERROR(__xludf.DUMMYFUNCTION("IF(COUNTIF(ARRAYFORMULA(LOWER(Validations!$P$2:$P$100)), LOWER(REGEXEXTRACT(J391, ""\d{1,3}[dD]\d{1,3}\s+(\w+)"")))&gt;0, REGEXEXTRACT(J391, ""\d{1,3}[dD]\d{1,3}\s+(\w+)""), """")"),"")</f>
        <v/>
      </c>
      <c r="V391" s="12" t="str">
        <f>IFERROR(__xludf.DUMMYFUNCTION("TEXTJOIN("", "", TRUE, FILTER(Validations!$L$2:$L$100, ISNUMBER(SEARCH(Validations!$L$2:$L$100, J391))))"),"")</f>
        <v/>
      </c>
      <c r="W391" s="12" t="str">
        <f>IFERROR(__xludf.DUMMYFUNCTION("IFERROR(TEXTJOIN("", "", TRUE, FILTER(Validations!$M$2:$M$100, ISNUMBER(SEARCH(Validations!$M$2:$M$100 &amp; "" saving throw"", J391)))), """")"),"")</f>
        <v/>
      </c>
      <c r="X391" s="12"/>
      <c r="Y391" s="12"/>
      <c r="Z391" s="12" t="str">
        <f>IFERROR(__xludf.DUMMYFUNCTION("IFERROR(TEXTJOIN("", "", TRUE, FILTER(Validations!$N$2:$N$100, ISNUMBER(SEARCH(Validations!$N$2:$N$100 &amp; "" check"", J391)))), """")"),"")</f>
        <v/>
      </c>
      <c r="AA391" s="12" t="str">
        <f>IFERROR(__xludf.DUMMYFUNCTION("IFERROR(TEXTJOIN("", "", TRUE, FILTER(Validations!$N$2:$N$100, ISNUMBER(SEARCH(Validations!$N$2:$N$100 &amp; "" check"", W391)))), """")"),"")</f>
        <v/>
      </c>
      <c r="AB391" s="23" t="str">
        <f>IFERROR(__xludf.DUMMYFUNCTION("IFERROR(CONCATENATE(IF(ISNUMBER(SEARCH(Validations!$M$2:$M$100 &amp; "" spell save"", J391)),""Spell Save"",""""), REGEXEXTRACT(J391, ""DC (\d+)"")), """")"),"")</f>
        <v/>
      </c>
      <c r="AC391" s="24" t="b">
        <v>0</v>
      </c>
      <c r="AD391" s="24" t="b">
        <v>0</v>
      </c>
      <c r="AE391" s="36" t="s">
        <v>69</v>
      </c>
      <c r="AF391" s="25">
        <f>IFERROR(__xludf.DUMMYFUNCTION("IFERROR(VALUE(REGEXEXTRACT(AE391, ""\d+"")), 1)"),1.0)</f>
        <v>1</v>
      </c>
      <c r="AG391" s="12" t="str">
        <f>IFERROR(__xludf.DUMMYFUNCTION("IF(
  ISNUMBER(SEARCH(""Bonus Action"", AE391)),
  ""Bonus Action"",
  IF(
    ISNUMBER(SEARCH(""Reaction"", AE391)),
    ""Reaction"",
    IF(
      ISNUMBER(SEARCH(""Action"", AE391)),
      ""Action"",
      TEXTJOIN("", "", TRUE, FILTER(Validations!$S"&amp;"$2:$S$100, ISNUMBER(SEARCH(Validations!$S$2:$S$100, AE391))))
    )
  )
)"),"Action")</f>
        <v>Action</v>
      </c>
      <c r="AH391" s="36"/>
      <c r="AI391" s="27" t="s">
        <v>70</v>
      </c>
      <c r="AJ391" s="26" t="str">
        <f>IFERROR(__xludf.DUMMYFUNCTION("TEXTJOIN("", "", TRUE, FILTER(Validations!$T$2:$T$100, ISNUMBER(SEARCH(Validations!$T$2:$T$100, AI391))))"),"Instantaneous")</f>
        <v>Instantaneous</v>
      </c>
      <c r="AK391" s="26" t="str">
        <f>IFERROR(__xludf.DUMMYFUNCTION("IFERROR(VALUE(REGEXEXTRACT(AI391, ""\d+"")), """")"),"")</f>
        <v/>
      </c>
      <c r="AL391" s="26" t="str">
        <f>IFERROR(__xludf.DUMMYFUNCTION("TEXTJOIN("", "", TRUE, FILTER(Validations!$U$2:$U$100, ISNUMBER(SEARCH(Validations!$U$2:$U$100, AI391))))"),"")</f>
        <v/>
      </c>
      <c r="AM391" s="24" t="b">
        <f t="shared" si="1"/>
        <v>0</v>
      </c>
      <c r="AN391" s="24" t="b">
        <v>0</v>
      </c>
      <c r="AO391" s="36" t="s">
        <v>1870</v>
      </c>
      <c r="AP391" s="12" t="str">
        <f>IFERROR(__xludf.DUMMYFUNCTION("IF(TEXTJOIN("", "", TRUE, FILTER(Validations!$Q$2:$Q$100, ISNUMBER(SEARCH(Validations!$Q$2:$Q$100, AO391)))) = """", Validations!$Q$2, TEXTJOIN("", "", TRUE, FILTER(Validations!$Q$2:$Q$100, ISNUMBER(SEARCH(Validations!$Q$2:$Q$100, AO391)))))"),"Radius")</f>
        <v>Radius</v>
      </c>
      <c r="AQ391" s="12">
        <f>IFERROR(__xludf.DUMMYFUNCTION("IFERROR(VALUE(REGEXEXTRACT(AO391, ""\d+"")), """")"),120.0)</f>
        <v>120</v>
      </c>
      <c r="AR391" s="12" t="str">
        <f>IFERROR(__xludf.DUMMYFUNCTION("TEXTJOIN("", "", TRUE, FILTER(Validations!$R$2:$R$100, ISNUMBER(SEARCH(Validations!$R$2:$R$100, AO391))))"),"Feet")</f>
        <v>Feet</v>
      </c>
      <c r="AS391" s="27"/>
      <c r="AT391" s="12" t="str">
        <f>IFERROR(__xludf.DUMMYFUNCTION("IFERROR(TEXTJOIN("", "", TRUE, FILTER(Validations!$I$2:$I$100, ISNUMBER(SEARCH(Validations!$I$2:$I$100, AS391)))), """")"),"")</f>
        <v/>
      </c>
      <c r="AU391" s="16" t="str">
        <f t="array" ref="AU391">IFERROR(INDEX(Validations!$J$2:$J$100, MATCH(TRUE, ISNUMBER(SEARCH(Validations!$I$2:$I$100, AT391)), 0)), "")</f>
        <v/>
      </c>
      <c r="AV391" s="12" t="str">
        <f>IFERROR(__xludf.DUMMYFUNCTION("IFERROR(VALUE(REGEXEXTRACT(AS391, ""\d+"")), """")"),"")</f>
        <v/>
      </c>
      <c r="AW391" s="12" t="str">
        <f>IFERROR(__xludf.DUMMYFUNCTION("IFERROR(TEXTJOIN("", "", TRUE, FILTER(Validations!$Q$2:$Q$100, ISNUMBER(SEARCH(Validations!$Q$2:$Q$100, AS391)))), """")"),"")</f>
        <v/>
      </c>
      <c r="AX391" s="28" t="s">
        <v>152</v>
      </c>
      <c r="AY391" s="28" t="str">
        <f>IFERROR(__xludf.DUMMYFUNCTION("TEXTJOIN("", "", TRUE, FILTER(Validations!$Y$2:$Y$100, ISNUMBER(SEARCH(Validations!$X$2:$X$100, AX391))))"),"V, S, R")</f>
        <v>V, S, R</v>
      </c>
      <c r="AZ391" s="20" t="s">
        <v>1871</v>
      </c>
      <c r="BA391" s="22"/>
      <c r="BB391" s="22"/>
      <c r="BC391" s="22"/>
      <c r="BD391" s="22"/>
      <c r="BE391" s="27"/>
      <c r="BF391" s="22"/>
      <c r="BG391" s="27"/>
      <c r="BH391" s="27"/>
      <c r="BI391" s="12" t="str">
        <f>IFERROR(__xludf.DUMMYFUNCTION("IFERROR(TEXTJOIN("", "", TRUE, FILTER(SRD!$A$2:$A$1000, EXACT(SRD!$A$2:$A$1000, J391))), """")"),"")</f>
        <v/>
      </c>
      <c r="BJ391" s="29"/>
      <c r="BK391" s="29"/>
    </row>
    <row r="392">
      <c r="A392" s="30" t="s">
        <v>1872</v>
      </c>
      <c r="B392" s="22"/>
      <c r="C392" s="31"/>
      <c r="D392" s="31" t="s">
        <v>74</v>
      </c>
      <c r="E392" s="31"/>
      <c r="F392" s="32" t="s">
        <v>139</v>
      </c>
      <c r="G392" s="50" t="s">
        <v>1837</v>
      </c>
      <c r="H392" s="16" t="s">
        <v>85</v>
      </c>
      <c r="I392" s="16" t="str">
        <f t="array" ref="I392">INDEX(Validations!$C$2:$C$100, MATCH(TRUE, ISNUMBER(SEARCH(Validations!$B$2:$B$100, H392)), 0))</f>
        <v>T</v>
      </c>
      <c r="J392" s="17" t="s">
        <v>1873</v>
      </c>
      <c r="K392" s="18"/>
      <c r="L392" s="17"/>
      <c r="M392" s="17"/>
      <c r="N392" s="27"/>
      <c r="O392" s="17"/>
      <c r="P392" s="21"/>
      <c r="Q392" s="21"/>
      <c r="R392" s="22"/>
      <c r="S392" s="17" t="str">
        <f>IFERROR(__xludf.DUMMYFUNCTION("IFERROR(REGEXEXTRACT(J392, ""(\d{1,3}[dD]\d{1,3})""), """")"),"")</f>
        <v/>
      </c>
      <c r="T392" s="17" t="str">
        <f>IFERROR(__xludf.DUMMYFUNCTION("IF(COUNTIF(ARRAYFORMULA(LOWER(Validations!$O$2:$O$100)), LOWER(REGEXEXTRACT(J392, ""\d{1,3}[dD]\d{1,3}\s+(\w+)"")))&gt;0, REGEXEXTRACT(J392, ""\d{1,3}[dD]\d{1,3}\s+(\w+)""), """")"),"")</f>
        <v/>
      </c>
      <c r="U392" s="17" t="str">
        <f>IFERROR(__xludf.DUMMYFUNCTION("IF(COUNTIF(ARRAYFORMULA(LOWER(Validations!$P$2:$P$100)), LOWER(REGEXEXTRACT(J392, ""\d{1,3}[dD]\d{1,3}\s+(\w+)"")))&gt;0, REGEXEXTRACT(J392, ""\d{1,3}[dD]\d{1,3}\s+(\w+)""), """")"),"")</f>
        <v/>
      </c>
      <c r="V392" s="12" t="str">
        <f>IFERROR(__xludf.DUMMYFUNCTION("TEXTJOIN("", "", TRUE, FILTER(Validations!$L$2:$L$100, ISNUMBER(SEARCH(Validations!$L$2:$L$100, J392))))"),"")</f>
        <v/>
      </c>
      <c r="W392" s="12" t="str">
        <f>IFERROR(__xludf.DUMMYFUNCTION("IFERROR(TEXTJOIN("", "", TRUE, FILTER(Validations!$M$2:$M$100, ISNUMBER(SEARCH(Validations!$M$2:$M$100 &amp; "" saving throw"", J392)))), """")"),"Charisma")</f>
        <v>Charisma</v>
      </c>
      <c r="X392" s="12"/>
      <c r="Y392" s="12"/>
      <c r="Z392" s="12" t="str">
        <f>IFERROR(__xludf.DUMMYFUNCTION("IFERROR(TEXTJOIN("", "", TRUE, FILTER(Validations!$N$2:$N$100, ISNUMBER(SEARCH(Validations!$N$2:$N$100 &amp; "" check"", J392)))), """")"),"")</f>
        <v/>
      </c>
      <c r="AA392" s="12" t="str">
        <f>IFERROR(__xludf.DUMMYFUNCTION("IFERROR(TEXTJOIN("", "", TRUE, FILTER(Validations!$N$2:$N$100, ISNUMBER(SEARCH(Validations!$N$2:$N$100 &amp; "" check"", W392)))), """")"),"")</f>
        <v/>
      </c>
      <c r="AB392" s="23" t="str">
        <f>IFERROR(__xludf.DUMMYFUNCTION("IFERROR(CONCATENATE(IF(ISNUMBER(SEARCH(Validations!$M$2:$M$100 &amp; "" spell save"", J392)),""Spell Save"",""""), REGEXEXTRACT(J392, ""DC (\d+)"")), """")"),"")</f>
        <v/>
      </c>
      <c r="AC392" s="24" t="b">
        <v>0</v>
      </c>
      <c r="AD392" s="24" t="b">
        <v>0</v>
      </c>
      <c r="AE392" s="36" t="s">
        <v>69</v>
      </c>
      <c r="AF392" s="25">
        <f>IFERROR(__xludf.DUMMYFUNCTION("IFERROR(VALUE(REGEXEXTRACT(AE392, ""\d+"")), 1)"),1.0)</f>
        <v>1</v>
      </c>
      <c r="AG392" s="12" t="str">
        <f>IFERROR(__xludf.DUMMYFUNCTION("IF(
  ISNUMBER(SEARCH(""Bonus Action"", AE392)),
  ""Bonus Action"",
  IF(
    ISNUMBER(SEARCH(""Reaction"", AE392)),
    ""Reaction"",
    IF(
      ISNUMBER(SEARCH(""Action"", AE392)),
      ""Action"",
      TEXTJOIN("", "", TRUE, FILTER(Validations!$S"&amp;"$2:$S$100, ISNUMBER(SEARCH(Validations!$S$2:$S$100, AE392))))
    )
  )
)"),"Action")</f>
        <v>Action</v>
      </c>
      <c r="AH392" s="36"/>
      <c r="AI392" s="20" t="s">
        <v>92</v>
      </c>
      <c r="AJ392" s="26" t="str">
        <f>IFERROR(__xludf.DUMMYFUNCTION("TEXTJOIN("", "", TRUE, FILTER(Validations!$T$2:$T$100, ISNUMBER(SEARCH(Validations!$T$2:$T$100, AI392))))"),"")</f>
        <v/>
      </c>
      <c r="AK392" s="26">
        <f>IFERROR(__xludf.DUMMYFUNCTION("IFERROR(VALUE(REGEXEXTRACT(AI392, ""\d+"")), """")"),1.0)</f>
        <v>1</v>
      </c>
      <c r="AL392" s="26" t="str">
        <f>IFERROR(__xludf.DUMMYFUNCTION("TEXTJOIN("", "", TRUE, FILTER(Validations!$U$2:$U$100, ISNUMBER(SEARCH(Validations!$U$2:$U$100, AI392))))"),"Minutes")</f>
        <v>Minutes</v>
      </c>
      <c r="AM392" s="24" t="b">
        <f t="shared" si="1"/>
        <v>0</v>
      </c>
      <c r="AN392" s="24" t="b">
        <v>1</v>
      </c>
      <c r="AO392" s="22" t="s">
        <v>440</v>
      </c>
      <c r="AP392" s="12" t="str">
        <f>IFERROR(__xludf.DUMMYFUNCTION("IF(TEXTJOIN("", "", TRUE, FILTER(Validations!$Q$2:$Q$100, ISNUMBER(SEARCH(Validations!$Q$2:$Q$100, AO392)))) = """", Validations!$Q$2, TEXTJOIN("", "", TRUE, FILTER(Validations!$Q$2:$Q$100, ISNUMBER(SEARCH(Validations!$Q$2:$Q$100, AO392)))))"),"Point")</f>
        <v>Point</v>
      </c>
      <c r="AQ392" s="12">
        <f>IFERROR(__xludf.DUMMYFUNCTION("IFERROR(VALUE(REGEXEXTRACT(AO392, ""\d+"")), """")"),60.0)</f>
        <v>60</v>
      </c>
      <c r="AR392" s="12" t="str">
        <f>IFERROR(__xludf.DUMMYFUNCTION("TEXTJOIN("", "", TRUE, FILTER(Validations!$R$2:$R$100, ISNUMBER(SEARCH(Validations!$R$2:$R$100, AO392))))"),"Feet")</f>
        <v>Feet</v>
      </c>
      <c r="AS392" s="27"/>
      <c r="AT392" s="12" t="str">
        <f>IFERROR(__xludf.DUMMYFUNCTION("IFERROR(TEXTJOIN("", "", TRUE, FILTER(Validations!$I$2:$I$100, ISNUMBER(SEARCH(Validations!$I$2:$I$100, AS392)))), """")"),"")</f>
        <v/>
      </c>
      <c r="AU392" s="16" t="str">
        <f t="array" ref="AU392">IFERROR(INDEX(Validations!$J$2:$J$100, MATCH(TRUE, ISNUMBER(SEARCH(Validations!$I$2:$I$100, AT392)), 0)), "")</f>
        <v/>
      </c>
      <c r="AV392" s="12" t="str">
        <f>IFERROR(__xludf.DUMMYFUNCTION("IFERROR(VALUE(REGEXEXTRACT(AS392, ""\d+"")), """")"),"")</f>
        <v/>
      </c>
      <c r="AW392" s="12" t="str">
        <f>IFERROR(__xludf.DUMMYFUNCTION("IFERROR(TEXTJOIN("", "", TRUE, FILTER(Validations!$Q$2:$Q$100, ISNUMBER(SEARCH(Validations!$Q$2:$Q$100, AS392)))), """")"),"")</f>
        <v/>
      </c>
      <c r="AX392" s="28" t="s">
        <v>152</v>
      </c>
      <c r="AY392" s="28" t="str">
        <f>IFERROR(__xludf.DUMMYFUNCTION("TEXTJOIN("", "", TRUE, FILTER(Validations!$Y$2:$Y$100, ISNUMBER(SEARCH(Validations!$X$2:$X$100, AX392))))"),"V, S, R")</f>
        <v>V, S, R</v>
      </c>
      <c r="AZ392" s="20" t="s">
        <v>1377</v>
      </c>
      <c r="BA392" s="22"/>
      <c r="BB392" s="22"/>
      <c r="BC392" s="22"/>
      <c r="BD392" s="22"/>
      <c r="BE392" s="27"/>
      <c r="BF392" s="22"/>
      <c r="BG392" s="27"/>
      <c r="BH392" s="27"/>
      <c r="BI392" s="12" t="str">
        <f>IFERROR(__xludf.DUMMYFUNCTION("IFERROR(TEXTJOIN("", "", TRUE, FILTER(SRD!$A$2:$A$1000, EXACT(SRD!$A$2:$A$1000, J392))), """")"),"")</f>
        <v/>
      </c>
      <c r="BJ392" s="29"/>
      <c r="BK392" s="29"/>
    </row>
    <row r="393">
      <c r="A393" s="30" t="s">
        <v>1518</v>
      </c>
      <c r="B393" s="22"/>
      <c r="C393" s="31"/>
      <c r="D393" s="31" t="s">
        <v>74</v>
      </c>
      <c r="E393" s="31"/>
      <c r="F393" s="32" t="s">
        <v>199</v>
      </c>
      <c r="G393" s="50" t="s">
        <v>1837</v>
      </c>
      <c r="H393" s="16" t="s">
        <v>103</v>
      </c>
      <c r="I393" s="16" t="str">
        <f t="array" ref="I393">INDEX(Validations!$C$2:$C$100, MATCH(TRUE, ISNUMBER(SEARCH(Validations!$B$2:$B$100, H393)), 0))</f>
        <v>C</v>
      </c>
      <c r="J393" s="17" t="s">
        <v>1874</v>
      </c>
      <c r="K393" s="18"/>
      <c r="L393" s="17"/>
      <c r="M393" s="17"/>
      <c r="N393" s="27"/>
      <c r="O393" s="17"/>
      <c r="P393" s="21"/>
      <c r="Q393" s="21"/>
      <c r="R393" s="22"/>
      <c r="S393" s="17" t="str">
        <f>IFERROR(__xludf.DUMMYFUNCTION("IFERROR(REGEXEXTRACT(J393, ""(\d{1,3}[dD]\d{1,3})""), """")"),"6d12")</f>
        <v>6d12</v>
      </c>
      <c r="T393" s="17" t="str">
        <f>IFERROR(__xludf.DUMMYFUNCTION("IF(COUNTIF(ARRAYFORMULA(LOWER(Validations!$O$2:$O$100)), LOWER(REGEXEXTRACT(J393, ""\d{1,3}[dD]\d{1,3}\s+(\w+)"")))&gt;0, REGEXEXTRACT(J393, ""\d{1,3}[dD]\d{1,3}\s+(\w+)""), """")"),"cognitive")</f>
        <v>cognitive</v>
      </c>
      <c r="U393" s="17" t="str">
        <f>IFERROR(__xludf.DUMMYFUNCTION("IF(COUNTIF(ARRAYFORMULA(LOWER(Validations!$P$2:$P$100)), LOWER(REGEXEXTRACT(J393, ""\d{1,3}[dD]\d{1,3}\s+(\w+)"")))&gt;0, REGEXEXTRACT(J393, ""\d{1,3}[dD]\d{1,3}\s+(\w+)""), """")"),"")</f>
        <v/>
      </c>
      <c r="V393" s="12" t="str">
        <f>IFERROR(__xludf.DUMMYFUNCTION("TEXTJOIN("", "", TRUE, FILTER(Validations!$L$2:$L$100, ISNUMBER(SEARCH(Validations!$L$2:$L$100, J393))))"),"")</f>
        <v/>
      </c>
      <c r="W393" s="12" t="str">
        <f>IFERROR(__xludf.DUMMYFUNCTION("IFERROR(TEXTJOIN("", "", TRUE, FILTER(Validations!$M$2:$M$100, ISNUMBER(SEARCH(Validations!$M$2:$M$100 &amp; "" saving throw"", J393)))), """")"),"Intelligence")</f>
        <v>Intelligence</v>
      </c>
      <c r="X393" s="12"/>
      <c r="Y393" s="12"/>
      <c r="Z393" s="12" t="str">
        <f>IFERROR(__xludf.DUMMYFUNCTION("IFERROR(TEXTJOIN("", "", TRUE, FILTER(Validations!$N$2:$N$100, ISNUMBER(SEARCH(Validations!$N$2:$N$100 &amp; "" check"", J393)))), """")"),"")</f>
        <v/>
      </c>
      <c r="AA393" s="12" t="str">
        <f>IFERROR(__xludf.DUMMYFUNCTION("IFERROR(TEXTJOIN("", "", TRUE, FILTER(Validations!$N$2:$N$100, ISNUMBER(SEARCH(Validations!$N$2:$N$100 &amp; "" check"", W393)))), """")"),"")</f>
        <v/>
      </c>
      <c r="AB393" s="23" t="str">
        <f>IFERROR(__xludf.DUMMYFUNCTION("IFERROR(CONCATENATE(IF(ISNUMBER(SEARCH(Validations!$M$2:$M$100 &amp; "" spell save"", J393)),""Spell Save"",""""), REGEXEXTRACT(J393, ""DC (\d+)"")), """")"),"")</f>
        <v/>
      </c>
      <c r="AC393" s="24" t="b">
        <v>0</v>
      </c>
      <c r="AD393" s="24" t="b">
        <v>0</v>
      </c>
      <c r="AE393" s="36" t="s">
        <v>69</v>
      </c>
      <c r="AF393" s="25">
        <f>IFERROR(__xludf.DUMMYFUNCTION("IFERROR(VALUE(REGEXEXTRACT(AE393, ""\d+"")), 1)"),1.0)</f>
        <v>1</v>
      </c>
      <c r="AG393" s="12" t="str">
        <f>IFERROR(__xludf.DUMMYFUNCTION("IF(
  ISNUMBER(SEARCH(""Bonus Action"", AE393)),
  ""Bonus Action"",
  IF(
    ISNUMBER(SEARCH(""Reaction"", AE393)),
    ""Reaction"",
    IF(
      ISNUMBER(SEARCH(""Action"", AE393)),
      ""Action"",
      TEXTJOIN("", "", TRUE, FILTER(Validations!$S"&amp;"$2:$S$100, ISNUMBER(SEARCH(Validations!$S$2:$S$100, AE393))))
    )
  )
)"),"Action")</f>
        <v>Action</v>
      </c>
      <c r="AH393" s="36"/>
      <c r="AI393" s="20" t="s">
        <v>92</v>
      </c>
      <c r="AJ393" s="26" t="str">
        <f>IFERROR(__xludf.DUMMYFUNCTION("TEXTJOIN("", "", TRUE, FILTER(Validations!$T$2:$T$100, ISNUMBER(SEARCH(Validations!$T$2:$T$100, AI393))))"),"")</f>
        <v/>
      </c>
      <c r="AK393" s="26">
        <f>IFERROR(__xludf.DUMMYFUNCTION("IFERROR(VALUE(REGEXEXTRACT(AI393, ""\d+"")), """")"),1.0)</f>
        <v>1</v>
      </c>
      <c r="AL393" s="26" t="str">
        <f>IFERROR(__xludf.DUMMYFUNCTION("TEXTJOIN("", "", TRUE, FILTER(Validations!$U$2:$U$100, ISNUMBER(SEARCH(Validations!$U$2:$U$100, AI393))))"),"Minutes")</f>
        <v>Minutes</v>
      </c>
      <c r="AM393" s="24" t="b">
        <f t="shared" si="1"/>
        <v>0</v>
      </c>
      <c r="AN393" s="24" t="b">
        <v>1</v>
      </c>
      <c r="AO393" s="36" t="s">
        <v>1875</v>
      </c>
      <c r="AP393" s="12" t="str">
        <f>IFERROR(__xludf.DUMMYFUNCTION("IF(TEXTJOIN("", "", TRUE, FILTER(Validations!$Q$2:$Q$100, ISNUMBER(SEARCH(Validations!$Q$2:$Q$100, AO393)))) = """", Validations!$Q$2, TEXTJOIN("", "", TRUE, FILTER(Validations!$Q$2:$Q$100, ISNUMBER(SEARCH(Validations!$Q$2:$Q$100, AO393)))))"),"Radius")</f>
        <v>Radius</v>
      </c>
      <c r="AQ393" s="12">
        <f>IFERROR(__xludf.DUMMYFUNCTION("IFERROR(VALUE(REGEXEXTRACT(AO393, ""\d+"")), """")"),60.0)</f>
        <v>60</v>
      </c>
      <c r="AR393" s="12" t="str">
        <f>IFERROR(__xludf.DUMMYFUNCTION("TEXTJOIN("", "", TRUE, FILTER(Validations!$R$2:$R$100, ISNUMBER(SEARCH(Validations!$R$2:$R$100, AO393))))"),"Feet")</f>
        <v>Feet</v>
      </c>
      <c r="AS393" s="27"/>
      <c r="AT393" s="12" t="str">
        <f>IFERROR(__xludf.DUMMYFUNCTION("IFERROR(TEXTJOIN("", "", TRUE, FILTER(Validations!$I$2:$I$100, ISNUMBER(SEARCH(Validations!$I$2:$I$100, AS393)))), """")"),"")</f>
        <v/>
      </c>
      <c r="AU393" s="16" t="str">
        <f t="array" ref="AU393">IFERROR(INDEX(Validations!$J$2:$J$100, MATCH(TRUE, ISNUMBER(SEARCH(Validations!$I$2:$I$100, AT393)), 0)), "")</f>
        <v/>
      </c>
      <c r="AV393" s="12" t="str">
        <f>IFERROR(__xludf.DUMMYFUNCTION("IFERROR(VALUE(REGEXEXTRACT(AS393, ""\d+"")), """")"),"")</f>
        <v/>
      </c>
      <c r="AW393" s="12" t="str">
        <f>IFERROR(__xludf.DUMMYFUNCTION("IFERROR(TEXTJOIN("", "", TRUE, FILTER(Validations!$Q$2:$Q$100, ISNUMBER(SEARCH(Validations!$Q$2:$Q$100, AS393)))), """")"),"")</f>
        <v/>
      </c>
      <c r="AX393" s="28" t="s">
        <v>152</v>
      </c>
      <c r="AY393" s="28" t="str">
        <f>IFERROR(__xludf.DUMMYFUNCTION("TEXTJOIN("", "", TRUE, FILTER(Validations!$Y$2:$Y$100, ISNUMBER(SEARCH(Validations!$X$2:$X$100, AX393))))"),"V, S, R")</f>
        <v>V, S, R</v>
      </c>
      <c r="AZ393" s="20" t="s">
        <v>1876</v>
      </c>
      <c r="BA393" s="22"/>
      <c r="BB393" s="22"/>
      <c r="BC393" s="22"/>
      <c r="BD393" s="22"/>
      <c r="BE393" s="27"/>
      <c r="BF393" s="22"/>
      <c r="BG393" s="27"/>
      <c r="BH393" s="27"/>
      <c r="BI393" s="12" t="str">
        <f>IFERROR(__xludf.DUMMYFUNCTION("IFERROR(TEXTJOIN("", "", TRUE, FILTER(SRD!$A$2:$A$1000, EXACT(SRD!$A$2:$A$1000, J393))), """")"),"")</f>
        <v/>
      </c>
      <c r="BJ393" s="29"/>
      <c r="BK393" s="29"/>
    </row>
    <row r="394">
      <c r="A394" s="30" t="s">
        <v>1877</v>
      </c>
      <c r="B394" s="22"/>
      <c r="C394" s="31"/>
      <c r="D394" s="31" t="s">
        <v>74</v>
      </c>
      <c r="E394" s="31"/>
      <c r="F394" s="32" t="s">
        <v>1537</v>
      </c>
      <c r="G394" s="50" t="s">
        <v>1837</v>
      </c>
      <c r="H394" s="16" t="s">
        <v>103</v>
      </c>
      <c r="I394" s="16" t="str">
        <f t="array" ref="I394">INDEX(Validations!$C$2:$C$100, MATCH(TRUE, ISNUMBER(SEARCH(Validations!$B$2:$B$100, H394)), 0))</f>
        <v>C</v>
      </c>
      <c r="J394" s="17" t="s">
        <v>1878</v>
      </c>
      <c r="K394" s="18"/>
      <c r="L394" s="17"/>
      <c r="M394" s="17"/>
      <c r="N394" s="27"/>
      <c r="O394" s="17"/>
      <c r="P394" s="21"/>
      <c r="Q394" s="21"/>
      <c r="R394" s="22"/>
      <c r="S394" s="17" t="str">
        <f>IFERROR(__xludf.DUMMYFUNCTION("IFERROR(REGEXEXTRACT(J394, ""(\d{1,3}[dD]\d{1,3})""), """")"),"")</f>
        <v/>
      </c>
      <c r="T394" s="17" t="str">
        <f>IFERROR(__xludf.DUMMYFUNCTION("IF(COUNTIF(ARRAYFORMULA(LOWER(Validations!$O$2:$O$100)), LOWER(REGEXEXTRACT(J394, ""\d{1,3}[dD]\d{1,3}\s+(\w+)"")))&gt;0, REGEXEXTRACT(J394, ""\d{1,3}[dD]\d{1,3}\s+(\w+)""), """")"),"")</f>
        <v/>
      </c>
      <c r="U394" s="17" t="str">
        <f>IFERROR(__xludf.DUMMYFUNCTION("IF(COUNTIF(ARRAYFORMULA(LOWER(Validations!$P$2:$P$100)), LOWER(REGEXEXTRACT(J394, ""\d{1,3}[dD]\d{1,3}\s+(\w+)"")))&gt;0, REGEXEXTRACT(J394, ""\d{1,3}[dD]\d{1,3}\s+(\w+)""), """")"),"")</f>
        <v/>
      </c>
      <c r="V394" s="12" t="str">
        <f>IFERROR(__xludf.DUMMYFUNCTION("TEXTJOIN("", "", TRUE, FILTER(Validations!$L$2:$L$100, ISNUMBER(SEARCH(Validations!$L$2:$L$100, J394))))"),"Invisible")</f>
        <v>Invisible</v>
      </c>
      <c r="W394" s="12" t="str">
        <f>IFERROR(__xludf.DUMMYFUNCTION("IFERROR(TEXTJOIN("", "", TRUE, FILTER(Validations!$M$2:$M$100, ISNUMBER(SEARCH(Validations!$M$2:$M$100 &amp; "" saving throw"", J394)))), """")"),"Charisma")</f>
        <v>Charisma</v>
      </c>
      <c r="X394" s="12"/>
      <c r="Y394" s="12"/>
      <c r="Z394" s="12" t="str">
        <f>IFERROR(__xludf.DUMMYFUNCTION("IFERROR(TEXTJOIN("", "", TRUE, FILTER(Validations!$N$2:$N$100, ISNUMBER(SEARCH(Validations!$N$2:$N$100 &amp; "" check"", J394)))), """")"),"")</f>
        <v/>
      </c>
      <c r="AA394" s="12" t="str">
        <f>IFERROR(__xludf.DUMMYFUNCTION("IFERROR(TEXTJOIN("", "", TRUE, FILTER(Validations!$N$2:$N$100, ISNUMBER(SEARCH(Validations!$N$2:$N$100 &amp; "" check"", W394)))), """")"),"")</f>
        <v/>
      </c>
      <c r="AB394" s="23" t="str">
        <f>IFERROR(__xludf.DUMMYFUNCTION("IFERROR(CONCATENATE(IF(ISNUMBER(SEARCH(Validations!$M$2:$M$100 &amp; "" spell save"", J394)),""Spell Save"",""""), REGEXEXTRACT(J394, ""DC (\d+)"")), """")"),"")</f>
        <v/>
      </c>
      <c r="AC394" s="24" t="b">
        <v>0</v>
      </c>
      <c r="AD394" s="24" t="b">
        <v>0</v>
      </c>
      <c r="AE394" s="36" t="s">
        <v>69</v>
      </c>
      <c r="AF394" s="25">
        <f>IFERROR(__xludf.DUMMYFUNCTION("IFERROR(VALUE(REGEXEXTRACT(AE394, ""\d+"")), 1)"),1.0)</f>
        <v>1</v>
      </c>
      <c r="AG394" s="12" t="str">
        <f>IFERROR(__xludf.DUMMYFUNCTION("IF(
  ISNUMBER(SEARCH(""Bonus Action"", AE394)),
  ""Bonus Action"",
  IF(
    ISNUMBER(SEARCH(""Reaction"", AE394)),
    ""Reaction"",
    IF(
      ISNUMBER(SEARCH(""Action"", AE394)),
      ""Action"",
      TEXTJOIN("", "", TRUE, FILTER(Validations!$S"&amp;"$2:$S$100, ISNUMBER(SEARCH(Validations!$S$2:$S$100, AE394))))
    )
  )
)"),"Action")</f>
        <v>Action</v>
      </c>
      <c r="AH394" s="36"/>
      <c r="AI394" s="20" t="s">
        <v>1879</v>
      </c>
      <c r="AJ394" s="26" t="str">
        <f>IFERROR(__xludf.DUMMYFUNCTION("TEXTJOIN("", "", TRUE, FILTER(Validations!$T$2:$T$100, ISNUMBER(SEARCH(Validations!$T$2:$T$100, AI394))))"),"")</f>
        <v/>
      </c>
      <c r="AK394" s="26">
        <f>IFERROR(__xludf.DUMMYFUNCTION("IFERROR(VALUE(REGEXEXTRACT(AI394, ""\d+"")), """")"),1.0)</f>
        <v>1</v>
      </c>
      <c r="AL394" s="26" t="str">
        <f>IFERROR(__xludf.DUMMYFUNCTION("TEXTJOIN("", "", TRUE, FILTER(Validations!$U$2:$U$100, ISNUMBER(SEARCH(Validations!$U$2:$U$100, AI394))))"),"Hours")</f>
        <v>Hours</v>
      </c>
      <c r="AM394" s="24" t="b">
        <f t="shared" si="1"/>
        <v>0</v>
      </c>
      <c r="AN394" s="24" t="b">
        <v>0</v>
      </c>
      <c r="AO394" s="22" t="s">
        <v>502</v>
      </c>
      <c r="AP394" s="12" t="str">
        <f>IFERROR(__xludf.DUMMYFUNCTION("IF(TEXTJOIN("", "", TRUE, FILTER(Validations!$Q$2:$Q$100, ISNUMBER(SEARCH(Validations!$Q$2:$Q$100, AO394)))) = """", Validations!$Q$2, TEXTJOIN("", "", TRUE, FILTER(Validations!$Q$2:$Q$100, ISNUMBER(SEARCH(Validations!$Q$2:$Q$100, AO394)))))"),"Point")</f>
        <v>Point</v>
      </c>
      <c r="AQ394" s="12">
        <f>IFERROR(__xludf.DUMMYFUNCTION("IFERROR(VALUE(REGEXEXTRACT(AO394, ""\d+"")), """")"),120.0)</f>
        <v>120</v>
      </c>
      <c r="AR394" s="12" t="str">
        <f>IFERROR(__xludf.DUMMYFUNCTION("TEXTJOIN("", "", TRUE, FILTER(Validations!$R$2:$R$100, ISNUMBER(SEARCH(Validations!$R$2:$R$100, AO394))))"),"Feet")</f>
        <v>Feet</v>
      </c>
      <c r="AS394" s="27"/>
      <c r="AT394" s="12" t="str">
        <f>IFERROR(__xludf.DUMMYFUNCTION("IFERROR(TEXTJOIN("", "", TRUE, FILTER(Validations!$I$2:$I$100, ISNUMBER(SEARCH(Validations!$I$2:$I$100, AS394)))), """")"),"")</f>
        <v/>
      </c>
      <c r="AU394" s="16" t="str">
        <f t="array" ref="AU394">IFERROR(INDEX(Validations!$J$2:$J$100, MATCH(TRUE, ISNUMBER(SEARCH(Validations!$I$2:$I$100, AT394)), 0)), "")</f>
        <v/>
      </c>
      <c r="AV394" s="12" t="str">
        <f>IFERROR(__xludf.DUMMYFUNCTION("IFERROR(VALUE(REGEXEXTRACT(AS394, ""\d+"")), """")"),"")</f>
        <v/>
      </c>
      <c r="AW394" s="12" t="str">
        <f>IFERROR(__xludf.DUMMYFUNCTION("IFERROR(TEXTJOIN("", "", TRUE, FILTER(Validations!$Q$2:$Q$100, ISNUMBER(SEARCH(Validations!$Q$2:$Q$100, AS394)))), """")"),"")</f>
        <v/>
      </c>
      <c r="AX394" s="28" t="s">
        <v>152</v>
      </c>
      <c r="AY394" s="28" t="str">
        <f>IFERROR(__xludf.DUMMYFUNCTION("TEXTJOIN("", "", TRUE, FILTER(Validations!$Y$2:$Y$100, ISNUMBER(SEARCH(Validations!$X$2:$X$100, AX394))))"),"V, S, R")</f>
        <v>V, S, R</v>
      </c>
      <c r="AZ394" s="20" t="s">
        <v>1880</v>
      </c>
      <c r="BA394" s="22"/>
      <c r="BB394" s="22"/>
      <c r="BC394" s="22"/>
      <c r="BD394" s="22"/>
      <c r="BE394" s="27"/>
      <c r="BF394" s="22"/>
      <c r="BG394" s="27"/>
      <c r="BH394" s="27"/>
      <c r="BI394" s="12" t="str">
        <f>IFERROR(__xludf.DUMMYFUNCTION("IFERROR(TEXTJOIN("", "", TRUE, FILTER(SRD!$A$2:$A$1000, EXACT(SRD!$A$2:$A$1000, J394))), """")"),"")</f>
        <v/>
      </c>
      <c r="BJ394" s="29"/>
      <c r="BK394" s="29"/>
    </row>
    <row r="395">
      <c r="A395" s="30" t="s">
        <v>1881</v>
      </c>
      <c r="B395" s="22"/>
      <c r="C395" s="31"/>
      <c r="D395" s="31" t="s">
        <v>74</v>
      </c>
      <c r="E395" s="31"/>
      <c r="F395" s="32" t="s">
        <v>139</v>
      </c>
      <c r="G395" s="50" t="s">
        <v>1837</v>
      </c>
      <c r="H395" s="16" t="s">
        <v>140</v>
      </c>
      <c r="I395" s="16" t="str">
        <f t="array" ref="I395">INDEX(Validations!$C$2:$C$100, MATCH(TRUE, ISNUMBER(SEARCH(Validations!$B$2:$B$100, H395)), 0))</f>
        <v>N</v>
      </c>
      <c r="J395" s="17" t="s">
        <v>1882</v>
      </c>
      <c r="K395" s="18"/>
      <c r="L395" s="17"/>
      <c r="M395" s="17"/>
      <c r="N395" s="27"/>
      <c r="O395" s="17"/>
      <c r="P395" s="21"/>
      <c r="Q395" s="21"/>
      <c r="R395" s="22"/>
      <c r="S395" s="17" t="str">
        <f>IFERROR(__xludf.DUMMYFUNCTION("IFERROR(REGEXEXTRACT(J395, ""(\d{1,3}[dD]\d{1,3})""), """")"),"")</f>
        <v/>
      </c>
      <c r="T395" s="17" t="str">
        <f>IFERROR(__xludf.DUMMYFUNCTION("IF(COUNTIF(ARRAYFORMULA(LOWER(Validations!$O$2:$O$100)), LOWER(REGEXEXTRACT(J395, ""\d{1,3}[dD]\d{1,3}\s+(\w+)"")))&gt;0, REGEXEXTRACT(J395, ""\d{1,3}[dD]\d{1,3}\s+(\w+)""), """")"),"")</f>
        <v/>
      </c>
      <c r="U395" s="17" t="str">
        <f>IFERROR(__xludf.DUMMYFUNCTION("IF(COUNTIF(ARRAYFORMULA(LOWER(Validations!$P$2:$P$100)), LOWER(REGEXEXTRACT(J395, ""\d{1,3}[dD]\d{1,3}\s+(\w+)"")))&gt;0, REGEXEXTRACT(J395, ""\d{1,3}[dD]\d{1,3}\s+(\w+)""), """")"),"")</f>
        <v/>
      </c>
      <c r="V395" s="12" t="str">
        <f>IFERROR(__xludf.DUMMYFUNCTION("TEXTJOIN("", "", TRUE, FILTER(Validations!$L$2:$L$100, ISNUMBER(SEARCH(Validations!$L$2:$L$100, J395))))"),"")</f>
        <v/>
      </c>
      <c r="W395" s="12" t="str">
        <f>IFERROR(__xludf.DUMMYFUNCTION("IFERROR(TEXTJOIN("", "", TRUE, FILTER(Validations!$M$2:$M$100, ISNUMBER(SEARCH(Validations!$M$2:$M$100 &amp; "" saving throw"", J395)))), """")"),"")</f>
        <v/>
      </c>
      <c r="X395" s="12"/>
      <c r="Y395" s="12"/>
      <c r="Z395" s="12" t="str">
        <f>IFERROR(__xludf.DUMMYFUNCTION("IFERROR(TEXTJOIN("", "", TRUE, FILTER(Validations!$N$2:$N$100, ISNUMBER(SEARCH(Validations!$N$2:$N$100 &amp; "" check"", J395)))), """")"),"")</f>
        <v/>
      </c>
      <c r="AA395" s="12" t="str">
        <f>IFERROR(__xludf.DUMMYFUNCTION("IFERROR(TEXTJOIN("", "", TRUE, FILTER(Validations!$N$2:$N$100, ISNUMBER(SEARCH(Validations!$N$2:$N$100 &amp; "" check"", W395)))), """")"),"")</f>
        <v/>
      </c>
      <c r="AB395" s="23" t="str">
        <f>IFERROR(__xludf.DUMMYFUNCTION("IFERROR(CONCATENATE(IF(ISNUMBER(SEARCH(Validations!$M$2:$M$100 &amp; "" spell save"", J395)),""Spell Save"",""""), REGEXEXTRACT(J395, ""DC (\d+)"")), """")"),"")</f>
        <v/>
      </c>
      <c r="AC395" s="24" t="b">
        <v>0</v>
      </c>
      <c r="AD395" s="24" t="b">
        <v>0</v>
      </c>
      <c r="AE395" s="36" t="s">
        <v>296</v>
      </c>
      <c r="AF395" s="25">
        <f>IFERROR(__xludf.DUMMYFUNCTION("IFERROR(VALUE(REGEXEXTRACT(AE395, ""\d+"")), 1)"),1.0)</f>
        <v>1</v>
      </c>
      <c r="AG395" s="12" t="str">
        <f>IFERROR(__xludf.DUMMYFUNCTION("IF(
  ISNUMBER(SEARCH(""Bonus Action"", AE395)),
  ""Bonus Action"",
  IF(
    ISNUMBER(SEARCH(""Reaction"", AE395)),
    ""Reaction"",
    IF(
      ISNUMBER(SEARCH(""Action"", AE395)),
      ""Action"",
      TEXTJOIN("", "", TRUE, FILTER(Validations!$S"&amp;"$2:$S$100, ISNUMBER(SEARCH(Validations!$S$2:$S$100, AE395))))
    )
  )
)"),"Hours")</f>
        <v>Hours</v>
      </c>
      <c r="AH395" s="22"/>
      <c r="AI395" s="20" t="s">
        <v>347</v>
      </c>
      <c r="AJ395" s="26" t="str">
        <f>IFERROR(__xludf.DUMMYFUNCTION("TEXTJOIN("", "", TRUE, FILTER(Validations!$T$2:$T$100, ISNUMBER(SEARCH(Validations!$T$2:$T$100, AI395))))"),"")</f>
        <v/>
      </c>
      <c r="AK395" s="26">
        <f>IFERROR(__xludf.DUMMYFUNCTION("IFERROR(VALUE(REGEXEXTRACT(AI395, ""\d+"")), """")"),24.0)</f>
        <v>24</v>
      </c>
      <c r="AL395" s="26" t="str">
        <f>IFERROR(__xludf.DUMMYFUNCTION("TEXTJOIN("", "", TRUE, FILTER(Validations!$U$2:$U$100, ISNUMBER(SEARCH(Validations!$U$2:$U$100, AI395))))"),"Hours")</f>
        <v>Hours</v>
      </c>
      <c r="AM395" s="24" t="b">
        <f t="shared" si="1"/>
        <v>0</v>
      </c>
      <c r="AN395" s="24" t="b">
        <v>0</v>
      </c>
      <c r="AO395" s="22" t="s">
        <v>755</v>
      </c>
      <c r="AP395" s="12" t="str">
        <f>IFERROR(__xludf.DUMMYFUNCTION("IF(TEXTJOIN("", "", TRUE, FILTER(Validations!$Q$2:$Q$100, ISNUMBER(SEARCH(Validations!$Q$2:$Q$100, AO395)))) = """", Validations!$Q$2, TEXTJOIN("", "", TRUE, FILTER(Validations!$Q$2:$Q$100, ISNUMBER(SEARCH(Validations!$Q$2:$Q$100, AO395)))))"),"Point")</f>
        <v>Point</v>
      </c>
      <c r="AQ395" s="12">
        <f>IFERROR(__xludf.DUMMYFUNCTION("IFERROR(VALUE(REGEXEXTRACT(AO395, ""\d+"")), """")"),1.0)</f>
        <v>1</v>
      </c>
      <c r="AR395" s="12" t="str">
        <f>IFERROR(__xludf.DUMMYFUNCTION("TEXTJOIN("", "", TRUE, FILTER(Validations!$R$2:$R$100, ISNUMBER(SEARCH(Validations!$R$2:$R$100, AO395))))"),"")</f>
        <v/>
      </c>
      <c r="AS395" s="27"/>
      <c r="AT395" s="12" t="str">
        <f>IFERROR(__xludf.DUMMYFUNCTION("IFERROR(TEXTJOIN("", "", TRUE, FILTER(Validations!$I$2:$I$100, ISNUMBER(SEARCH(Validations!$I$2:$I$100, AS395)))), """")"),"")</f>
        <v/>
      </c>
      <c r="AU395" s="16" t="str">
        <f t="array" ref="AU395">IFERROR(INDEX(Validations!$J$2:$J$100, MATCH(TRUE, ISNUMBER(SEARCH(Validations!$I$2:$I$100, AT395)), 0)), "")</f>
        <v/>
      </c>
      <c r="AV395" s="12" t="str">
        <f>IFERROR(__xludf.DUMMYFUNCTION("IFERROR(VALUE(REGEXEXTRACT(AS395, ""\d+"")), """")"),"")</f>
        <v/>
      </c>
      <c r="AW395" s="12" t="str">
        <f>IFERROR(__xludf.DUMMYFUNCTION("IFERROR(TEXTJOIN("", "", TRUE, FILTER(Validations!$Q$2:$Q$100, ISNUMBER(SEARCH(Validations!$Q$2:$Q$100, AS395)))), """")"),"")</f>
        <v/>
      </c>
      <c r="AX395" s="28" t="s">
        <v>152</v>
      </c>
      <c r="AY395" s="28" t="str">
        <f>IFERROR(__xludf.DUMMYFUNCTION("TEXTJOIN("", "", TRUE, FILTER(Validations!$Y$2:$Y$100, ISNUMBER(SEARCH(Validations!$X$2:$X$100, AX395))))"),"V, S, R")</f>
        <v>V, S, R</v>
      </c>
      <c r="AZ395" s="20" t="s">
        <v>1883</v>
      </c>
      <c r="BA395" s="22"/>
      <c r="BB395" s="22"/>
      <c r="BC395" s="22"/>
      <c r="BD395" s="36" t="s">
        <v>1884</v>
      </c>
      <c r="BE395" s="27"/>
      <c r="BF395" s="22" t="s">
        <v>352</v>
      </c>
      <c r="BG395" s="27"/>
      <c r="BH395" s="27"/>
      <c r="BI395" s="12" t="str">
        <f>IFERROR(__xludf.DUMMYFUNCTION("IFERROR(TEXTJOIN("", "", TRUE, FILTER(SRD!$A$2:$A$1000, EXACT(SRD!$A$2:$A$1000, J395))), """")"),"")</f>
        <v/>
      </c>
      <c r="BJ395" s="29"/>
      <c r="BK395" s="29"/>
    </row>
    <row r="396">
      <c r="A396" s="30" t="s">
        <v>1885</v>
      </c>
      <c r="B396" s="22"/>
      <c r="C396" s="31"/>
      <c r="D396" s="31" t="s">
        <v>74</v>
      </c>
      <c r="E396" s="31"/>
      <c r="F396" s="40" t="s">
        <v>515</v>
      </c>
      <c r="G396" s="50" t="s">
        <v>1837</v>
      </c>
      <c r="H396" s="16" t="s">
        <v>103</v>
      </c>
      <c r="I396" s="16" t="str">
        <f t="array" ref="I396">INDEX(Validations!$C$2:$C$100, MATCH(TRUE, ISNUMBER(SEARCH(Validations!$B$2:$B$100, H396)), 0))</f>
        <v>C</v>
      </c>
      <c r="J396" s="17" t="s">
        <v>1886</v>
      </c>
      <c r="K396" s="18"/>
      <c r="L396" s="17"/>
      <c r="M396" s="17"/>
      <c r="N396" s="27"/>
      <c r="O396" s="17"/>
      <c r="P396" s="21"/>
      <c r="Q396" s="21"/>
      <c r="R396" s="22"/>
      <c r="S396" s="17" t="str">
        <f>IFERROR(__xludf.DUMMYFUNCTION("IFERROR(REGEXEXTRACT(J396, ""(\d{1,3}[dD]\d{1,3})""), """")"),"")</f>
        <v/>
      </c>
      <c r="T396" s="17" t="str">
        <f>IFERROR(__xludf.DUMMYFUNCTION("IF(COUNTIF(ARRAYFORMULA(LOWER(Validations!$O$2:$O$100)), LOWER(REGEXEXTRACT(J396, ""\d{1,3}[dD]\d{1,3}\s+(\w+)"")))&gt;0, REGEXEXTRACT(J396, ""\d{1,3}[dD]\d{1,3}\s+(\w+)""), """")"),"")</f>
        <v/>
      </c>
      <c r="U396" s="17" t="str">
        <f>IFERROR(__xludf.DUMMYFUNCTION("IF(COUNTIF(ARRAYFORMULA(LOWER(Validations!$P$2:$P$100)), LOWER(REGEXEXTRACT(J396, ""\d{1,3}[dD]\d{1,3}\s+(\w+)"")))&gt;0, REGEXEXTRACT(J396, ""\d{1,3}[dD]\d{1,3}\s+(\w+)""), """")"),"")</f>
        <v/>
      </c>
      <c r="V396" s="12" t="str">
        <f>IFERROR(__xludf.DUMMYFUNCTION("TEXTJOIN("", "", TRUE, FILTER(Validations!$L$2:$L$100, ISNUMBER(SEARCH(Validations!$L$2:$L$100, J396))))"),"")</f>
        <v/>
      </c>
      <c r="W396" s="12" t="str">
        <f>IFERROR(__xludf.DUMMYFUNCTION("IFERROR(TEXTJOIN("", "", TRUE, FILTER(Validations!$M$2:$M$100, ISNUMBER(SEARCH(Validations!$M$2:$M$100 &amp; "" saving throw"", J396)))), """")"),"")</f>
        <v/>
      </c>
      <c r="X396" s="12"/>
      <c r="Y396" s="12"/>
      <c r="Z396" s="12" t="str">
        <f>IFERROR(__xludf.DUMMYFUNCTION("IFERROR(TEXTJOIN("", "", TRUE, FILTER(Validations!$N$2:$N$100, ISNUMBER(SEARCH(Validations!$N$2:$N$100 &amp; "" check"", J396)))), """")"),"")</f>
        <v/>
      </c>
      <c r="AA396" s="12" t="str">
        <f>IFERROR(__xludf.DUMMYFUNCTION("IFERROR(TEXTJOIN("", "", TRUE, FILTER(Validations!$N$2:$N$100, ISNUMBER(SEARCH(Validations!$N$2:$N$100 &amp; "" check"", W396)))), """")"),"")</f>
        <v/>
      </c>
      <c r="AB396" s="23" t="str">
        <f>IFERROR(__xludf.DUMMYFUNCTION("IFERROR(CONCATENATE(IF(ISNUMBER(SEARCH(Validations!$M$2:$M$100 &amp; "" spell save"", J396)),""Spell Save"",""""), REGEXEXTRACT(J396, ""DC (\d+)"")), """")"),"")</f>
        <v/>
      </c>
      <c r="AC396" s="24" t="b">
        <v>0</v>
      </c>
      <c r="AD396" s="24" t="b">
        <v>0</v>
      </c>
      <c r="AE396" s="36" t="s">
        <v>69</v>
      </c>
      <c r="AF396" s="25">
        <f>IFERROR(__xludf.DUMMYFUNCTION("IFERROR(VALUE(REGEXEXTRACT(AE396, ""\d+"")), 1)"),1.0)</f>
        <v>1</v>
      </c>
      <c r="AG396" s="12" t="str">
        <f>IFERROR(__xludf.DUMMYFUNCTION("IF(
  ISNUMBER(SEARCH(""Bonus Action"", AE396)),
  ""Bonus Action"",
  IF(
    ISNUMBER(SEARCH(""Reaction"", AE396)),
    ""Reaction"",
    IF(
      ISNUMBER(SEARCH(""Action"", AE396)),
      ""Action"",
      TEXTJOIN("", "", TRUE, FILTER(Validations!$S"&amp;"$2:$S$100, ISNUMBER(SEARCH(Validations!$S$2:$S$100, AE396))))
    )
  )
)"),"Action")</f>
        <v>Action</v>
      </c>
      <c r="AH396" s="36"/>
      <c r="AI396" s="20" t="s">
        <v>296</v>
      </c>
      <c r="AJ396" s="26" t="str">
        <f>IFERROR(__xludf.DUMMYFUNCTION("TEXTJOIN("", "", TRUE, FILTER(Validations!$T$2:$T$100, ISNUMBER(SEARCH(Validations!$T$2:$T$100, AI396))))"),"")</f>
        <v/>
      </c>
      <c r="AK396" s="26">
        <f>IFERROR(__xludf.DUMMYFUNCTION("IFERROR(VALUE(REGEXEXTRACT(AI396, ""\d+"")), """")"),1.0)</f>
        <v>1</v>
      </c>
      <c r="AL396" s="26" t="str">
        <f>IFERROR(__xludf.DUMMYFUNCTION("TEXTJOIN("", "", TRUE, FILTER(Validations!$U$2:$U$100, ISNUMBER(SEARCH(Validations!$U$2:$U$100, AI396))))"),"Hours")</f>
        <v>Hours</v>
      </c>
      <c r="AM396" s="24" t="b">
        <f t="shared" si="1"/>
        <v>0</v>
      </c>
      <c r="AN396" s="24" t="b">
        <v>1</v>
      </c>
      <c r="AO396" s="22" t="s">
        <v>440</v>
      </c>
      <c r="AP396" s="12" t="str">
        <f>IFERROR(__xludf.DUMMYFUNCTION("IF(TEXTJOIN("", "", TRUE, FILTER(Validations!$Q$2:$Q$100, ISNUMBER(SEARCH(Validations!$Q$2:$Q$100, AO396)))) = """", Validations!$Q$2, TEXTJOIN("", "", TRUE, FILTER(Validations!$Q$2:$Q$100, ISNUMBER(SEARCH(Validations!$Q$2:$Q$100, AO396)))))"),"Point")</f>
        <v>Point</v>
      </c>
      <c r="AQ396" s="12">
        <f>IFERROR(__xludf.DUMMYFUNCTION("IFERROR(VALUE(REGEXEXTRACT(AO396, ""\d+"")), """")"),60.0)</f>
        <v>60</v>
      </c>
      <c r="AR396" s="12" t="str">
        <f>IFERROR(__xludf.DUMMYFUNCTION("TEXTJOIN("", "", TRUE, FILTER(Validations!$R$2:$R$100, ISNUMBER(SEARCH(Validations!$R$2:$R$100, AO396))))"),"Feet")</f>
        <v>Feet</v>
      </c>
      <c r="AS396" s="27"/>
      <c r="AT396" s="12" t="str">
        <f>IFERROR(__xludf.DUMMYFUNCTION("IFERROR(TEXTJOIN("", "", TRUE, FILTER(Validations!$I$2:$I$100, ISNUMBER(SEARCH(Validations!$I$2:$I$100, AS396)))), """")"),"")</f>
        <v/>
      </c>
      <c r="AU396" s="16" t="str">
        <f t="array" ref="AU396">IFERROR(INDEX(Validations!$J$2:$J$100, MATCH(TRUE, ISNUMBER(SEARCH(Validations!$I$2:$I$100, AT396)), 0)), "")</f>
        <v/>
      </c>
      <c r="AV396" s="12" t="str">
        <f>IFERROR(__xludf.DUMMYFUNCTION("IFERROR(VALUE(REGEXEXTRACT(AS396, ""\d+"")), """")"),"")</f>
        <v/>
      </c>
      <c r="AW396" s="12" t="str">
        <f>IFERROR(__xludf.DUMMYFUNCTION("IFERROR(TEXTJOIN("", "", TRUE, FILTER(Validations!$Q$2:$Q$100, ISNUMBER(SEARCH(Validations!$Q$2:$Q$100, AS396)))), """")"),"")</f>
        <v/>
      </c>
      <c r="AX396" s="28" t="s">
        <v>152</v>
      </c>
      <c r="AY396" s="28" t="str">
        <f>IFERROR(__xludf.DUMMYFUNCTION("TEXTJOIN("", "", TRUE, FILTER(Validations!$Y$2:$Y$100, ISNUMBER(SEARCH(Validations!$X$2:$X$100, AX396))))"),"V, S, R")</f>
        <v>V, S, R</v>
      </c>
      <c r="AZ396" s="20" t="s">
        <v>1887</v>
      </c>
      <c r="BA396" s="22"/>
      <c r="BB396" s="22"/>
      <c r="BC396" s="22"/>
      <c r="BD396" s="36" t="s">
        <v>1888</v>
      </c>
      <c r="BE396" s="27"/>
      <c r="BF396" s="22"/>
      <c r="BG396" s="27"/>
      <c r="BH396" s="20" t="s">
        <v>1889</v>
      </c>
      <c r="BI396" s="12" t="str">
        <f>IFERROR(__xludf.DUMMYFUNCTION("IFERROR(TEXTJOIN("", "", TRUE, FILTER(SRD!$A$2:$A$1000, EXACT(SRD!$A$2:$A$1000, J396))), """")"),"")</f>
        <v/>
      </c>
      <c r="BJ396" s="29"/>
      <c r="BK396" s="29"/>
    </row>
    <row r="397">
      <c r="A397" s="55" t="s">
        <v>1890</v>
      </c>
      <c r="B397" s="12"/>
      <c r="C397" s="56"/>
      <c r="D397" s="56"/>
      <c r="E397" s="56"/>
      <c r="F397" s="32" t="s">
        <v>1891</v>
      </c>
      <c r="G397" s="57" t="s">
        <v>1837</v>
      </c>
      <c r="H397" s="58" t="s">
        <v>140</v>
      </c>
      <c r="I397" s="16" t="str">
        <f t="array" ref="I397">INDEX(Validations!$C$2:$C$100, MATCH(TRUE, ISNUMBER(SEARCH(Validations!$B$2:$B$100, H397)), 0))</f>
        <v>N</v>
      </c>
      <c r="J397" s="36" t="s">
        <v>1892</v>
      </c>
      <c r="K397" s="34"/>
      <c r="L397" s="12"/>
      <c r="M397" s="12"/>
      <c r="N397" s="27"/>
      <c r="O397" s="59"/>
      <c r="P397" s="60"/>
      <c r="Q397" s="60"/>
      <c r="R397" s="22"/>
      <c r="S397" s="17" t="str">
        <f>IFERROR(__xludf.DUMMYFUNCTION("IFERROR(REGEXEXTRACT(J397, ""(\d{1,3}[dD]\d{1,3})""), """")"),"8d10")</f>
        <v>8d10</v>
      </c>
      <c r="T397" s="17" t="str">
        <f>IFERROR(__xludf.DUMMYFUNCTION("IF(COUNTIF(ARRAYFORMULA(LOWER(Validations!$O$2:$O$100)), LOWER(REGEXEXTRACT(J397, ""\d{1,3}[dD]\d{1,3}\s+(\w+)"")))&gt;0, REGEXEXTRACT(J397, ""\d{1,3}[dD]\d{1,3}\s+(\w+)""), """")"),"biologic")</f>
        <v>biologic</v>
      </c>
      <c r="U397" s="17"/>
      <c r="V397" s="12" t="str">
        <f>IFERROR(__xludf.DUMMYFUNCTION("TEXTJOIN("", "", TRUE, FILTER(Validations!$L$2:$L$100, ISNUMBER(SEARCH(Validations!$L$2:$L$100, J397))))"),"Mutated")</f>
        <v>Mutated</v>
      </c>
      <c r="W397" s="12" t="str">
        <f>IFERROR(__xludf.DUMMYFUNCTION("IFERROR(TEXTJOIN("", "", TRUE, FILTER(Validations!$M$2:$M$100, ISNUMBER(SEARCH(Validations!$M$2:$M$100 &amp; "" saving throw"", J397)))), """")"),"Constitution")</f>
        <v>Constitution</v>
      </c>
      <c r="X397" s="12"/>
      <c r="Y397" s="12"/>
      <c r="Z397" s="12" t="str">
        <f>IFERROR(__xludf.DUMMYFUNCTION("IFERROR(TEXTJOIN("", "", TRUE, FILTER(Validations!$N$2:$N$100, ISNUMBER(SEARCH(Validations!$N$2:$N$100 &amp; "" check"", J397)))), """")"),"")</f>
        <v/>
      </c>
      <c r="AA397" s="12" t="str">
        <f>IFERROR(__xludf.DUMMYFUNCTION("IFERROR(TEXTJOIN("", "", TRUE, FILTER(Validations!$N$2:$N$100, ISNUMBER(SEARCH(Validations!$N$2:$N$100 &amp; "" check"", W397)))), """")"),"")</f>
        <v/>
      </c>
      <c r="AB397" s="23" t="str">
        <f>IFERROR(__xludf.DUMMYFUNCTION("IFERROR(CONCATENATE(IF(ISNUMBER(SEARCH(Validations!$M$2:$M$100 &amp; "" spell save"", J397)),""Spell Save"",""""), REGEXEXTRACT(J397, ""DC (\d+)"")), """")"),"")</f>
        <v/>
      </c>
      <c r="AC397" s="42" t="b">
        <v>0</v>
      </c>
      <c r="AD397" s="42" t="b">
        <v>0</v>
      </c>
      <c r="AE397" s="36" t="s">
        <v>69</v>
      </c>
      <c r="AF397" s="25">
        <f>IFERROR(__xludf.DUMMYFUNCTION("IFERROR(VALUE(REGEXEXTRACT(AE397, ""\d+"")), 1)"),1.0)</f>
        <v>1</v>
      </c>
      <c r="AG397" s="12" t="str">
        <f>IFERROR(__xludf.DUMMYFUNCTION("IF(
  ISNUMBER(SEARCH(""Bonus Action"", AE397)),
  ""Bonus Action"",
  IF(
    ISNUMBER(SEARCH(""Reaction"", AE397)),
    ""Reaction"",
    IF(
      ISNUMBER(SEARCH(""Action"", AE397)),
      ""Action"",
      TEXTJOIN("", "", TRUE, FILTER(Validations!$S"&amp;"$2:$S$100, ISNUMBER(SEARCH(Validations!$S$2:$S$100, AE397))))
    )
  )
)"),"Action")</f>
        <v>Action</v>
      </c>
      <c r="AH397" s="36"/>
      <c r="AI397" s="20" t="s">
        <v>556</v>
      </c>
      <c r="AJ397" s="26" t="str">
        <f>IFERROR(__xludf.DUMMYFUNCTION("TEXTJOIN("", "", TRUE, FILTER(Validations!$T$2:$T$100, ISNUMBER(SEARCH(Validations!$T$2:$T$100, AI397))))"),"")</f>
        <v/>
      </c>
      <c r="AK397" s="26">
        <f>IFERROR(__xludf.DUMMYFUNCTION("IFERROR(VALUE(REGEXEXTRACT(AI397, ""\d+"")), """")"),1.0)</f>
        <v>1</v>
      </c>
      <c r="AL397" s="26" t="str">
        <f>IFERROR(__xludf.DUMMYFUNCTION("TEXTJOIN("", "", TRUE, FILTER(Validations!$U$2:$U$100, ISNUMBER(SEARCH(Validations!$U$2:$U$100, AI397))))"),"Minutes")</f>
        <v>Minutes</v>
      </c>
      <c r="AM397" s="24" t="b">
        <f t="shared" si="1"/>
        <v>1</v>
      </c>
      <c r="AN397" s="42" t="b">
        <v>1</v>
      </c>
      <c r="AO397" s="36" t="s">
        <v>502</v>
      </c>
      <c r="AP397" s="12" t="str">
        <f>IFERROR(__xludf.DUMMYFUNCTION("IF(TEXTJOIN("", "", TRUE, FILTER(Validations!$Q$2:$Q$100, ISNUMBER(SEARCH(Validations!$Q$2:$Q$100, AO397)))) = """", Validations!$Q$2, TEXTJOIN("", "", TRUE, FILTER(Validations!$Q$2:$Q$100, ISNUMBER(SEARCH(Validations!$Q$2:$Q$100, AO397)))))"),"Point")</f>
        <v>Point</v>
      </c>
      <c r="AQ397" s="12">
        <f>IFERROR(__xludf.DUMMYFUNCTION("IFERROR(VALUE(REGEXEXTRACT(AO397, ""\d+"")), """")"),120.0)</f>
        <v>120</v>
      </c>
      <c r="AR397" s="12" t="str">
        <f>IFERROR(__xludf.DUMMYFUNCTION("TEXTJOIN("", "", TRUE, FILTER(Validations!$R$2:$R$100, ISNUMBER(SEARCH(Validations!$R$2:$R$100, AO397))))"),"Feet")</f>
        <v>Feet</v>
      </c>
      <c r="AS397" s="20" t="s">
        <v>1893</v>
      </c>
      <c r="AT397" s="12" t="str">
        <f>IFERROR(__xludf.DUMMYFUNCTION("IFERROR(TEXTJOIN("", "", TRUE, FILTER(Validations!$I$2:$I$100, ISNUMBER(SEARCH(Validations!$I$2:$I$100, AS397)))), """")"),"Sphere")</f>
        <v>Sphere</v>
      </c>
      <c r="AU397" s="16" t="str">
        <f t="array" ref="AU397">IFERROR(INDEX(Validations!$J$2:$J$100, MATCH(TRUE, ISNUMBER(SEARCH(Validations!$I$2:$I$100, AT397)), 0)), "")</f>
        <v>S</v>
      </c>
      <c r="AV397" s="12">
        <f>IFERROR(__xludf.DUMMYFUNCTION("IFERROR(VALUE(REGEXEXTRACT(AS397, ""\d+"")), """")"),20.0)</f>
        <v>20</v>
      </c>
      <c r="AW397" s="12" t="str">
        <f>IFERROR(__xludf.DUMMYFUNCTION("IFERROR(TEXTJOIN("", "", TRUE, FILTER(Validations!$Q$2:$Q$100, ISNUMBER(SEARCH(Validations!$Q$2:$Q$100, AS397)))), """")"),"Radius, Sphere")</f>
        <v>Radius, Sphere</v>
      </c>
      <c r="AX397" s="28" t="s">
        <v>262</v>
      </c>
      <c r="AY397" s="28" t="str">
        <f>IFERROR(__xludf.DUMMYFUNCTION("TEXTJOIN("", "", TRUE, FILTER(Validations!$Y$2:$Y$100, ISNUMBER(SEARCH(Validations!$X$2:$X$100, AX397))))"),"V, S, R")</f>
        <v>V, S, R</v>
      </c>
      <c r="AZ397" s="20" t="s">
        <v>1894</v>
      </c>
      <c r="BA397" s="59"/>
      <c r="BB397" s="22"/>
      <c r="BC397" s="22"/>
      <c r="BD397" s="22"/>
      <c r="BE397" s="27"/>
      <c r="BF397" s="22"/>
      <c r="BG397" s="27"/>
      <c r="BH397" s="27"/>
      <c r="BI397" s="12" t="str">
        <f>IFERROR(__xludf.DUMMYFUNCTION("IFERROR(TEXTJOIN("", "", TRUE, FILTER(SRD!$A$2:$A$1000, EXACT(SRD!$A$2:$A$1000, J397))), """")"),"")</f>
        <v/>
      </c>
      <c r="BJ397" s="29"/>
      <c r="BK397" s="29"/>
    </row>
    <row r="398">
      <c r="A398" s="55" t="s">
        <v>1895</v>
      </c>
      <c r="B398" s="12"/>
      <c r="C398" s="56"/>
      <c r="D398" s="56"/>
      <c r="E398" s="56"/>
      <c r="F398" s="32" t="s">
        <v>139</v>
      </c>
      <c r="G398" s="57" t="s">
        <v>1837</v>
      </c>
      <c r="H398" s="58" t="s">
        <v>178</v>
      </c>
      <c r="I398" s="16" t="str">
        <f t="array" ref="I398">INDEX(Validations!$C$2:$C$100, MATCH(TRUE, ISNUMBER(SEARCH(Validations!$B$2:$B$100, H398)), 0))</f>
        <v>A</v>
      </c>
      <c r="J398" s="36" t="s">
        <v>1896</v>
      </c>
      <c r="K398" s="34"/>
      <c r="L398" s="12"/>
      <c r="M398" s="12"/>
      <c r="N398" s="27"/>
      <c r="O398" s="64" t="s">
        <v>1897</v>
      </c>
      <c r="P398" s="60"/>
      <c r="Q398" s="60"/>
      <c r="R398" s="22"/>
      <c r="S398" s="17" t="str">
        <f>IFERROR(__xludf.DUMMYFUNCTION("IFERROR(REGEXEXTRACT(J398, ""(\d{1,3}[dD]\d{1,3})""), """")"),"")</f>
        <v/>
      </c>
      <c r="T398" s="17" t="str">
        <f>IFERROR(__xludf.DUMMYFUNCTION("IF(COUNTIF(ARRAYFORMULA(LOWER(Validations!$O$2:$O$100)), LOWER(REGEXEXTRACT(J398, ""\d{1,3}[dD]\d{1,3}\s+(\w+)"")))&gt;0, REGEXEXTRACT(J398, ""\d{1,3}[dD]\d{1,3}\s+(\w+)""), """")"),"")</f>
        <v/>
      </c>
      <c r="U398" s="17"/>
      <c r="V398" s="12" t="str">
        <f>IFERROR(__xludf.DUMMYFUNCTION("TEXTJOIN("", "", TRUE, FILTER(Validations!$L$2:$L$100, ISNUMBER(SEARCH(Validations!$L$2:$L$100, J398))))"),"")</f>
        <v/>
      </c>
      <c r="W398" s="12" t="str">
        <f>IFERROR(__xludf.DUMMYFUNCTION("IFERROR(TEXTJOIN("", "", TRUE, FILTER(Validations!$M$2:$M$100, ISNUMBER(SEARCH(Validations!$M$2:$M$100 &amp; "" saving throw"", J398)))), """")"),"")</f>
        <v/>
      </c>
      <c r="X398" s="12"/>
      <c r="Y398" s="12"/>
      <c r="Z398" s="12" t="str">
        <f>IFERROR(__xludf.DUMMYFUNCTION("IFERROR(TEXTJOIN("", "", TRUE, FILTER(Validations!$N$2:$N$100, ISNUMBER(SEARCH(Validations!$N$2:$N$100 &amp; "" check"", J398)))), """")"),"")</f>
        <v/>
      </c>
      <c r="AA398" s="12" t="str">
        <f>IFERROR(__xludf.DUMMYFUNCTION("IFERROR(TEXTJOIN("", "", TRUE, FILTER(Validations!$N$2:$N$100, ISNUMBER(SEARCH(Validations!$N$2:$N$100 &amp; "" check"", W398)))), """")"),"")</f>
        <v/>
      </c>
      <c r="AB398" s="23" t="str">
        <f>IFERROR(__xludf.DUMMYFUNCTION("IFERROR(CONCATENATE(IF(ISNUMBER(SEARCH(Validations!$M$2:$M$100 &amp; "" spell save"", J398)),""Spell Save"",""""), REGEXEXTRACT(J398, ""DC (\d+)"")), """")"),"")</f>
        <v/>
      </c>
      <c r="AC398" s="42" t="b">
        <v>0</v>
      </c>
      <c r="AD398" s="42" t="b">
        <v>0</v>
      </c>
      <c r="AE398" s="36" t="s">
        <v>69</v>
      </c>
      <c r="AF398" s="25">
        <f>IFERROR(__xludf.DUMMYFUNCTION("IFERROR(VALUE(REGEXEXTRACT(AE398, ""\d+"")), 1)"),1.0)</f>
        <v>1</v>
      </c>
      <c r="AG398" s="12" t="str">
        <f>IFERROR(__xludf.DUMMYFUNCTION("IF(
  ISNUMBER(SEARCH(""Bonus Action"", AE398)),
  ""Bonus Action"",
  IF(
    ISNUMBER(SEARCH(""Reaction"", AE398)),
    ""Reaction"",
    IF(
      ISNUMBER(SEARCH(""Action"", AE398)),
      ""Action"",
      TEXTJOIN("", "", TRUE, FILTER(Validations!$S"&amp;"$2:$S$100, ISNUMBER(SEARCH(Validations!$S$2:$S$100, AE398))))
    )
  )
)"),"Action")</f>
        <v>Action</v>
      </c>
      <c r="AH398" s="36"/>
      <c r="AI398" s="20" t="s">
        <v>556</v>
      </c>
      <c r="AJ398" s="26" t="str">
        <f>IFERROR(__xludf.DUMMYFUNCTION("TEXTJOIN("", "", TRUE, FILTER(Validations!$T$2:$T$100, ISNUMBER(SEARCH(Validations!$T$2:$T$100, AI398))))"),"")</f>
        <v/>
      </c>
      <c r="AK398" s="26">
        <f>IFERROR(__xludf.DUMMYFUNCTION("IFERROR(VALUE(REGEXEXTRACT(AI398, ""\d+"")), """")"),1.0)</f>
        <v>1</v>
      </c>
      <c r="AL398" s="26" t="str">
        <f>IFERROR(__xludf.DUMMYFUNCTION("TEXTJOIN("", "", TRUE, FILTER(Validations!$U$2:$U$100, ISNUMBER(SEARCH(Validations!$U$2:$U$100, AI398))))"),"Minutes")</f>
        <v>Minutes</v>
      </c>
      <c r="AM398" s="24" t="b">
        <f t="shared" si="1"/>
        <v>1</v>
      </c>
      <c r="AN398" s="42" t="b">
        <v>1</v>
      </c>
      <c r="AO398" s="36" t="s">
        <v>440</v>
      </c>
      <c r="AP398" s="12" t="str">
        <f>IFERROR(__xludf.DUMMYFUNCTION("IF(TEXTJOIN("", "", TRUE, FILTER(Validations!$Q$2:$Q$100, ISNUMBER(SEARCH(Validations!$Q$2:$Q$100, AO398)))) = """", Validations!$Q$2, TEXTJOIN("", "", TRUE, FILTER(Validations!$Q$2:$Q$100, ISNUMBER(SEARCH(Validations!$Q$2:$Q$100, AO398)))))"),"Point")</f>
        <v>Point</v>
      </c>
      <c r="AQ398" s="12">
        <f>IFERROR(__xludf.DUMMYFUNCTION("IFERROR(VALUE(REGEXEXTRACT(AO398, ""\d+"")), """")"),60.0)</f>
        <v>60</v>
      </c>
      <c r="AR398" s="12" t="str">
        <f>IFERROR(__xludf.DUMMYFUNCTION("TEXTJOIN("", "", TRUE, FILTER(Validations!$R$2:$R$100, ISNUMBER(SEARCH(Validations!$R$2:$R$100, AO398))))"),"Feet")</f>
        <v>Feet</v>
      </c>
      <c r="AS398" s="27"/>
      <c r="AT398" s="12" t="str">
        <f>IFERROR(__xludf.DUMMYFUNCTION("IFERROR(TEXTJOIN("", "", TRUE, FILTER(Validations!$I$2:$I$100, ISNUMBER(SEARCH(Validations!$I$2:$I$100, AS398)))), """")"),"")</f>
        <v/>
      </c>
      <c r="AU398" s="16" t="str">
        <f t="array" ref="AU398">IFERROR(INDEX(Validations!$J$2:$J$100, MATCH(TRUE, ISNUMBER(SEARCH(Validations!$I$2:$I$100, AT398)), 0)), "")</f>
        <v/>
      </c>
      <c r="AV398" s="12" t="str">
        <f>IFERROR(__xludf.DUMMYFUNCTION("IFERROR(VALUE(REGEXEXTRACT(AS398, ""\d+"")), """")"),"")</f>
        <v/>
      </c>
      <c r="AW398" s="12" t="str">
        <f>IFERROR(__xludf.DUMMYFUNCTION("IFERROR(TEXTJOIN("", "", TRUE, FILTER(Validations!$Q$2:$Q$100, ISNUMBER(SEARCH(Validations!$Q$2:$Q$100, AS398)))), """")"),"")</f>
        <v/>
      </c>
      <c r="AX398" s="28" t="s">
        <v>262</v>
      </c>
      <c r="AY398" s="28" t="str">
        <f>IFERROR(__xludf.DUMMYFUNCTION("TEXTJOIN("", "", TRUE, FILTER(Validations!$Y$2:$Y$100, ISNUMBER(SEARCH(Validations!$X$2:$X$100, AX398))))"),"V, S, R")</f>
        <v>V, S, R</v>
      </c>
      <c r="AZ398" s="20" t="s">
        <v>1898</v>
      </c>
      <c r="BA398" s="59"/>
      <c r="BB398" s="22"/>
      <c r="BC398" s="22"/>
      <c r="BD398" s="22"/>
      <c r="BE398" s="27"/>
      <c r="BF398" s="22"/>
      <c r="BG398" s="27"/>
      <c r="BH398" s="27"/>
      <c r="BI398" s="12" t="str">
        <f>IFERROR(__xludf.DUMMYFUNCTION("IFERROR(TEXTJOIN("", "", TRUE, FILTER(SRD!$A$2:$A$1000, EXACT(SRD!$A$2:$A$1000, J398))), """")"),"")</f>
        <v/>
      </c>
      <c r="BJ398" s="29"/>
      <c r="BK398" s="29"/>
    </row>
    <row r="399">
      <c r="A399" s="55" t="s">
        <v>1899</v>
      </c>
      <c r="B399" s="12"/>
      <c r="C399" s="56"/>
      <c r="D399" s="56"/>
      <c r="E399" s="56"/>
      <c r="F399" s="40"/>
      <c r="G399" s="57" t="s">
        <v>1837</v>
      </c>
      <c r="H399" s="58" t="s">
        <v>85</v>
      </c>
      <c r="I399" s="16" t="str">
        <f t="array" ref="I399">INDEX(Validations!$C$2:$C$100, MATCH(TRUE, ISNUMBER(SEARCH(Validations!$B$2:$B$100, H399)), 0))</f>
        <v>T</v>
      </c>
      <c r="J399" s="36" t="s">
        <v>1900</v>
      </c>
      <c r="K399" s="34"/>
      <c r="L399" s="12"/>
      <c r="M399" s="12"/>
      <c r="N399" s="27"/>
      <c r="O399" s="64" t="s">
        <v>1901</v>
      </c>
      <c r="P399" s="60"/>
      <c r="Q399" s="60"/>
      <c r="R399" s="22"/>
      <c r="S399" s="17" t="str">
        <f>IFERROR(__xludf.DUMMYFUNCTION("IFERROR(REGEXEXTRACT(J399, ""(\d{1,3}[dD]\d{1,3})""), """")"),"")</f>
        <v/>
      </c>
      <c r="T399" s="17" t="str">
        <f>IFERROR(__xludf.DUMMYFUNCTION("IF(COUNTIF(ARRAYFORMULA(LOWER(Validations!$O$2:$O$100)), LOWER(REGEXEXTRACT(J399, ""\d{1,3}[dD]\d{1,3}\s+(\w+)"")))&gt;0, REGEXEXTRACT(J399, ""\d{1,3}[dD]\d{1,3}\s+(\w+)""), """")"),"")</f>
        <v/>
      </c>
      <c r="U399" s="17"/>
      <c r="V399" s="12" t="str">
        <f>IFERROR(__xludf.DUMMYFUNCTION("TEXTJOIN("", "", TRUE, FILTER(Validations!$L$2:$L$100, ISNUMBER(SEARCH(Validations!$L$2:$L$100, J399))))"),"Incapacitated")</f>
        <v>Incapacitated</v>
      </c>
      <c r="W399" s="12" t="str">
        <f>IFERROR(__xludf.DUMMYFUNCTION("IFERROR(TEXTJOIN("", "", TRUE, FILTER(Validations!$M$2:$M$100, ISNUMBER(SEARCH(Validations!$M$2:$M$100 &amp; "" saving throw"", J399)))), """")"),"Wisdom")</f>
        <v>Wisdom</v>
      </c>
      <c r="X399" s="12"/>
      <c r="Y399" s="12"/>
      <c r="Z399" s="12" t="str">
        <f>IFERROR(__xludf.DUMMYFUNCTION("IFERROR(TEXTJOIN("", "", TRUE, FILTER(Validations!$N$2:$N$100, ISNUMBER(SEARCH(Validations!$N$2:$N$100 &amp; "" check"", J399)))), """")"),"")</f>
        <v/>
      </c>
      <c r="AA399" s="12" t="str">
        <f>IFERROR(__xludf.DUMMYFUNCTION("IFERROR(TEXTJOIN("", "", TRUE, FILTER(Validations!$N$2:$N$100, ISNUMBER(SEARCH(Validations!$N$2:$N$100 &amp; "" check"", W399)))), """")"),"")</f>
        <v/>
      </c>
      <c r="AB399" s="23" t="str">
        <f>IFERROR(__xludf.DUMMYFUNCTION("IFERROR(CONCATENATE(IF(ISNUMBER(SEARCH(Validations!$M$2:$M$100 &amp; "" spell save"", J399)),""Spell Save"",""""), REGEXEXTRACT(J399, ""DC (\d+)"")), """")"),"17")</f>
        <v>17</v>
      </c>
      <c r="AC399" s="42" t="b">
        <v>0</v>
      </c>
      <c r="AD399" s="42" t="b">
        <v>0</v>
      </c>
      <c r="AE399" s="36" t="s">
        <v>69</v>
      </c>
      <c r="AF399" s="25">
        <f>IFERROR(__xludf.DUMMYFUNCTION("IFERROR(VALUE(REGEXEXTRACT(AE399, ""\d+"")), 1)"),1.0)</f>
        <v>1</v>
      </c>
      <c r="AG399" s="12" t="str">
        <f>IFERROR(__xludf.DUMMYFUNCTION("IF(
  ISNUMBER(SEARCH(""Bonus Action"", AE399)),
  ""Bonus Action"",
  IF(
    ISNUMBER(SEARCH(""Reaction"", AE399)),
    ""Reaction"",
    IF(
      ISNUMBER(SEARCH(""Action"", AE399)),
      ""Action"",
      TEXTJOIN("", "", TRUE, FILTER(Validations!$S"&amp;"$2:$S$100, ISNUMBER(SEARCH(Validations!$S$2:$S$100, AE399))))
    )
  )
)"),"Action")</f>
        <v>Action</v>
      </c>
      <c r="AH399" s="36"/>
      <c r="AI399" s="20" t="s">
        <v>446</v>
      </c>
      <c r="AJ399" s="26" t="str">
        <f>IFERROR(__xludf.DUMMYFUNCTION("TEXTJOIN("", "", TRUE, FILTER(Validations!$T$2:$T$100, ISNUMBER(SEARCH(Validations!$T$2:$T$100, AI399))))"),"")</f>
        <v/>
      </c>
      <c r="AK399" s="26">
        <f>IFERROR(__xludf.DUMMYFUNCTION("IFERROR(VALUE(REGEXEXTRACT(AI399, ""\d+"")), """")"),10.0)</f>
        <v>10</v>
      </c>
      <c r="AL399" s="26" t="str">
        <f>IFERROR(__xludf.DUMMYFUNCTION("TEXTJOIN("", "", TRUE, FILTER(Validations!$U$2:$U$100, ISNUMBER(SEARCH(Validations!$U$2:$U$100, AI399))))"),"Minutes")</f>
        <v>Minutes</v>
      </c>
      <c r="AM399" s="24" t="b">
        <f t="shared" si="1"/>
        <v>1</v>
      </c>
      <c r="AN399" s="42" t="b">
        <v>1</v>
      </c>
      <c r="AO399" s="36" t="s">
        <v>440</v>
      </c>
      <c r="AP399" s="12" t="str">
        <f>IFERROR(__xludf.DUMMYFUNCTION("IF(TEXTJOIN("", "", TRUE, FILTER(Validations!$Q$2:$Q$100, ISNUMBER(SEARCH(Validations!$Q$2:$Q$100, AO399)))) = """", Validations!$Q$2, TEXTJOIN("", "", TRUE, FILTER(Validations!$Q$2:$Q$100, ISNUMBER(SEARCH(Validations!$Q$2:$Q$100, AO399)))))"),"Point")</f>
        <v>Point</v>
      </c>
      <c r="AQ399" s="12">
        <f>IFERROR(__xludf.DUMMYFUNCTION("IFERROR(VALUE(REGEXEXTRACT(AO399, ""\d+"")), """")"),60.0)</f>
        <v>60</v>
      </c>
      <c r="AR399" s="12" t="str">
        <f>IFERROR(__xludf.DUMMYFUNCTION("TEXTJOIN("", "", TRUE, FILTER(Validations!$R$2:$R$100, ISNUMBER(SEARCH(Validations!$R$2:$R$100, AO399))))"),"Feet")</f>
        <v>Feet</v>
      </c>
      <c r="AS399" s="27"/>
      <c r="AT399" s="12" t="str">
        <f>IFERROR(__xludf.DUMMYFUNCTION("IFERROR(TEXTJOIN("", "", TRUE, FILTER(Validations!$I$2:$I$100, ISNUMBER(SEARCH(Validations!$I$2:$I$100, AS399)))), """")"),"")</f>
        <v/>
      </c>
      <c r="AU399" s="16" t="str">
        <f t="array" ref="AU399">IFERROR(INDEX(Validations!$J$2:$J$100, MATCH(TRUE, ISNUMBER(SEARCH(Validations!$I$2:$I$100, AT399)), 0)), "")</f>
        <v/>
      </c>
      <c r="AV399" s="12" t="str">
        <f>IFERROR(__xludf.DUMMYFUNCTION("IFERROR(VALUE(REGEXEXTRACT(AS399, ""\d+"")), """")"),"")</f>
        <v/>
      </c>
      <c r="AW399" s="12" t="str">
        <f>IFERROR(__xludf.DUMMYFUNCTION("IFERROR(TEXTJOIN("", "", TRUE, FILTER(Validations!$Q$2:$Q$100, ISNUMBER(SEARCH(Validations!$Q$2:$Q$100, AS399)))), """")"),"")</f>
        <v/>
      </c>
      <c r="AX399" s="28" t="s">
        <v>262</v>
      </c>
      <c r="AY399" s="28" t="str">
        <f>IFERROR(__xludf.DUMMYFUNCTION("TEXTJOIN("", "", TRUE, FILTER(Validations!$Y$2:$Y$100, ISNUMBER(SEARCH(Validations!$X$2:$X$100, AX399))))"),"V, S, R")</f>
        <v>V, S, R</v>
      </c>
      <c r="AZ399" s="20" t="s">
        <v>1902</v>
      </c>
      <c r="BA399" s="59"/>
      <c r="BB399" s="22"/>
      <c r="BC399" s="22"/>
      <c r="BD399" s="22"/>
      <c r="BE399" s="27"/>
      <c r="BF399" s="22"/>
      <c r="BG399" s="27"/>
      <c r="BH399" s="27"/>
      <c r="BI399" s="12" t="str">
        <f>IFERROR(__xludf.DUMMYFUNCTION("IFERROR(TEXTJOIN("", "", TRUE, FILTER(SRD!$A$2:$A$1000, EXACT(SRD!$A$2:$A$1000, J399))), """")"),"")</f>
        <v/>
      </c>
      <c r="BJ399" s="29"/>
      <c r="BK399" s="29"/>
    </row>
    <row r="400">
      <c r="A400" s="55" t="s">
        <v>1903</v>
      </c>
      <c r="B400" s="12"/>
      <c r="C400" s="56"/>
      <c r="D400" s="56"/>
      <c r="E400" s="56"/>
      <c r="F400" s="40"/>
      <c r="G400" s="57" t="s">
        <v>1837</v>
      </c>
      <c r="H400" s="58" t="s">
        <v>85</v>
      </c>
      <c r="I400" s="16" t="str">
        <f t="array" ref="I400">INDEX(Validations!$C$2:$C$100, MATCH(TRUE, ISNUMBER(SEARCH(Validations!$B$2:$B$100, H400)), 0))</f>
        <v>T</v>
      </c>
      <c r="J400" s="36" t="s">
        <v>1904</v>
      </c>
      <c r="K400" s="34"/>
      <c r="L400" s="12"/>
      <c r="M400" s="36" t="s">
        <v>1905</v>
      </c>
      <c r="N400" s="27"/>
      <c r="O400" s="59"/>
      <c r="P400" s="60"/>
      <c r="Q400" s="60"/>
      <c r="R400" s="22"/>
      <c r="S400" s="17" t="str">
        <f>IFERROR(__xludf.DUMMYFUNCTION("IFERROR(REGEXEXTRACT(J400, ""(\d{1,3}[dD]\d{1,3})""), """")"),"1d4")</f>
        <v>1d4</v>
      </c>
      <c r="T400" s="17" t="str">
        <f>IFERROR(__xludf.DUMMYFUNCTION("IF(COUNTIF(ARRAYFORMULA(LOWER(Validations!$O$2:$O$100)), LOWER(REGEXEXTRACT(J400, ""\d{1,3}[dD]\d{1,3}\s+(\w+)"")))&gt;0, REGEXEXTRACT(J400, ""\d{1,3}[dD]\d{1,3}\s+(\w+)""), """")"),"")</f>
        <v/>
      </c>
      <c r="U400" s="17"/>
      <c r="V400" s="12" t="str">
        <f>IFERROR(__xludf.DUMMYFUNCTION("TEXTJOIN("", "", TRUE, FILTER(Validations!$L$2:$L$100, ISNUMBER(SEARCH(Validations!$L$2:$L$100, J400))))"),"")</f>
        <v/>
      </c>
      <c r="W400" s="12" t="str">
        <f>IFERROR(__xludf.DUMMYFUNCTION("IFERROR(TEXTJOIN("", "", TRUE, FILTER(Validations!$M$2:$M$100, ISNUMBER(SEARCH(Validations!$M$2:$M$100 &amp; "" saving throw"", J400)))), """")"),"Strength, Constitution")</f>
        <v>Strength, Constitution</v>
      </c>
      <c r="X400" s="12"/>
      <c r="Y400" s="12"/>
      <c r="Z400" s="12" t="str">
        <f>IFERROR(__xludf.DUMMYFUNCTION("IFERROR(TEXTJOIN("", "", TRUE, FILTER(Validations!$N$2:$N$100, ISNUMBER(SEARCH(Validations!$N$2:$N$100 &amp; "" check"", J400)))), """")"),"")</f>
        <v/>
      </c>
      <c r="AA400" s="12" t="str">
        <f>IFERROR(__xludf.DUMMYFUNCTION("IFERROR(TEXTJOIN("", "", TRUE, FILTER(Validations!$N$2:$N$100, ISNUMBER(SEARCH(Validations!$N$2:$N$100 &amp; "" check"", W400)))), """")"),"")</f>
        <v/>
      </c>
      <c r="AB400" s="23" t="str">
        <f>IFERROR(__xludf.DUMMYFUNCTION("IFERROR(CONCATENATE(IF(ISNUMBER(SEARCH(Validations!$M$2:$M$100 &amp; "" spell save"", J400)),""Spell Save"",""""), REGEXEXTRACT(J400, ""DC (\d+)"")), """")"),"18")</f>
        <v>18</v>
      </c>
      <c r="AC400" s="42" t="b">
        <v>0</v>
      </c>
      <c r="AD400" s="42" t="b">
        <v>0</v>
      </c>
      <c r="AE400" s="36" t="s">
        <v>69</v>
      </c>
      <c r="AF400" s="25">
        <f>IFERROR(__xludf.DUMMYFUNCTION("IFERROR(VALUE(REGEXEXTRACT(AE400, ""\d+"")), 1)"),1.0)</f>
        <v>1</v>
      </c>
      <c r="AG400" s="12" t="str">
        <f>IFERROR(__xludf.DUMMYFUNCTION("IF(
  ISNUMBER(SEARCH(""Bonus Action"", AE400)),
  ""Bonus Action"",
  IF(
    ISNUMBER(SEARCH(""Reaction"", AE400)),
    ""Reaction"",
    IF(
      ISNUMBER(SEARCH(""Action"", AE400)),
      ""Action"",
      TEXTJOIN("", "", TRUE, FILTER(Validations!$S"&amp;"$2:$S$100, ISNUMBER(SEARCH(Validations!$S$2:$S$100, AE400))))
    )
  )
)"),"Action")</f>
        <v>Action</v>
      </c>
      <c r="AH400" s="36"/>
      <c r="AI400" s="20" t="s">
        <v>556</v>
      </c>
      <c r="AJ400" s="26" t="str">
        <f>IFERROR(__xludf.DUMMYFUNCTION("TEXTJOIN("", "", TRUE, FILTER(Validations!$T$2:$T$100, ISNUMBER(SEARCH(Validations!$T$2:$T$100, AI400))))"),"")</f>
        <v/>
      </c>
      <c r="AK400" s="26">
        <f>IFERROR(__xludf.DUMMYFUNCTION("IFERROR(VALUE(REGEXEXTRACT(AI400, ""\d+"")), """")"),1.0)</f>
        <v>1</v>
      </c>
      <c r="AL400" s="26" t="str">
        <f>IFERROR(__xludf.DUMMYFUNCTION("TEXTJOIN("", "", TRUE, FILTER(Validations!$U$2:$U$100, ISNUMBER(SEARCH(Validations!$U$2:$U$100, AI400))))"),"Minutes")</f>
        <v>Minutes</v>
      </c>
      <c r="AM400" s="24" t="b">
        <f t="shared" si="1"/>
        <v>1</v>
      </c>
      <c r="AN400" s="42" t="b">
        <v>1</v>
      </c>
      <c r="AO400" s="36" t="s">
        <v>502</v>
      </c>
      <c r="AP400" s="12" t="str">
        <f>IFERROR(__xludf.DUMMYFUNCTION("IF(TEXTJOIN("", "", TRUE, FILTER(Validations!$Q$2:$Q$100, ISNUMBER(SEARCH(Validations!$Q$2:$Q$100, AO400)))) = """", Validations!$Q$2, TEXTJOIN("", "", TRUE, FILTER(Validations!$Q$2:$Q$100, ISNUMBER(SEARCH(Validations!$Q$2:$Q$100, AO400)))))"),"Point")</f>
        <v>Point</v>
      </c>
      <c r="AQ400" s="12">
        <f>IFERROR(__xludf.DUMMYFUNCTION("IFERROR(VALUE(REGEXEXTRACT(AO400, ""\d+"")), """")"),120.0)</f>
        <v>120</v>
      </c>
      <c r="AR400" s="12" t="str">
        <f>IFERROR(__xludf.DUMMYFUNCTION("TEXTJOIN("", "", TRUE, FILTER(Validations!$R$2:$R$100, ISNUMBER(SEARCH(Validations!$R$2:$R$100, AO400))))"),"Feet")</f>
        <v>Feet</v>
      </c>
      <c r="AS400" s="20" t="s">
        <v>1906</v>
      </c>
      <c r="AT400" s="12" t="str">
        <f>IFERROR(__xludf.DUMMYFUNCTION("IFERROR(TEXTJOIN("", "", TRUE, FILTER(Validations!$I$2:$I$100, ISNUMBER(SEARCH(Validations!$I$2:$I$100, AS400)))), """")"),"")</f>
        <v/>
      </c>
      <c r="AU400" s="16" t="str">
        <f t="array" ref="AU400">IFERROR(INDEX(Validations!$J$2:$J$100, MATCH(TRUE, ISNUMBER(SEARCH(Validations!$I$2:$I$100, AT400)), 0)), "")</f>
        <v/>
      </c>
      <c r="AV400" s="12">
        <f>IFERROR(__xludf.DUMMYFUNCTION("IFERROR(VALUE(REGEXEXTRACT(AS400, ""\d+"")), """")"),60.0)</f>
        <v>60</v>
      </c>
      <c r="AW400" s="12" t="str">
        <f>IFERROR(__xludf.DUMMYFUNCTION("IFERROR(TEXTJOIN("", "", TRUE, FILTER(Validations!$Q$2:$Q$100, ISNUMBER(SEARCH(Validations!$Q$2:$Q$100, AS400)))), """")"),"Radius")</f>
        <v>Radius</v>
      </c>
      <c r="AX400" s="28" t="s">
        <v>262</v>
      </c>
      <c r="AY400" s="28" t="str">
        <f>IFERROR(__xludf.DUMMYFUNCTION("TEXTJOIN("", "", TRUE, FILTER(Validations!$Y$2:$Y$100, ISNUMBER(SEARCH(Validations!$X$2:$X$100, AX400))))"),"V, S, R")</f>
        <v>V, S, R</v>
      </c>
      <c r="AZ400" s="20" t="s">
        <v>1907</v>
      </c>
      <c r="BA400" s="59"/>
      <c r="BB400" s="22"/>
      <c r="BC400" s="22"/>
      <c r="BD400" s="22"/>
      <c r="BE400" s="27"/>
      <c r="BF400" s="22"/>
      <c r="BG400" s="27"/>
      <c r="BH400" s="27"/>
      <c r="BI400" s="12" t="str">
        <f>IFERROR(__xludf.DUMMYFUNCTION("IFERROR(TEXTJOIN("", "", TRUE, FILTER(SRD!$A$2:$A$1000, EXACT(SRD!$A$2:$A$1000, J400))), """")"),"")</f>
        <v/>
      </c>
      <c r="BJ400" s="29"/>
      <c r="BK400" s="29"/>
    </row>
    <row r="401">
      <c r="A401" s="55" t="s">
        <v>1908</v>
      </c>
      <c r="B401" s="12"/>
      <c r="C401" s="61"/>
      <c r="D401" s="61" t="s">
        <v>1003</v>
      </c>
      <c r="E401" s="61"/>
      <c r="F401" s="32" t="s">
        <v>90</v>
      </c>
      <c r="G401" s="57" t="s">
        <v>1837</v>
      </c>
      <c r="H401" s="58" t="s">
        <v>144</v>
      </c>
      <c r="I401" s="16" t="str">
        <f t="array" ref="I401">INDEX(Validations!$C$2:$C$100, MATCH(TRUE, ISNUMBER(SEARCH(Validations!$B$2:$B$100, H401)), 0))</f>
        <v>D</v>
      </c>
      <c r="J401" s="36" t="s">
        <v>1909</v>
      </c>
      <c r="K401" s="34"/>
      <c r="L401" s="12"/>
      <c r="M401" s="12"/>
      <c r="N401" s="27"/>
      <c r="O401" s="71" t="s">
        <v>1910</v>
      </c>
      <c r="P401" s="60"/>
      <c r="Q401" s="71"/>
      <c r="R401" s="22"/>
      <c r="S401" s="17" t="str">
        <f>IFERROR(__xludf.DUMMYFUNCTION("IFERROR(REGEXEXTRACT(J401, ""(\d{1,3}[dD]\d{1,3})""), """")"),"1d10")</f>
        <v>1d10</v>
      </c>
      <c r="T401" s="17" t="str">
        <f>IFERROR(__xludf.DUMMYFUNCTION("IF(COUNTIF(ARRAYFORMULA(LOWER(Validations!$O$2:$O$100)), LOWER(REGEXEXTRACT(J401, ""\d{1,3}[dD]\d{1,3}\s+(\w+)"")))&gt;0, REGEXEXTRACT(J401, ""\d{1,3}[dD]\d{1,3}\s+(\w+)""), """")"),"")</f>
        <v/>
      </c>
      <c r="U401" s="17"/>
      <c r="V401" s="12" t="str">
        <f>IFERROR(__xludf.DUMMYFUNCTION("TEXTJOIN("", "", TRUE, FILTER(Validations!$L$2:$L$100, ISNUMBER(SEARCH(Validations!$L$2:$L$100, J401))))"),"")</f>
        <v/>
      </c>
      <c r="W401" s="12" t="str">
        <f>IFERROR(__xludf.DUMMYFUNCTION("IFERROR(TEXTJOIN("", "", TRUE, FILTER(Validations!$M$2:$M$100, ISNUMBER(SEARCH(Validations!$M$2:$M$100 &amp; "" saving throw"", J401)))), """")"),"")</f>
        <v/>
      </c>
      <c r="X401" s="12"/>
      <c r="Y401" s="12"/>
      <c r="Z401" s="12" t="str">
        <f>IFERROR(__xludf.DUMMYFUNCTION("IFERROR(TEXTJOIN("", "", TRUE, FILTER(Validations!$N$2:$N$100, ISNUMBER(SEARCH(Validations!$N$2:$N$100 &amp; "" check"", J401)))), """")"),"")</f>
        <v/>
      </c>
      <c r="AA401" s="12" t="str">
        <f>IFERROR(__xludf.DUMMYFUNCTION("IFERROR(TEXTJOIN("", "", TRUE, FILTER(Validations!$N$2:$N$100, ISNUMBER(SEARCH(Validations!$N$2:$N$100 &amp; "" check"", W401)))), """")"),"")</f>
        <v/>
      </c>
      <c r="AB401" s="23" t="str">
        <f>IFERROR(__xludf.DUMMYFUNCTION("IFERROR(CONCATENATE(IF(ISNUMBER(SEARCH(Validations!$M$2:$M$100 &amp; "" spell save"", J401)),""Spell Save"",""""), REGEXEXTRACT(J401, ""DC (\d+)"")), """")"),"")</f>
        <v/>
      </c>
      <c r="AC401" s="42" t="b">
        <v>0</v>
      </c>
      <c r="AD401" s="42" t="b">
        <v>0</v>
      </c>
      <c r="AE401" s="36" t="s">
        <v>69</v>
      </c>
      <c r="AF401" s="25">
        <f>IFERROR(__xludf.DUMMYFUNCTION("IFERROR(VALUE(REGEXEXTRACT(AE401, ""\d+"")), 1)"),1.0)</f>
        <v>1</v>
      </c>
      <c r="AG401" s="12" t="str">
        <f>IFERROR(__xludf.DUMMYFUNCTION("IF(
  ISNUMBER(SEARCH(""Bonus Action"", AE401)),
  ""Bonus Action"",
  IF(
    ISNUMBER(SEARCH(""Reaction"", AE401)),
    ""Reaction"",
    IF(
      ISNUMBER(SEARCH(""Action"", AE401)),
      ""Action"",
      TEXTJOIN("", "", TRUE, FILTER(Validations!$S"&amp;"$2:$S$100, ISNUMBER(SEARCH(Validations!$S$2:$S$100, AE401))))
    )
  )
)"),"Action")</f>
        <v>Action</v>
      </c>
      <c r="AH401" s="36"/>
      <c r="AI401" s="20" t="s">
        <v>556</v>
      </c>
      <c r="AJ401" s="26" t="str">
        <f>IFERROR(__xludf.DUMMYFUNCTION("TEXTJOIN("", "", TRUE, FILTER(Validations!$T$2:$T$100, ISNUMBER(SEARCH(Validations!$T$2:$T$100, AI401))))"),"")</f>
        <v/>
      </c>
      <c r="AK401" s="26">
        <f>IFERROR(__xludf.DUMMYFUNCTION("IFERROR(VALUE(REGEXEXTRACT(AI401, ""\d+"")), """")"),1.0)</f>
        <v>1</v>
      </c>
      <c r="AL401" s="26" t="str">
        <f>IFERROR(__xludf.DUMMYFUNCTION("TEXTJOIN("", "", TRUE, FILTER(Validations!$U$2:$U$100, ISNUMBER(SEARCH(Validations!$U$2:$U$100, AI401))))"),"Minutes")</f>
        <v>Minutes</v>
      </c>
      <c r="AM401" s="24" t="b">
        <f t="shared" si="1"/>
        <v>1</v>
      </c>
      <c r="AN401" s="42" t="b">
        <v>1</v>
      </c>
      <c r="AO401" s="36" t="s">
        <v>440</v>
      </c>
      <c r="AP401" s="12" t="str">
        <f>IFERROR(__xludf.DUMMYFUNCTION("IF(TEXTJOIN("", "", TRUE, FILTER(Validations!$Q$2:$Q$100, ISNUMBER(SEARCH(Validations!$Q$2:$Q$100, AO401)))) = """", Validations!$Q$2, TEXTJOIN("", "", TRUE, FILTER(Validations!$Q$2:$Q$100, ISNUMBER(SEARCH(Validations!$Q$2:$Q$100, AO401)))))"),"Point")</f>
        <v>Point</v>
      </c>
      <c r="AQ401" s="12">
        <f>IFERROR(__xludf.DUMMYFUNCTION("IFERROR(VALUE(REGEXEXTRACT(AO401, ""\d+"")), """")"),60.0)</f>
        <v>60</v>
      </c>
      <c r="AR401" s="12" t="str">
        <f>IFERROR(__xludf.DUMMYFUNCTION("TEXTJOIN("", "", TRUE, FILTER(Validations!$R$2:$R$100, ISNUMBER(SEARCH(Validations!$R$2:$R$100, AO401))))"),"Feet")</f>
        <v>Feet</v>
      </c>
      <c r="AS401" s="27"/>
      <c r="AT401" s="12" t="str">
        <f>IFERROR(__xludf.DUMMYFUNCTION("IFERROR(TEXTJOIN("", "", TRUE, FILTER(Validations!$I$2:$I$100, ISNUMBER(SEARCH(Validations!$I$2:$I$100, AS401)))), """")"),"")</f>
        <v/>
      </c>
      <c r="AU401" s="16" t="str">
        <f t="array" ref="AU401">IFERROR(INDEX(Validations!$J$2:$J$100, MATCH(TRUE, ISNUMBER(SEARCH(Validations!$I$2:$I$100, AT401)), 0)), "")</f>
        <v/>
      </c>
      <c r="AV401" s="12" t="str">
        <f>IFERROR(__xludf.DUMMYFUNCTION("IFERROR(VALUE(REGEXEXTRACT(AS401, ""\d+"")), """")"),"")</f>
        <v/>
      </c>
      <c r="AW401" s="12" t="str">
        <f>IFERROR(__xludf.DUMMYFUNCTION("IFERROR(TEXTJOIN("", "", TRUE, FILTER(Validations!$Q$2:$Q$100, ISNUMBER(SEARCH(Validations!$Q$2:$Q$100, AS401)))), """")"),"")</f>
        <v/>
      </c>
      <c r="AX401" s="28" t="s">
        <v>94</v>
      </c>
      <c r="AY401" s="28" t="str">
        <f>IFERROR(__xludf.DUMMYFUNCTION("TEXTJOIN("", "", TRUE, FILTER(Validations!$Y$2:$Y$100, ISNUMBER(SEARCH(Validations!$X$2:$X$100, AX401))))"),"V, S, R")</f>
        <v>V, S, R</v>
      </c>
      <c r="AZ401" s="20" t="s">
        <v>1911</v>
      </c>
      <c r="BA401" s="59"/>
      <c r="BB401" s="22"/>
      <c r="BC401" s="22"/>
      <c r="BD401" s="22"/>
      <c r="BE401" s="27"/>
      <c r="BF401" s="22"/>
      <c r="BG401" s="27"/>
      <c r="BH401" s="27"/>
      <c r="BI401" s="12" t="str">
        <f>IFERROR(__xludf.DUMMYFUNCTION("IFERROR(TEXTJOIN("", "", TRUE, FILTER(SRD!$A$2:$A$1000, EXACT(SRD!$A$2:$A$1000, J401))), """")"),"")</f>
        <v/>
      </c>
      <c r="BJ401" s="29"/>
      <c r="BK401" s="29"/>
    </row>
    <row r="402">
      <c r="A402" s="55" t="s">
        <v>1912</v>
      </c>
      <c r="B402" s="12"/>
      <c r="C402" s="56"/>
      <c r="D402" s="56"/>
      <c r="E402" s="56"/>
      <c r="F402" s="32" t="s">
        <v>114</v>
      </c>
      <c r="G402" s="57" t="s">
        <v>1837</v>
      </c>
      <c r="H402" s="58" t="s">
        <v>183</v>
      </c>
      <c r="I402" s="16" t="str">
        <f t="array" ref="I402">INDEX(Validations!$C$2:$C$100, MATCH(TRUE, ISNUMBER(SEARCH(Validations!$B$2:$B$100, H402)), 0))</f>
        <v>E</v>
      </c>
      <c r="J402" s="36" t="s">
        <v>1913</v>
      </c>
      <c r="K402" s="34"/>
      <c r="L402" s="12"/>
      <c r="M402" s="12"/>
      <c r="N402" s="27"/>
      <c r="O402" s="64" t="s">
        <v>1914</v>
      </c>
      <c r="P402" s="60"/>
      <c r="Q402" s="71"/>
      <c r="R402" s="22"/>
      <c r="S402" s="17" t="str">
        <f>IFERROR(__xludf.DUMMYFUNCTION("IFERROR(REGEXEXTRACT(J402, ""(\d{1,3}[dD]\d{1,3})""), """")"),"")</f>
        <v/>
      </c>
      <c r="T402" s="17" t="str">
        <f>IFERROR(__xludf.DUMMYFUNCTION("IF(COUNTIF(ARRAYFORMULA(LOWER(Validations!$O$2:$O$100)), LOWER(REGEXEXTRACT(J402, ""\d{1,3}[dD]\d{1,3}\s+(\w+)"")))&gt;0, REGEXEXTRACT(J402, ""\d{1,3}[dD]\d{1,3}\s+(\w+)""), """")"),"")</f>
        <v/>
      </c>
      <c r="U402" s="17"/>
      <c r="V402" s="12" t="str">
        <f>IFERROR(__xludf.DUMMYFUNCTION("TEXTJOIN("", "", TRUE, FILTER(Validations!$L$2:$L$100, ISNUMBER(SEARCH(Validations!$L$2:$L$100, J402))))"),"")</f>
        <v/>
      </c>
      <c r="W402" s="12" t="str">
        <f>IFERROR(__xludf.DUMMYFUNCTION("IFERROR(TEXTJOIN("", "", TRUE, FILTER(Validations!$M$2:$M$100, ISNUMBER(SEARCH(Validations!$M$2:$M$100 &amp; "" saving throw"", J402)))), """")"),"Charisma")</f>
        <v>Charisma</v>
      </c>
      <c r="X402" s="12"/>
      <c r="Y402" s="12"/>
      <c r="Z402" s="12" t="str">
        <f>IFERROR(__xludf.DUMMYFUNCTION("IFERROR(TEXTJOIN("", "", TRUE, FILTER(Validations!$N$2:$N$100, ISNUMBER(SEARCH(Validations!$N$2:$N$100 &amp; "" check"", J402)))), """")"),"")</f>
        <v/>
      </c>
      <c r="AA402" s="12" t="str">
        <f>IFERROR(__xludf.DUMMYFUNCTION("IFERROR(TEXTJOIN("", "", TRUE, FILTER(Validations!$N$2:$N$100, ISNUMBER(SEARCH(Validations!$N$2:$N$100 &amp; "" check"", W402)))), """")"),"")</f>
        <v/>
      </c>
      <c r="AB402" s="23" t="str">
        <f>IFERROR(__xludf.DUMMYFUNCTION("IFERROR(CONCATENATE(IF(ISNUMBER(SEARCH(Validations!$M$2:$M$100 &amp; "" spell save"", J402)),""Spell Save"",""""), REGEXEXTRACT(J402, ""DC (\d+)"")), """")"),"")</f>
        <v/>
      </c>
      <c r="AC402" s="42" t="b">
        <v>0</v>
      </c>
      <c r="AD402" s="42" t="b">
        <v>0</v>
      </c>
      <c r="AE402" s="36" t="s">
        <v>69</v>
      </c>
      <c r="AF402" s="25">
        <f>IFERROR(__xludf.DUMMYFUNCTION("IFERROR(VALUE(REGEXEXTRACT(AE402, ""\d+"")), 1)"),1.0)</f>
        <v>1</v>
      </c>
      <c r="AG402" s="12" t="str">
        <f>IFERROR(__xludf.DUMMYFUNCTION("IF(
  ISNUMBER(SEARCH(""Bonus Action"", AE402)),
  ""Bonus Action"",
  IF(
    ISNUMBER(SEARCH(""Reaction"", AE402)),
    ""Reaction"",
    IF(
      ISNUMBER(SEARCH(""Action"", AE402)),
      ""Action"",
      TEXTJOIN("", "", TRUE, FILTER(Validations!$S"&amp;"$2:$S$100, ISNUMBER(SEARCH(Validations!$S$2:$S$100, AE402))))
    )
  )
)"),"Action")</f>
        <v>Action</v>
      </c>
      <c r="AH402" s="36"/>
      <c r="AI402" s="20" t="s">
        <v>556</v>
      </c>
      <c r="AJ402" s="26" t="str">
        <f>IFERROR(__xludf.DUMMYFUNCTION("TEXTJOIN("", "", TRUE, FILTER(Validations!$T$2:$T$100, ISNUMBER(SEARCH(Validations!$T$2:$T$100, AI402))))"),"")</f>
        <v/>
      </c>
      <c r="AK402" s="26">
        <f>IFERROR(__xludf.DUMMYFUNCTION("IFERROR(VALUE(REGEXEXTRACT(AI402, ""\d+"")), """")"),1.0)</f>
        <v>1</v>
      </c>
      <c r="AL402" s="26" t="str">
        <f>IFERROR(__xludf.DUMMYFUNCTION("TEXTJOIN("", "", TRUE, FILTER(Validations!$U$2:$U$100, ISNUMBER(SEARCH(Validations!$U$2:$U$100, AI402))))"),"Minutes")</f>
        <v>Minutes</v>
      </c>
      <c r="AM402" s="24" t="b">
        <f t="shared" si="1"/>
        <v>1</v>
      </c>
      <c r="AN402" s="42" t="b">
        <v>1</v>
      </c>
      <c r="AO402" s="36" t="s">
        <v>440</v>
      </c>
      <c r="AP402" s="12" t="str">
        <f>IFERROR(__xludf.DUMMYFUNCTION("IF(TEXTJOIN("", "", TRUE, FILTER(Validations!$Q$2:$Q$100, ISNUMBER(SEARCH(Validations!$Q$2:$Q$100, AO402)))) = """", Validations!$Q$2, TEXTJOIN("", "", TRUE, FILTER(Validations!$Q$2:$Q$100, ISNUMBER(SEARCH(Validations!$Q$2:$Q$100, AO402)))))"),"Point")</f>
        <v>Point</v>
      </c>
      <c r="AQ402" s="12">
        <f>IFERROR(__xludf.DUMMYFUNCTION("IFERROR(VALUE(REGEXEXTRACT(AO402, ""\d+"")), """")"),60.0)</f>
        <v>60</v>
      </c>
      <c r="AR402" s="12" t="str">
        <f>IFERROR(__xludf.DUMMYFUNCTION("TEXTJOIN("", "", TRUE, FILTER(Validations!$R$2:$R$100, ISNUMBER(SEARCH(Validations!$R$2:$R$100, AO402))))"),"Feet")</f>
        <v>Feet</v>
      </c>
      <c r="AS402" s="20" t="s">
        <v>1915</v>
      </c>
      <c r="AT402" s="12" t="str">
        <f>IFERROR(__xludf.DUMMYFUNCTION("IFERROR(TEXTJOIN("", "", TRUE, FILTER(Validations!$I$2:$I$100, ISNUMBER(SEARCH(Validations!$I$2:$I$100, AS402)))), """")"),"Sphere")</f>
        <v>Sphere</v>
      </c>
      <c r="AU402" s="16" t="str">
        <f t="array" ref="AU402">IFERROR(INDEX(Validations!$J$2:$J$100, MATCH(TRUE, ISNUMBER(SEARCH(Validations!$I$2:$I$100, AT402)), 0)), "")</f>
        <v>S</v>
      </c>
      <c r="AV402" s="12">
        <f>IFERROR(__xludf.DUMMYFUNCTION("IFERROR(VALUE(REGEXEXTRACT(AS402, ""\d+"")), """")"),30.0)</f>
        <v>30</v>
      </c>
      <c r="AW402" s="12" t="str">
        <f>IFERROR(__xludf.DUMMYFUNCTION("IFERROR(TEXTJOIN("", "", TRUE, FILTER(Validations!$Q$2:$Q$100, ISNUMBER(SEARCH(Validations!$Q$2:$Q$100, AS402)))), """")"),"Radius, Sphere")</f>
        <v>Radius, Sphere</v>
      </c>
      <c r="AX402" s="28" t="s">
        <v>94</v>
      </c>
      <c r="AY402" s="28" t="str">
        <f>IFERROR(__xludf.DUMMYFUNCTION("TEXTJOIN("", "", TRUE, FILTER(Validations!$Y$2:$Y$100, ISNUMBER(SEARCH(Validations!$X$2:$X$100, AX402))))"),"V, S, R")</f>
        <v>V, S, R</v>
      </c>
      <c r="AZ402" s="70" t="s">
        <v>1916</v>
      </c>
      <c r="BA402" s="59"/>
      <c r="BB402" s="22"/>
      <c r="BC402" s="22"/>
      <c r="BD402" s="22"/>
      <c r="BE402" s="27"/>
      <c r="BF402" s="22"/>
      <c r="BG402" s="27"/>
      <c r="BH402" s="27"/>
      <c r="BI402" s="12" t="str">
        <f>IFERROR(__xludf.DUMMYFUNCTION("IFERROR(TEXTJOIN("", "", TRUE, FILTER(SRD!$A$2:$A$1000, EXACT(SRD!$A$2:$A$1000, J402))), """")"),"")</f>
        <v/>
      </c>
      <c r="BJ402" s="29"/>
      <c r="BK402" s="29"/>
    </row>
    <row r="403">
      <c r="A403" s="30" t="s">
        <v>1917</v>
      </c>
      <c r="B403" s="22"/>
      <c r="C403" s="31"/>
      <c r="D403" s="31" t="s">
        <v>1918</v>
      </c>
      <c r="E403" s="31"/>
      <c r="F403" s="32" t="s">
        <v>130</v>
      </c>
      <c r="G403" s="50" t="s">
        <v>1919</v>
      </c>
      <c r="H403" s="31" t="s">
        <v>76</v>
      </c>
      <c r="I403" s="16" t="str">
        <f t="array" ref="I403">INDEX(Validations!$C$2:$C$100, MATCH(TRUE, ISNUMBER(SEARCH(Validations!$B$2:$B$100, H403)), 0))</f>
        <v>V</v>
      </c>
      <c r="J403" s="17" t="s">
        <v>1920</v>
      </c>
      <c r="K403" s="18"/>
      <c r="L403" s="17"/>
      <c r="M403" s="17"/>
      <c r="N403" s="27"/>
      <c r="O403" s="17"/>
      <c r="P403" s="21"/>
      <c r="Q403" s="21"/>
      <c r="R403" s="22"/>
      <c r="S403" s="17" t="str">
        <f>IFERROR(__xludf.DUMMYFUNCTION("IFERROR(REGEXEXTRACT(J403, ""(\d{1,3}[dD]\d{1,3})""), """")"),"")</f>
        <v/>
      </c>
      <c r="T403" s="17" t="str">
        <f>IFERROR(__xludf.DUMMYFUNCTION("IF(COUNTIF(ARRAYFORMULA(LOWER(Validations!$O$2:$O$100)), LOWER(REGEXEXTRACT(J403, ""\d{1,3}[dD]\d{1,3}\s+(\w+)"")))&gt;0, REGEXEXTRACT(J403, ""\d{1,3}[dD]\d{1,3}\s+(\w+)""), """")"),"")</f>
        <v/>
      </c>
      <c r="U403" s="17" t="str">
        <f>IFERROR(__xludf.DUMMYFUNCTION("IF(COUNTIF(ARRAYFORMULA(LOWER(Validations!$P$2:$P$100)), LOWER(REGEXEXTRACT(J403, ""\d{1,3}[dD]\d{1,3}\s+(\w+)"")))&gt;0, REGEXEXTRACT(J403, ""\d{1,3}[dD]\d{1,3}\s+(\w+)""), """")"),"")</f>
        <v/>
      </c>
      <c r="V403" s="12" t="str">
        <f>IFERROR(__xludf.DUMMYFUNCTION("TEXTJOIN("", "", TRUE, FILTER(Validations!$L$2:$L$100, ISNUMBER(SEARCH(Validations!$L$2:$L$100, J403))))"),"")</f>
        <v/>
      </c>
      <c r="W403" s="12" t="str">
        <f>IFERROR(__xludf.DUMMYFUNCTION("IFERROR(TEXTJOIN("", "", TRUE, FILTER(Validations!$M$2:$M$100, ISNUMBER(SEARCH(Validations!$M$2:$M$100 &amp; "" saving throw"", J403)))), """")"),"")</f>
        <v/>
      </c>
      <c r="X403" s="12"/>
      <c r="Y403" s="12"/>
      <c r="Z403" s="12" t="str">
        <f>IFERROR(__xludf.DUMMYFUNCTION("IFERROR(TEXTJOIN("", "", TRUE, FILTER(Validations!$N$2:$N$100, ISNUMBER(SEARCH(Validations!$N$2:$N$100 &amp; "" check"", J403)))), """")"),"")</f>
        <v/>
      </c>
      <c r="AA403" s="12" t="str">
        <f>IFERROR(__xludf.DUMMYFUNCTION("IFERROR(TEXTJOIN("", "", TRUE, FILTER(Validations!$N$2:$N$100, ISNUMBER(SEARCH(Validations!$N$2:$N$100 &amp; "" check"", W403)))), """")"),"")</f>
        <v/>
      </c>
      <c r="AB403" s="23" t="str">
        <f>IFERROR(__xludf.DUMMYFUNCTION("IFERROR(CONCATENATE(IF(ISNUMBER(SEARCH(Validations!$M$2:$M$100 &amp; "" spell save"", J403)),""Spell Save"",""""), REGEXEXTRACT(J403, ""DC (\d+)"")), """")"),"")</f>
        <v/>
      </c>
      <c r="AC403" s="24" t="b">
        <v>0</v>
      </c>
      <c r="AD403" s="24" t="b">
        <v>0</v>
      </c>
      <c r="AE403" s="36" t="s">
        <v>69</v>
      </c>
      <c r="AF403" s="25">
        <f>IFERROR(__xludf.DUMMYFUNCTION("IFERROR(VALUE(REGEXEXTRACT(AE403, ""\d+"")), 1)"),1.0)</f>
        <v>1</v>
      </c>
      <c r="AG403" s="12" t="str">
        <f>IFERROR(__xludf.DUMMYFUNCTION("IF(
  ISNUMBER(SEARCH(""Bonus Action"", AE403)),
  ""Bonus Action"",
  IF(
    ISNUMBER(SEARCH(""Reaction"", AE403)),
    ""Reaction"",
    IF(
      ISNUMBER(SEARCH(""Action"", AE403)),
      ""Action"",
      TEXTJOIN("", "", TRUE, FILTER(Validations!$S"&amp;"$2:$S$100, ISNUMBER(SEARCH(Validations!$S$2:$S$100, AE403))))
    )
  )
)"),"Action")</f>
        <v>Action</v>
      </c>
      <c r="AH403" s="36"/>
      <c r="AI403" s="20" t="s">
        <v>296</v>
      </c>
      <c r="AJ403" s="26" t="str">
        <f>IFERROR(__xludf.DUMMYFUNCTION("TEXTJOIN("", "", TRUE, FILTER(Validations!$T$2:$T$100, ISNUMBER(SEARCH(Validations!$T$2:$T$100, AI403))))"),"")</f>
        <v/>
      </c>
      <c r="AK403" s="26">
        <f>IFERROR(__xludf.DUMMYFUNCTION("IFERROR(VALUE(REGEXEXTRACT(AI403, ""\d+"")), """")"),1.0)</f>
        <v>1</v>
      </c>
      <c r="AL403" s="26" t="str">
        <f>IFERROR(__xludf.DUMMYFUNCTION("TEXTJOIN("", "", TRUE, FILTER(Validations!$U$2:$U$100, ISNUMBER(SEARCH(Validations!$U$2:$U$100, AI403))))"),"Hours")</f>
        <v>Hours</v>
      </c>
      <c r="AM403" s="24" t="b">
        <f t="shared" si="1"/>
        <v>0</v>
      </c>
      <c r="AN403" s="24" t="b">
        <v>0</v>
      </c>
      <c r="AO403" s="22" t="s">
        <v>755</v>
      </c>
      <c r="AP403" s="12" t="str">
        <f>IFERROR(__xludf.DUMMYFUNCTION("IF(TEXTJOIN("", "", TRUE, FILTER(Validations!$Q$2:$Q$100, ISNUMBER(SEARCH(Validations!$Q$2:$Q$100, AO403)))) = """", Validations!$Q$2, TEXTJOIN("", "", TRUE, FILTER(Validations!$Q$2:$Q$100, ISNUMBER(SEARCH(Validations!$Q$2:$Q$100, AO403)))))"),"Point")</f>
        <v>Point</v>
      </c>
      <c r="AQ403" s="12">
        <f>IFERROR(__xludf.DUMMYFUNCTION("IFERROR(VALUE(REGEXEXTRACT(AO403, ""\d+"")), """")"),1.0)</f>
        <v>1</v>
      </c>
      <c r="AR403" s="12" t="str">
        <f>IFERROR(__xludf.DUMMYFUNCTION("TEXTJOIN("", "", TRUE, FILTER(Validations!$R$2:$R$100, ISNUMBER(SEARCH(Validations!$R$2:$R$100, AO403))))"),"")</f>
        <v/>
      </c>
      <c r="AS403" s="27"/>
      <c r="AT403" s="12" t="str">
        <f>IFERROR(__xludf.DUMMYFUNCTION("IFERROR(TEXTJOIN("", "", TRUE, FILTER(Validations!$I$2:$I$100, ISNUMBER(SEARCH(Validations!$I$2:$I$100, AS403)))), """")"),"")</f>
        <v/>
      </c>
      <c r="AU403" s="16" t="str">
        <f t="array" ref="AU403">IFERROR(INDEX(Validations!$J$2:$J$100, MATCH(TRUE, ISNUMBER(SEARCH(Validations!$I$2:$I$100, AT403)), 0)), "")</f>
        <v/>
      </c>
      <c r="AV403" s="12" t="str">
        <f>IFERROR(__xludf.DUMMYFUNCTION("IFERROR(VALUE(REGEXEXTRACT(AS403, ""\d+"")), """")"),"")</f>
        <v/>
      </c>
      <c r="AW403" s="12" t="str">
        <f>IFERROR(__xludf.DUMMYFUNCTION("IFERROR(TEXTJOIN("", "", TRUE, FILTER(Validations!$Q$2:$Q$100, ISNUMBER(SEARCH(Validations!$Q$2:$Q$100, AS403)))), """")"),"")</f>
        <v/>
      </c>
      <c r="AX403" s="28" t="s">
        <v>152</v>
      </c>
      <c r="AY403" s="28" t="str">
        <f>IFERROR(__xludf.DUMMYFUNCTION("TEXTJOIN("", "", TRUE, FILTER(Validations!$Y$2:$Y$100, ISNUMBER(SEARCH(Validations!$X$2:$X$100, AX403))))"),"V, S, R")</f>
        <v>V, S, R</v>
      </c>
      <c r="AZ403" s="20" t="s">
        <v>1921</v>
      </c>
      <c r="BA403" s="22"/>
      <c r="BB403" s="22"/>
      <c r="BC403" s="22"/>
      <c r="BD403" s="36" t="s">
        <v>1922</v>
      </c>
      <c r="BE403" s="27"/>
      <c r="BF403" s="22"/>
      <c r="BG403" s="27"/>
      <c r="BH403" s="27"/>
      <c r="BI403" s="12" t="str">
        <f>IFERROR(__xludf.DUMMYFUNCTION("IFERROR(TEXTJOIN("", "", TRUE, FILTER(SRD!$A$2:$A$1000, EXACT(SRD!$A$2:$A$1000, J403))), """")"),"")</f>
        <v/>
      </c>
      <c r="BJ403" s="29"/>
      <c r="BK403" s="29"/>
    </row>
    <row r="404">
      <c r="A404" s="30" t="s">
        <v>1923</v>
      </c>
      <c r="B404" s="22"/>
      <c r="C404" s="31"/>
      <c r="D404" s="31" t="s">
        <v>74</v>
      </c>
      <c r="E404" s="31"/>
      <c r="F404" s="32" t="s">
        <v>216</v>
      </c>
      <c r="G404" s="50" t="s">
        <v>1919</v>
      </c>
      <c r="H404" s="16" t="s">
        <v>178</v>
      </c>
      <c r="I404" s="16" t="str">
        <f t="array" ref="I404">INDEX(Validations!$C$2:$C$100, MATCH(TRUE, ISNUMBER(SEARCH(Validations!$B$2:$B$100, H404)), 0))</f>
        <v>A</v>
      </c>
      <c r="J404" s="17" t="s">
        <v>1924</v>
      </c>
      <c r="K404" s="18"/>
      <c r="L404" s="17"/>
      <c r="M404" s="17"/>
      <c r="N404" s="20" t="s">
        <v>1925</v>
      </c>
      <c r="O404" s="17"/>
      <c r="P404" s="21"/>
      <c r="Q404" s="21"/>
      <c r="R404" s="22"/>
      <c r="S404" s="17" t="str">
        <f>IFERROR(__xludf.DUMMYFUNCTION("IFERROR(REGEXEXTRACT(J404, ""(\d{1,3}[dD]\d{1,3})""), """")"),"")</f>
        <v/>
      </c>
      <c r="T404" s="17" t="str">
        <f>IFERROR(__xludf.DUMMYFUNCTION("IF(COUNTIF(ARRAYFORMULA(LOWER(Validations!$O$2:$O$100)), LOWER(REGEXEXTRACT(J404, ""\d{1,3}[dD]\d{1,3}\s+(\w+)"")))&gt;0, REGEXEXTRACT(J404, ""\d{1,3}[dD]\d{1,3}\s+(\w+)""), """")"),"")</f>
        <v/>
      </c>
      <c r="U404" s="17" t="str">
        <f>IFERROR(__xludf.DUMMYFUNCTION("IF(COUNTIF(ARRAYFORMULA(LOWER(Validations!$P$2:$P$100)), LOWER(REGEXEXTRACT(J404, ""\d{1,3}[dD]\d{1,3}\s+(\w+)"")))&gt;0, REGEXEXTRACT(J404, ""\d{1,3}[dD]\d{1,3}\s+(\w+)""), """")"),"")</f>
        <v/>
      </c>
      <c r="V404" s="12" t="str">
        <f>IFERROR(__xludf.DUMMYFUNCTION("TEXTJOIN("", "", TRUE, FILTER(Validations!$L$2:$L$100, ISNUMBER(SEARCH(Validations!$L$2:$L$100, J404))))"),"")</f>
        <v/>
      </c>
      <c r="W404" s="12" t="str">
        <f>IFERROR(__xludf.DUMMYFUNCTION("IFERROR(TEXTJOIN("", "", TRUE, FILTER(Validations!$M$2:$M$100, ISNUMBER(SEARCH(Validations!$M$2:$M$100 &amp; "" saving throw"", J404)))), """")"),"Charisma")</f>
        <v>Charisma</v>
      </c>
      <c r="X404" s="12"/>
      <c r="Y404" s="12"/>
      <c r="Z404" s="12" t="str">
        <f>IFERROR(__xludf.DUMMYFUNCTION("IFERROR(TEXTJOIN("", "", TRUE, FILTER(Validations!$N$2:$N$100, ISNUMBER(SEARCH(Validations!$N$2:$N$100 &amp; "" check"", J404)))), """")"),"")</f>
        <v/>
      </c>
      <c r="AA404" s="12" t="str">
        <f>IFERROR(__xludf.DUMMYFUNCTION("IFERROR(TEXTJOIN("", "", TRUE, FILTER(Validations!$N$2:$N$100, ISNUMBER(SEARCH(Validations!$N$2:$N$100 &amp; "" check"", W404)))), """")"),"")</f>
        <v/>
      </c>
      <c r="AB404" s="23" t="str">
        <f>IFERROR(__xludf.DUMMYFUNCTION("IFERROR(CONCATENATE(IF(ISNUMBER(SEARCH(Validations!$M$2:$M$100 &amp; "" spell save"", J404)),""Spell Save"",""""), REGEXEXTRACT(J404, ""DC (\d+)"")), """")"),"")</f>
        <v/>
      </c>
      <c r="AC404" s="24" t="b">
        <v>0</v>
      </c>
      <c r="AD404" s="24" t="b">
        <v>0</v>
      </c>
      <c r="AE404" s="36" t="s">
        <v>69</v>
      </c>
      <c r="AF404" s="25">
        <f>IFERROR(__xludf.DUMMYFUNCTION("IFERROR(VALUE(REGEXEXTRACT(AE404, ""\d+"")), 1)"),1.0)</f>
        <v>1</v>
      </c>
      <c r="AG404" s="12" t="str">
        <f>IFERROR(__xludf.DUMMYFUNCTION("IF(
  ISNUMBER(SEARCH(""Bonus Action"", AE404)),
  ""Bonus Action"",
  IF(
    ISNUMBER(SEARCH(""Reaction"", AE404)),
    ""Reaction"",
    IF(
      ISNUMBER(SEARCH(""Action"", AE404)),
      ""Action"",
      TEXTJOIN("", "", TRUE, FILTER(Validations!$S"&amp;"$2:$S$100, ISNUMBER(SEARCH(Validations!$S$2:$S$100, AE404))))
    )
  )
)"),"Action")</f>
        <v>Action</v>
      </c>
      <c r="AH404" s="36"/>
      <c r="AI404" s="20" t="s">
        <v>296</v>
      </c>
      <c r="AJ404" s="26" t="str">
        <f>IFERROR(__xludf.DUMMYFUNCTION("TEXTJOIN("", "", TRUE, FILTER(Validations!$T$2:$T$100, ISNUMBER(SEARCH(Validations!$T$2:$T$100, AI404))))"),"")</f>
        <v/>
      </c>
      <c r="AK404" s="26">
        <f>IFERROR(__xludf.DUMMYFUNCTION("IFERROR(VALUE(REGEXEXTRACT(AI404, ""\d+"")), """")"),1.0)</f>
        <v>1</v>
      </c>
      <c r="AL404" s="26" t="str">
        <f>IFERROR(__xludf.DUMMYFUNCTION("TEXTJOIN("", "", TRUE, FILTER(Validations!$U$2:$U$100, ISNUMBER(SEARCH(Validations!$U$2:$U$100, AI404))))"),"Hours")</f>
        <v>Hours</v>
      </c>
      <c r="AM404" s="24" t="b">
        <f t="shared" si="1"/>
        <v>0</v>
      </c>
      <c r="AN404" s="24" t="b">
        <v>0</v>
      </c>
      <c r="AO404" s="22" t="s">
        <v>1926</v>
      </c>
      <c r="AP404" s="12" t="str">
        <f>IFERROR(__xludf.DUMMYFUNCTION("IF(TEXTJOIN("", "", TRUE, FILTER(Validations!$Q$2:$Q$100, ISNUMBER(SEARCH(Validations!$Q$2:$Q$100, AO404)))) = """", Validations!$Q$2, TEXTJOIN("", "", TRUE, FILTER(Validations!$Q$2:$Q$100, ISNUMBER(SEARCH(Validations!$Q$2:$Q$100, AO404)))))"),"Point")</f>
        <v>Point</v>
      </c>
      <c r="AQ404" s="12">
        <f>IFERROR(__xludf.DUMMYFUNCTION("IFERROR(VALUE(REGEXEXTRACT(AO404, ""\d+"")), """")"),1.0)</f>
        <v>1</v>
      </c>
      <c r="AR404" s="12" t="str">
        <f>IFERROR(__xludf.DUMMYFUNCTION("TEXTJOIN("", "", TRUE, FILTER(Validations!$R$2:$R$100, ISNUMBER(SEARCH(Validations!$R$2:$R$100, AO404))))"),"")</f>
        <v/>
      </c>
      <c r="AS404" s="27"/>
      <c r="AT404" s="12" t="str">
        <f>IFERROR(__xludf.DUMMYFUNCTION("IFERROR(TEXTJOIN("", "", TRUE, FILTER(Validations!$I$2:$I$100, ISNUMBER(SEARCH(Validations!$I$2:$I$100, AS404)))), """")"),"")</f>
        <v/>
      </c>
      <c r="AU404" s="16" t="str">
        <f t="array" ref="AU404">IFERROR(INDEX(Validations!$J$2:$J$100, MATCH(TRUE, ISNUMBER(SEARCH(Validations!$I$2:$I$100, AT404)), 0)), "")</f>
        <v/>
      </c>
      <c r="AV404" s="12" t="str">
        <f>IFERROR(__xludf.DUMMYFUNCTION("IFERROR(VALUE(REGEXEXTRACT(AS404, ""\d+"")), """")"),"")</f>
        <v/>
      </c>
      <c r="AW404" s="12" t="str">
        <f>IFERROR(__xludf.DUMMYFUNCTION("IFERROR(TEXTJOIN("", "", TRUE, FILTER(Validations!$Q$2:$Q$100, ISNUMBER(SEARCH(Validations!$Q$2:$Q$100, AS404)))), """")"),"")</f>
        <v/>
      </c>
      <c r="AX404" s="28" t="s">
        <v>152</v>
      </c>
      <c r="AY404" s="28" t="str">
        <f>IFERROR(__xludf.DUMMYFUNCTION("TEXTJOIN("", "", TRUE, FILTER(Validations!$Y$2:$Y$100, ISNUMBER(SEARCH(Validations!$X$2:$X$100, AX404))))"),"V, S, R")</f>
        <v>V, S, R</v>
      </c>
      <c r="AZ404" s="20" t="s">
        <v>1927</v>
      </c>
      <c r="BA404" s="22"/>
      <c r="BB404" s="22"/>
      <c r="BC404" s="22"/>
      <c r="BD404" s="22"/>
      <c r="BE404" s="27"/>
      <c r="BF404" s="22"/>
      <c r="BG404" s="27"/>
      <c r="BH404" s="27"/>
      <c r="BI404" s="12" t="str">
        <f>IFERROR(__xludf.DUMMYFUNCTION("IFERROR(TEXTJOIN("", "", TRUE, FILTER(SRD!$A$2:$A$1000, EXACT(SRD!$A$2:$A$1000, J404))), """")"),"")</f>
        <v/>
      </c>
      <c r="BJ404" s="29"/>
      <c r="BK404" s="29"/>
    </row>
    <row r="405">
      <c r="A405" s="30" t="s">
        <v>1928</v>
      </c>
      <c r="B405" s="22"/>
      <c r="C405" s="31"/>
      <c r="D405" s="31" t="s">
        <v>18</v>
      </c>
      <c r="E405" s="31"/>
      <c r="F405" s="32" t="s">
        <v>515</v>
      </c>
      <c r="G405" s="50" t="s">
        <v>1919</v>
      </c>
      <c r="H405" s="31" t="s">
        <v>76</v>
      </c>
      <c r="I405" s="16" t="str">
        <f t="array" ref="I405">INDEX(Validations!$C$2:$C$100, MATCH(TRUE, ISNUMBER(SEARCH(Validations!$B$2:$B$100, H405)), 0))</f>
        <v>V</v>
      </c>
      <c r="J405" s="17" t="s">
        <v>1929</v>
      </c>
      <c r="K405" s="18"/>
      <c r="L405" s="17"/>
      <c r="M405" s="17"/>
      <c r="N405" s="27"/>
      <c r="O405" s="17"/>
      <c r="P405" s="21"/>
      <c r="Q405" s="21"/>
      <c r="R405" s="22"/>
      <c r="S405" s="17" t="str">
        <f>IFERROR(__xludf.DUMMYFUNCTION("IFERROR(REGEXEXTRACT(J405, ""(\d{1,3}[dD]\d{1,3})""), """")"),"15d10")</f>
        <v>15d10</v>
      </c>
      <c r="T405" s="17" t="str">
        <f>IFERROR(__xludf.DUMMYFUNCTION("IF(COUNTIF(ARRAYFORMULA(LOWER(Validations!$O$2:$O$100)), LOWER(REGEXEXTRACT(J405, ""\d{1,3}[dD]\d{1,3}\s+(\w+)"")))&gt;0, REGEXEXTRACT(J405, ""\d{1,3}[dD]\d{1,3}\s+(\w+)""), """")"),"cognitive")</f>
        <v>cognitive</v>
      </c>
      <c r="U405" s="17" t="str">
        <f>IFERROR(__xludf.DUMMYFUNCTION("IF(COUNTIF(ARRAYFORMULA(LOWER(Validations!$P$2:$P$100)), LOWER(REGEXEXTRACT(J405, ""\d{1,3}[dD]\d{1,3}\s+(\w+)"")))&gt;0, REGEXEXTRACT(J405, ""\d{1,3}[dD]\d{1,3}\s+(\w+)""), """")"),"")</f>
        <v/>
      </c>
      <c r="V405" s="12" t="str">
        <f>IFERROR(__xludf.DUMMYFUNCTION("TEXTJOIN("", "", TRUE, FILTER(Validations!$L$2:$L$100, ISNUMBER(SEARCH(Validations!$L$2:$L$100, J405))))"),"Erased")</f>
        <v>Erased</v>
      </c>
      <c r="W405" s="12" t="str">
        <f>IFERROR(__xludf.DUMMYFUNCTION("IFERROR(TEXTJOIN("", "", TRUE, FILTER(Validations!$M$2:$M$100, ISNUMBER(SEARCH(Validations!$M$2:$M$100 &amp; "" saving throw"", J405)))), """")"),"Intelligence")</f>
        <v>Intelligence</v>
      </c>
      <c r="X405" s="12"/>
      <c r="Y405" s="12"/>
      <c r="Z405" s="12" t="str">
        <f>IFERROR(__xludf.DUMMYFUNCTION("IFERROR(TEXTJOIN("", "", TRUE, FILTER(Validations!$N$2:$N$100, ISNUMBER(SEARCH(Validations!$N$2:$N$100 &amp; "" check"", J405)))), """")"),"")</f>
        <v/>
      </c>
      <c r="AA405" s="12" t="str">
        <f>IFERROR(__xludf.DUMMYFUNCTION("IFERROR(TEXTJOIN("", "", TRUE, FILTER(Validations!$N$2:$N$100, ISNUMBER(SEARCH(Validations!$N$2:$N$100 &amp; "" check"", W405)))), """")"),"")</f>
        <v/>
      </c>
      <c r="AB405" s="23" t="str">
        <f>IFERROR(__xludf.DUMMYFUNCTION("IFERROR(CONCATENATE(IF(ISNUMBER(SEARCH(Validations!$M$2:$M$100 &amp; "" spell save"", J405)),""Spell Save"",""""), REGEXEXTRACT(J405, ""DC (\d+)"")), """")"),"")</f>
        <v/>
      </c>
      <c r="AC405" s="24" t="b">
        <v>0</v>
      </c>
      <c r="AD405" s="24" t="b">
        <v>0</v>
      </c>
      <c r="AE405" s="36" t="s">
        <v>69</v>
      </c>
      <c r="AF405" s="25">
        <f>IFERROR(__xludf.DUMMYFUNCTION("IFERROR(VALUE(REGEXEXTRACT(AE405, ""\d+"")), 1)"),1.0)</f>
        <v>1</v>
      </c>
      <c r="AG405" s="12" t="str">
        <f>IFERROR(__xludf.DUMMYFUNCTION("IF(
  ISNUMBER(SEARCH(""Bonus Action"", AE405)),
  ""Bonus Action"",
  IF(
    ISNUMBER(SEARCH(""Reaction"", AE405)),
    ""Reaction"",
    IF(
      ISNUMBER(SEARCH(""Action"", AE405)),
      ""Action"",
      TEXTJOIN("", "", TRUE, FILTER(Validations!$S"&amp;"$2:$S$100, ISNUMBER(SEARCH(Validations!$S$2:$S$100, AE405))))
    )
  )
)"),"Action")</f>
        <v>Action</v>
      </c>
      <c r="AH405" s="36"/>
      <c r="AI405" s="27" t="s">
        <v>70</v>
      </c>
      <c r="AJ405" s="26" t="str">
        <f>IFERROR(__xludf.DUMMYFUNCTION("TEXTJOIN("", "", TRUE, FILTER(Validations!$T$2:$T$100, ISNUMBER(SEARCH(Validations!$T$2:$T$100, AI405))))"),"Instantaneous")</f>
        <v>Instantaneous</v>
      </c>
      <c r="AK405" s="26" t="str">
        <f>IFERROR(__xludf.DUMMYFUNCTION("IFERROR(VALUE(REGEXEXTRACT(AI405, ""\d+"")), """")"),"")</f>
        <v/>
      </c>
      <c r="AL405" s="26" t="str">
        <f>IFERROR(__xludf.DUMMYFUNCTION("TEXTJOIN("", "", TRUE, FILTER(Validations!$U$2:$U$100, ISNUMBER(SEARCH(Validations!$U$2:$U$100, AI405))))"),"")</f>
        <v/>
      </c>
      <c r="AM405" s="24" t="b">
        <f t="shared" si="1"/>
        <v>0</v>
      </c>
      <c r="AN405" s="24" t="b">
        <v>0</v>
      </c>
      <c r="AO405" s="22" t="s">
        <v>502</v>
      </c>
      <c r="AP405" s="12" t="str">
        <f>IFERROR(__xludf.DUMMYFUNCTION("IF(TEXTJOIN("", "", TRUE, FILTER(Validations!$Q$2:$Q$100, ISNUMBER(SEARCH(Validations!$Q$2:$Q$100, AO405)))) = """", Validations!$Q$2, TEXTJOIN("", "", TRUE, FILTER(Validations!$Q$2:$Q$100, ISNUMBER(SEARCH(Validations!$Q$2:$Q$100, AO405)))))"),"Point")</f>
        <v>Point</v>
      </c>
      <c r="AQ405" s="12">
        <f>IFERROR(__xludf.DUMMYFUNCTION("IFERROR(VALUE(REGEXEXTRACT(AO405, ""\d+"")), """")"),120.0)</f>
        <v>120</v>
      </c>
      <c r="AR405" s="12" t="str">
        <f>IFERROR(__xludf.DUMMYFUNCTION("TEXTJOIN("", "", TRUE, FILTER(Validations!$R$2:$R$100, ISNUMBER(SEARCH(Validations!$R$2:$R$100, AO405))))"),"Feet")</f>
        <v>Feet</v>
      </c>
      <c r="AS405" s="27"/>
      <c r="AT405" s="12" t="str">
        <f>IFERROR(__xludf.DUMMYFUNCTION("IFERROR(TEXTJOIN("", "", TRUE, FILTER(Validations!$I$2:$I$100, ISNUMBER(SEARCH(Validations!$I$2:$I$100, AS405)))), """")"),"")</f>
        <v/>
      </c>
      <c r="AU405" s="16" t="str">
        <f t="array" ref="AU405">IFERROR(INDEX(Validations!$J$2:$J$100, MATCH(TRUE, ISNUMBER(SEARCH(Validations!$I$2:$I$100, AT405)), 0)), "")</f>
        <v/>
      </c>
      <c r="AV405" s="12" t="str">
        <f>IFERROR(__xludf.DUMMYFUNCTION("IFERROR(VALUE(REGEXEXTRACT(AS405, ""\d+"")), """")"),"")</f>
        <v/>
      </c>
      <c r="AW405" s="12" t="str">
        <f>IFERROR(__xludf.DUMMYFUNCTION("IFERROR(TEXTJOIN("", "", TRUE, FILTER(Validations!$Q$2:$Q$100, ISNUMBER(SEARCH(Validations!$Q$2:$Q$100, AS405)))), """")"),"")</f>
        <v/>
      </c>
      <c r="AX405" s="28" t="s">
        <v>152</v>
      </c>
      <c r="AY405" s="28" t="str">
        <f>IFERROR(__xludf.DUMMYFUNCTION("TEXTJOIN("", "", TRUE, FILTER(Validations!$Y$2:$Y$100, ISNUMBER(SEARCH(Validations!$X$2:$X$100, AX405))))"),"V, S, R")</f>
        <v>V, S, R</v>
      </c>
      <c r="AZ405" s="20" t="s">
        <v>1930</v>
      </c>
      <c r="BA405" s="22"/>
      <c r="BB405" s="22"/>
      <c r="BC405" s="22"/>
      <c r="BD405" s="22"/>
      <c r="BE405" s="27"/>
      <c r="BF405" s="22"/>
      <c r="BG405" s="27"/>
      <c r="BH405" s="20" t="s">
        <v>1931</v>
      </c>
      <c r="BI405" s="12" t="str">
        <f>IFERROR(__xludf.DUMMYFUNCTION("IFERROR(TEXTJOIN("", "", TRUE, FILTER(SRD!$A$2:$A$1000, EXACT(SRD!$A$2:$A$1000, J405))), """")"),"")</f>
        <v/>
      </c>
      <c r="BJ405" s="29"/>
      <c r="BK405" s="29"/>
    </row>
    <row r="406">
      <c r="A406" s="30" t="s">
        <v>1932</v>
      </c>
      <c r="B406" s="22"/>
      <c r="C406" s="31"/>
      <c r="D406" s="31" t="s">
        <v>74</v>
      </c>
      <c r="E406" s="31"/>
      <c r="F406" s="32" t="s">
        <v>216</v>
      </c>
      <c r="G406" s="50" t="s">
        <v>1919</v>
      </c>
      <c r="H406" s="16" t="s">
        <v>144</v>
      </c>
      <c r="I406" s="16" t="str">
        <f t="array" ref="I406">INDEX(Validations!$C$2:$C$100, MATCH(TRUE, ISNUMBER(SEARCH(Validations!$B$2:$B$100, H406)), 0))</f>
        <v>D</v>
      </c>
      <c r="J406" s="17" t="s">
        <v>1933</v>
      </c>
      <c r="K406" s="18"/>
      <c r="L406" s="17"/>
      <c r="M406" s="17"/>
      <c r="N406" s="27"/>
      <c r="O406" s="17"/>
      <c r="P406" s="21"/>
      <c r="Q406" s="21"/>
      <c r="R406" s="22"/>
      <c r="S406" s="17" t="str">
        <f>IFERROR(__xludf.DUMMYFUNCTION("IFERROR(REGEXEXTRACT(J406, ""(\d{1,3}[dD]\d{1,3})""), """")"),"")</f>
        <v/>
      </c>
      <c r="T406" s="17" t="str">
        <f>IFERROR(__xludf.DUMMYFUNCTION("IF(COUNTIF(ARRAYFORMULA(LOWER(Validations!$O$2:$O$100)), LOWER(REGEXEXTRACT(J406, ""\d{1,3}[dD]\d{1,3}\s+(\w+)"")))&gt;0, REGEXEXTRACT(J406, ""\d{1,3}[dD]\d{1,3}\s+(\w+)""), """")"),"")</f>
        <v/>
      </c>
      <c r="U406" s="17" t="str">
        <f>IFERROR(__xludf.DUMMYFUNCTION("IF(COUNTIF(ARRAYFORMULA(LOWER(Validations!$P$2:$P$100)), LOWER(REGEXEXTRACT(J406, ""\d{1,3}[dD]\d{1,3}\s+(\w+)"")))&gt;0, REGEXEXTRACT(J406, ""\d{1,3}[dD]\d{1,3}\s+(\w+)""), """")"),"")</f>
        <v/>
      </c>
      <c r="V406" s="12" t="str">
        <f>IFERROR(__xludf.DUMMYFUNCTION("TEXTJOIN("", "", TRUE, FILTER(Validations!$L$2:$L$100, ISNUMBER(SEARCH(Validations!$L$2:$L$100, J406))))"),"")</f>
        <v/>
      </c>
      <c r="W406" s="12" t="str">
        <f>IFERROR(__xludf.DUMMYFUNCTION("IFERROR(TEXTJOIN("", "", TRUE, FILTER(Validations!$M$2:$M$100, ISNUMBER(SEARCH(Validations!$M$2:$M$100 &amp; "" saving throw"", J406)))), """")"),"Charisma")</f>
        <v>Charisma</v>
      </c>
      <c r="X406" s="12"/>
      <c r="Y406" s="12"/>
      <c r="Z406" s="12" t="str">
        <f>IFERROR(__xludf.DUMMYFUNCTION("IFERROR(TEXTJOIN("", "", TRUE, FILTER(Validations!$N$2:$N$100, ISNUMBER(SEARCH(Validations!$N$2:$N$100 &amp; "" check"", J406)))), """")"),"")</f>
        <v/>
      </c>
      <c r="AA406" s="12" t="str">
        <f>IFERROR(__xludf.DUMMYFUNCTION("IFERROR(TEXTJOIN("", "", TRUE, FILTER(Validations!$N$2:$N$100, ISNUMBER(SEARCH(Validations!$N$2:$N$100 &amp; "" check"", W406)))), """")"),"")</f>
        <v/>
      </c>
      <c r="AB406" s="23" t="str">
        <f>IFERROR(__xludf.DUMMYFUNCTION("IFERROR(CONCATENATE(IF(ISNUMBER(SEARCH(Validations!$M$2:$M$100 &amp; "" spell save"", J406)),""Spell Save"",""""), REGEXEXTRACT(J406, ""DC (\d+)"")), """")"),"20")</f>
        <v>20</v>
      </c>
      <c r="AC406" s="24" t="b">
        <v>0</v>
      </c>
      <c r="AD406" s="24" t="b">
        <v>0</v>
      </c>
      <c r="AE406" s="36" t="s">
        <v>69</v>
      </c>
      <c r="AF406" s="25">
        <f>IFERROR(__xludf.DUMMYFUNCTION("IFERROR(VALUE(REGEXEXTRACT(AE406, ""\d+"")), 1)"),1.0)</f>
        <v>1</v>
      </c>
      <c r="AG406" s="12" t="str">
        <f>IFERROR(__xludf.DUMMYFUNCTION("IF(
  ISNUMBER(SEARCH(""Bonus Action"", AE406)),
  ""Bonus Action"",
  IF(
    ISNUMBER(SEARCH(""Reaction"", AE406)),
    ""Reaction"",
    IF(
      ISNUMBER(SEARCH(""Action"", AE406)),
      ""Action"",
      TEXTJOIN("", "", TRUE, FILTER(Validations!$S"&amp;"$2:$S$100, ISNUMBER(SEARCH(Validations!$S$2:$S$100, AE406))))
    )
  )
)"),"Action")</f>
        <v>Action</v>
      </c>
      <c r="AH406" s="36"/>
      <c r="AI406" s="27" t="s">
        <v>255</v>
      </c>
      <c r="AJ406" s="26" t="str">
        <f>IFERROR(__xludf.DUMMYFUNCTION("TEXTJOIN("", "", TRUE, FILTER(Validations!$T$2:$T$100, ISNUMBER(SEARCH(Validations!$T$2:$T$100, AI406))))"),"Permanent")</f>
        <v>Permanent</v>
      </c>
      <c r="AK406" s="26" t="str">
        <f>IFERROR(__xludf.DUMMYFUNCTION("IFERROR(VALUE(REGEXEXTRACT(AI406, ""\d+"")), """")"),"")</f>
        <v/>
      </c>
      <c r="AL406" s="26" t="str">
        <f>IFERROR(__xludf.DUMMYFUNCTION("TEXTJOIN("", "", TRUE, FILTER(Validations!$U$2:$U$100, ISNUMBER(SEARCH(Validations!$U$2:$U$100, AI406))))"),"")</f>
        <v/>
      </c>
      <c r="AM406" s="24" t="b">
        <f t="shared" si="1"/>
        <v>0</v>
      </c>
      <c r="AN406" s="24" t="b">
        <v>0</v>
      </c>
      <c r="AO406" s="22" t="s">
        <v>440</v>
      </c>
      <c r="AP406" s="12" t="str">
        <f>IFERROR(__xludf.DUMMYFUNCTION("IF(TEXTJOIN("", "", TRUE, FILTER(Validations!$Q$2:$Q$100, ISNUMBER(SEARCH(Validations!$Q$2:$Q$100, AO406)))) = """", Validations!$Q$2, TEXTJOIN("", "", TRUE, FILTER(Validations!$Q$2:$Q$100, ISNUMBER(SEARCH(Validations!$Q$2:$Q$100, AO406)))))"),"Point")</f>
        <v>Point</v>
      </c>
      <c r="AQ406" s="12">
        <f>IFERROR(__xludf.DUMMYFUNCTION("IFERROR(VALUE(REGEXEXTRACT(AO406, ""\d+"")), """")"),60.0)</f>
        <v>60</v>
      </c>
      <c r="AR406" s="12" t="str">
        <f>IFERROR(__xludf.DUMMYFUNCTION("TEXTJOIN("", "", TRUE, FILTER(Validations!$R$2:$R$100, ISNUMBER(SEARCH(Validations!$R$2:$R$100, AO406))))"),"Feet")</f>
        <v>Feet</v>
      </c>
      <c r="AS406" s="27"/>
      <c r="AT406" s="12" t="str">
        <f>IFERROR(__xludf.DUMMYFUNCTION("IFERROR(TEXTJOIN("", "", TRUE, FILTER(Validations!$I$2:$I$100, ISNUMBER(SEARCH(Validations!$I$2:$I$100, AS406)))), """")"),"")</f>
        <v/>
      </c>
      <c r="AU406" s="16" t="str">
        <f t="array" ref="AU406">IFERROR(INDEX(Validations!$J$2:$J$100, MATCH(TRUE, ISNUMBER(SEARCH(Validations!$I$2:$I$100, AT406)), 0)), "")</f>
        <v/>
      </c>
      <c r="AV406" s="12" t="str">
        <f>IFERROR(__xludf.DUMMYFUNCTION("IFERROR(VALUE(REGEXEXTRACT(AS406, ""\d+"")), """")"),"")</f>
        <v/>
      </c>
      <c r="AW406" s="12" t="str">
        <f>IFERROR(__xludf.DUMMYFUNCTION("IFERROR(TEXTJOIN("", "", TRUE, FILTER(Validations!$Q$2:$Q$100, ISNUMBER(SEARCH(Validations!$Q$2:$Q$100, AS406)))), """")"),"")</f>
        <v/>
      </c>
      <c r="AX406" s="28" t="s">
        <v>152</v>
      </c>
      <c r="AY406" s="28" t="str">
        <f>IFERROR(__xludf.DUMMYFUNCTION("TEXTJOIN("", "", TRUE, FILTER(Validations!$Y$2:$Y$100, ISNUMBER(SEARCH(Validations!$X$2:$X$100, AX406))))"),"V, S, R")</f>
        <v>V, S, R</v>
      </c>
      <c r="AZ406" s="20" t="s">
        <v>1934</v>
      </c>
      <c r="BA406" s="22"/>
      <c r="BB406" s="22"/>
      <c r="BC406" s="22"/>
      <c r="BD406" s="22"/>
      <c r="BE406" s="27"/>
      <c r="BF406" s="22"/>
      <c r="BG406" s="27"/>
      <c r="BH406" s="27"/>
      <c r="BI406" s="12" t="str">
        <f>IFERROR(__xludf.DUMMYFUNCTION("IFERROR(TEXTJOIN("", "", TRUE, FILTER(SRD!$A$2:$A$1000, EXACT(SRD!$A$2:$A$1000, J406))), """")"),"")</f>
        <v/>
      </c>
      <c r="BJ406" s="29"/>
      <c r="BK406" s="29"/>
    </row>
    <row r="407" ht="15.75" customHeight="1">
      <c r="A407" s="30" t="s">
        <v>1935</v>
      </c>
      <c r="B407" s="22"/>
      <c r="C407" s="31"/>
      <c r="D407" s="31" t="s">
        <v>74</v>
      </c>
      <c r="E407" s="31"/>
      <c r="F407" s="32" t="s">
        <v>216</v>
      </c>
      <c r="G407" s="50" t="s">
        <v>1919</v>
      </c>
      <c r="H407" s="31" t="s">
        <v>144</v>
      </c>
      <c r="I407" s="16" t="str">
        <f t="array" ref="I407">INDEX(Validations!$C$2:$C$100, MATCH(TRUE, ISNUMBER(SEARCH(Validations!$B$2:$B$100, H407)), 0))</f>
        <v>D</v>
      </c>
      <c r="J407" s="17" t="s">
        <v>1936</v>
      </c>
      <c r="K407" s="18"/>
      <c r="L407" s="17"/>
      <c r="M407" s="17"/>
      <c r="N407" s="27"/>
      <c r="O407" s="17"/>
      <c r="P407" s="21"/>
      <c r="Q407" s="21"/>
      <c r="R407" s="36" t="s">
        <v>1937</v>
      </c>
      <c r="S407" s="17" t="str">
        <f>IFERROR(__xludf.DUMMYFUNCTION("IFERROR(REGEXEXTRACT(J407, ""(\d{1,3}[dD]\d{1,3})""), """")"),"")</f>
        <v/>
      </c>
      <c r="T407" s="17" t="str">
        <f>IFERROR(__xludf.DUMMYFUNCTION("IF(COUNTIF(ARRAYFORMULA(LOWER(Validations!$O$2:$O$100)), LOWER(REGEXEXTRACT(J407, ""\d{1,3}[dD]\d{1,3}\s+(\w+)"")))&gt;0, REGEXEXTRACT(J407, ""\d{1,3}[dD]\d{1,3}\s+(\w+)""), """")"),"")</f>
        <v/>
      </c>
      <c r="U407" s="17" t="str">
        <f>IFERROR(__xludf.DUMMYFUNCTION("IF(COUNTIF(ARRAYFORMULA(LOWER(Validations!$P$2:$P$100)), LOWER(REGEXEXTRACT(J407, ""\d{1,3}[dD]\d{1,3}\s+(\w+)"")))&gt;0, REGEXEXTRACT(J407, ""\d{1,3}[dD]\d{1,3}\s+(\w+)""), """")"),"")</f>
        <v/>
      </c>
      <c r="V407" s="12" t="str">
        <f>IFERROR(__xludf.DUMMYFUNCTION("TEXTJOIN("", "", TRUE, FILTER(Validations!$L$2:$L$100, ISNUMBER(SEARCH(Validations!$L$2:$L$100, J407))))"),"Erased")</f>
        <v>Erased</v>
      </c>
      <c r="W407" s="12" t="str">
        <f>IFERROR(__xludf.DUMMYFUNCTION("IFERROR(TEXTJOIN("", "", TRUE, FILTER(Validations!$M$2:$M$100, ISNUMBER(SEARCH(Validations!$M$2:$M$100 &amp; "" saving throw"", J407)))), """")"),"Charisma")</f>
        <v>Charisma</v>
      </c>
      <c r="X407" s="12"/>
      <c r="Y407" s="12"/>
      <c r="Z407" s="12" t="str">
        <f>IFERROR(__xludf.DUMMYFUNCTION("IFERROR(TEXTJOIN("", "", TRUE, FILTER(Validations!$N$2:$N$100, ISNUMBER(SEARCH(Validations!$N$2:$N$100 &amp; "" check"", J407)))), """")"),"")</f>
        <v/>
      </c>
      <c r="AA407" s="12" t="str">
        <f>IFERROR(__xludf.DUMMYFUNCTION("IFERROR(TEXTJOIN("", "", TRUE, FILTER(Validations!$N$2:$N$100, ISNUMBER(SEARCH(Validations!$N$2:$N$100 &amp; "" check"", W407)))), """")"),"")</f>
        <v/>
      </c>
      <c r="AB407" s="23" t="str">
        <f>IFERROR(__xludf.DUMMYFUNCTION("IFERROR(CONCATENATE(IF(ISNUMBER(SEARCH(Validations!$M$2:$M$100 &amp; "" spell save"", J407)),""Spell Save"",""""), REGEXEXTRACT(J407, ""DC (\d+)"")), """")"),"")</f>
        <v/>
      </c>
      <c r="AC407" s="24" t="b">
        <v>0</v>
      </c>
      <c r="AD407" s="24" t="b">
        <v>0</v>
      </c>
      <c r="AE407" s="36" t="s">
        <v>92</v>
      </c>
      <c r="AF407" s="25">
        <f>IFERROR(__xludf.DUMMYFUNCTION("IFERROR(VALUE(REGEXEXTRACT(AE407, ""\d+"")), 1)"),1.0)</f>
        <v>1</v>
      </c>
      <c r="AG407" s="12" t="str">
        <f>IFERROR(__xludf.DUMMYFUNCTION("IF(
  ISNUMBER(SEARCH(""Bonus Action"", AE407)),
  ""Bonus Action"",
  IF(
    ISNUMBER(SEARCH(""Reaction"", AE407)),
    ""Reaction"",
    IF(
      ISNUMBER(SEARCH(""Action"", AE407)),
      ""Action"",
      TEXTJOIN("", "", TRUE, FILTER(Validations!$S"&amp;"$2:$S$100, ISNUMBER(SEARCH(Validations!$S$2:$S$100, AE407))))
    )
  )
)"),"Minutes")</f>
        <v>Minutes</v>
      </c>
      <c r="AH407" s="22"/>
      <c r="AI407" s="27" t="s">
        <v>255</v>
      </c>
      <c r="AJ407" s="26" t="str">
        <f>IFERROR(__xludf.DUMMYFUNCTION("TEXTJOIN("", "", TRUE, FILTER(Validations!$T$2:$T$100, ISNUMBER(SEARCH(Validations!$T$2:$T$100, AI407))))"),"Permanent")</f>
        <v>Permanent</v>
      </c>
      <c r="AK407" s="26" t="str">
        <f>IFERROR(__xludf.DUMMYFUNCTION("IFERROR(VALUE(REGEXEXTRACT(AI407, ""\d+"")), """")"),"")</f>
        <v/>
      </c>
      <c r="AL407" s="26" t="str">
        <f>IFERROR(__xludf.DUMMYFUNCTION("TEXTJOIN("", "", TRUE, FILTER(Validations!$U$2:$U$100, ISNUMBER(SEARCH(Validations!$U$2:$U$100, AI407))))"),"")</f>
        <v/>
      </c>
      <c r="AM407" s="24" t="b">
        <f t="shared" si="1"/>
        <v>0</v>
      </c>
      <c r="AN407" s="24" t="b">
        <v>0</v>
      </c>
      <c r="AO407" s="22" t="s">
        <v>440</v>
      </c>
      <c r="AP407" s="12" t="str">
        <f>IFERROR(__xludf.DUMMYFUNCTION("IF(TEXTJOIN("", "", TRUE, FILTER(Validations!$Q$2:$Q$100, ISNUMBER(SEARCH(Validations!$Q$2:$Q$100, AO407)))) = """", Validations!$Q$2, TEXTJOIN("", "", TRUE, FILTER(Validations!$Q$2:$Q$100, ISNUMBER(SEARCH(Validations!$Q$2:$Q$100, AO407)))))"),"Point")</f>
        <v>Point</v>
      </c>
      <c r="AQ407" s="12">
        <f>IFERROR(__xludf.DUMMYFUNCTION("IFERROR(VALUE(REGEXEXTRACT(AO407, ""\d+"")), """")"),60.0)</f>
        <v>60</v>
      </c>
      <c r="AR407" s="12" t="str">
        <f>IFERROR(__xludf.DUMMYFUNCTION("TEXTJOIN("", "", TRUE, FILTER(Validations!$R$2:$R$100, ISNUMBER(SEARCH(Validations!$R$2:$R$100, AO407))))"),"Feet")</f>
        <v>Feet</v>
      </c>
      <c r="AS407" s="27"/>
      <c r="AT407" s="12" t="str">
        <f>IFERROR(__xludf.DUMMYFUNCTION("IFERROR(TEXTJOIN("", "", TRUE, FILTER(Validations!$I$2:$I$100, ISNUMBER(SEARCH(Validations!$I$2:$I$100, AS407)))), """")"),"")</f>
        <v/>
      </c>
      <c r="AU407" s="16" t="str">
        <f t="array" ref="AU407">IFERROR(INDEX(Validations!$J$2:$J$100, MATCH(TRUE, ISNUMBER(SEARCH(Validations!$I$2:$I$100, AT407)), 0)), "")</f>
        <v/>
      </c>
      <c r="AV407" s="12" t="str">
        <f>IFERROR(__xludf.DUMMYFUNCTION("IFERROR(VALUE(REGEXEXTRACT(AS407, ""\d+"")), """")"),"")</f>
        <v/>
      </c>
      <c r="AW407" s="12" t="str">
        <f>IFERROR(__xludf.DUMMYFUNCTION("IFERROR(TEXTJOIN("", "", TRUE, FILTER(Validations!$Q$2:$Q$100, ISNUMBER(SEARCH(Validations!$Q$2:$Q$100, AS407)))), """")"),"")</f>
        <v/>
      </c>
      <c r="AX407" s="28" t="s">
        <v>152</v>
      </c>
      <c r="AY407" s="28" t="str">
        <f>IFERROR(__xludf.DUMMYFUNCTION("TEXTJOIN("", "", TRUE, FILTER(Validations!$Y$2:$Y$100, ISNUMBER(SEARCH(Validations!$X$2:$X$100, AX407))))"),"V, S, R")</f>
        <v>V, S, R</v>
      </c>
      <c r="AZ407" s="20" t="s">
        <v>1938</v>
      </c>
      <c r="BA407" s="22"/>
      <c r="BB407" s="22"/>
      <c r="BC407" s="22"/>
      <c r="BD407" s="22"/>
      <c r="BE407" s="27"/>
      <c r="BF407" s="22"/>
      <c r="BG407" s="27"/>
      <c r="BH407" s="27"/>
      <c r="BI407" s="12" t="str">
        <f>IFERROR(__xludf.DUMMYFUNCTION("IFERROR(TEXTJOIN("", "", TRUE, FILTER(SRD!$A$2:$A$1000, EXACT(SRD!$A$2:$A$1000, J407))), """")"),"")</f>
        <v/>
      </c>
      <c r="BJ407" s="29"/>
      <c r="BK407" s="29"/>
    </row>
    <row r="408" ht="15.75" customHeight="1">
      <c r="A408" s="30" t="s">
        <v>1939</v>
      </c>
      <c r="B408" s="22"/>
      <c r="C408" s="31"/>
      <c r="D408" s="31" t="s">
        <v>74</v>
      </c>
      <c r="E408" s="31"/>
      <c r="F408" s="40" t="s">
        <v>515</v>
      </c>
      <c r="G408" s="50" t="s">
        <v>1919</v>
      </c>
      <c r="H408" s="31" t="s">
        <v>178</v>
      </c>
      <c r="I408" s="16" t="str">
        <f t="array" ref="I408">INDEX(Validations!$C$2:$C$100, MATCH(TRUE, ISNUMBER(SEARCH(Validations!$B$2:$B$100, H408)), 0))</f>
        <v>A</v>
      </c>
      <c r="J408" s="17" t="s">
        <v>1940</v>
      </c>
      <c r="K408" s="18"/>
      <c r="L408" s="17"/>
      <c r="M408" s="17"/>
      <c r="N408" s="27"/>
      <c r="O408" s="17"/>
      <c r="P408" s="21"/>
      <c r="Q408" s="21"/>
      <c r="R408" s="22"/>
      <c r="S408" s="17" t="str">
        <f>IFERROR(__xludf.DUMMYFUNCTION("IFERROR(REGEXEXTRACT(J408, ""(\d{1,3}[dD]\d{1,3})""), """")"),"20d12")</f>
        <v>20d12</v>
      </c>
      <c r="T408" s="17" t="str">
        <f>IFERROR(__xludf.DUMMYFUNCTION("IF(COUNTIF(ARRAYFORMULA(LOWER(Validations!$O$2:$O$100)), LOWER(REGEXEXTRACT(J408, ""\d{1,3}[dD]\d{1,3}\s+(\w+)"")))&gt;0, REGEXEXTRACT(J408, ""\d{1,3}[dD]\d{1,3}\s+(\w+)""), """")"),"impact")</f>
        <v>impact</v>
      </c>
      <c r="U408" s="17" t="str">
        <f>IFERROR(__xludf.DUMMYFUNCTION("IF(COUNTIF(ARRAYFORMULA(LOWER(Validations!$P$2:$P$100)), LOWER(REGEXEXTRACT(J408, ""\d{1,3}[dD]\d{1,3}\s+(\w+)"")))&gt;0, REGEXEXTRACT(J408, ""\d{1,3}[dD]\d{1,3}\s+(\w+)""), """")"),"")</f>
        <v/>
      </c>
      <c r="V408" s="12" t="str">
        <f>IFERROR(__xludf.DUMMYFUNCTION("TEXTJOIN("", "", TRUE, FILTER(Validations!$L$2:$L$100, ISNUMBER(SEARCH(Validations!$L$2:$L$100, J408))))"),"Erased")</f>
        <v>Erased</v>
      </c>
      <c r="W408" s="12" t="str">
        <f>IFERROR(__xludf.DUMMYFUNCTION("IFERROR(TEXTJOIN("", "", TRUE, FILTER(Validations!$M$2:$M$100, ISNUMBER(SEARCH(Validations!$M$2:$M$100 &amp; "" saving throw"", J408)))), """")"),"Intelligence, Charisma")</f>
        <v>Intelligence, Charisma</v>
      </c>
      <c r="X408" s="12"/>
      <c r="Y408" s="12"/>
      <c r="Z408" s="12" t="str">
        <f>IFERROR(__xludf.DUMMYFUNCTION("IFERROR(TEXTJOIN("", "", TRUE, FILTER(Validations!$N$2:$N$100, ISNUMBER(SEARCH(Validations!$N$2:$N$100 &amp; "" check"", J408)))), """")"),"")</f>
        <v/>
      </c>
      <c r="AA408" s="12" t="str">
        <f>IFERROR(__xludf.DUMMYFUNCTION("IFERROR(TEXTJOIN("", "", TRUE, FILTER(Validations!$N$2:$N$100, ISNUMBER(SEARCH(Validations!$N$2:$N$100 &amp; "" check"", W408)))), """")"),"")</f>
        <v/>
      </c>
      <c r="AB408" s="23" t="str">
        <f>IFERROR(__xludf.DUMMYFUNCTION("IFERROR(CONCATENATE(IF(ISNUMBER(SEARCH(Validations!$M$2:$M$100 &amp; "" spell save"", J408)),""Spell Save"",""""), REGEXEXTRACT(J408, ""DC (\d+)"")), """")"),"20")</f>
        <v>20</v>
      </c>
      <c r="AC408" s="24" t="b">
        <v>0</v>
      </c>
      <c r="AD408" s="24" t="b">
        <v>0</v>
      </c>
      <c r="AE408" s="36" t="s">
        <v>69</v>
      </c>
      <c r="AF408" s="25">
        <f>IFERROR(__xludf.DUMMYFUNCTION("IFERROR(VALUE(REGEXEXTRACT(AE408, ""\d+"")), 1)"),1.0)</f>
        <v>1</v>
      </c>
      <c r="AG408" s="12" t="str">
        <f>IFERROR(__xludf.DUMMYFUNCTION("IF(
  ISNUMBER(SEARCH(""Bonus Action"", AE408)),
  ""Bonus Action"",
  IF(
    ISNUMBER(SEARCH(""Reaction"", AE408)),
    ""Reaction"",
    IF(
      ISNUMBER(SEARCH(""Action"", AE408)),
      ""Action"",
      TEXTJOIN("", "", TRUE, FILTER(Validations!$S"&amp;"$2:$S$100, ISNUMBER(SEARCH(Validations!$S$2:$S$100, AE408))))
    )
  )
)"),"Action")</f>
        <v>Action</v>
      </c>
      <c r="AH408" s="36"/>
      <c r="AI408" s="27" t="s">
        <v>70</v>
      </c>
      <c r="AJ408" s="26" t="str">
        <f>IFERROR(__xludf.DUMMYFUNCTION("TEXTJOIN("", "", TRUE, FILTER(Validations!$T$2:$T$100, ISNUMBER(SEARCH(Validations!$T$2:$T$100, AI408))))"),"Instantaneous")</f>
        <v>Instantaneous</v>
      </c>
      <c r="AK408" s="26" t="str">
        <f>IFERROR(__xludf.DUMMYFUNCTION("IFERROR(VALUE(REGEXEXTRACT(AI408, ""\d+"")), """")"),"")</f>
        <v/>
      </c>
      <c r="AL408" s="26" t="str">
        <f>IFERROR(__xludf.DUMMYFUNCTION("TEXTJOIN("", "", TRUE, FILTER(Validations!$U$2:$U$100, ISNUMBER(SEARCH(Validations!$U$2:$U$100, AI408))))"),"")</f>
        <v/>
      </c>
      <c r="AM408" s="24" t="b">
        <f t="shared" si="1"/>
        <v>0</v>
      </c>
      <c r="AN408" s="24" t="b">
        <v>0</v>
      </c>
      <c r="AO408" s="22" t="s">
        <v>112</v>
      </c>
      <c r="AP408" s="12" t="str">
        <f>IFERROR(__xludf.DUMMYFUNCTION("IF(TEXTJOIN("", "", TRUE, FILTER(Validations!$Q$2:$Q$100, ISNUMBER(SEARCH(Validations!$Q$2:$Q$100, AO408)))) = """", Validations!$Q$2, TEXTJOIN("", "", TRUE, FILTER(Validations!$Q$2:$Q$100, ISNUMBER(SEARCH(Validations!$Q$2:$Q$100, AO408)))))"),"Point")</f>
        <v>Point</v>
      </c>
      <c r="AQ408" s="12">
        <f>IFERROR(__xludf.DUMMYFUNCTION("IFERROR(VALUE(REGEXEXTRACT(AO408, ""\d+"")), """")"),30.0)</f>
        <v>30</v>
      </c>
      <c r="AR408" s="12" t="str">
        <f>IFERROR(__xludf.DUMMYFUNCTION("TEXTJOIN("", "", TRUE, FILTER(Validations!$R$2:$R$100, ISNUMBER(SEARCH(Validations!$R$2:$R$100, AO408))))"),"Feet")</f>
        <v>Feet</v>
      </c>
      <c r="AS408" s="27"/>
      <c r="AT408" s="12" t="str">
        <f>IFERROR(__xludf.DUMMYFUNCTION("IFERROR(TEXTJOIN("", "", TRUE, FILTER(Validations!$I$2:$I$100, ISNUMBER(SEARCH(Validations!$I$2:$I$100, AS408)))), """")"),"")</f>
        <v/>
      </c>
      <c r="AU408" s="16" t="str">
        <f t="array" ref="AU408">IFERROR(INDEX(Validations!$J$2:$J$100, MATCH(TRUE, ISNUMBER(SEARCH(Validations!$I$2:$I$100, AT408)), 0)), "")</f>
        <v/>
      </c>
      <c r="AV408" s="12" t="str">
        <f>IFERROR(__xludf.DUMMYFUNCTION("IFERROR(VALUE(REGEXEXTRACT(AS408, ""\d+"")), """")"),"")</f>
        <v/>
      </c>
      <c r="AW408" s="12" t="str">
        <f>IFERROR(__xludf.DUMMYFUNCTION("IFERROR(TEXTJOIN("", "", TRUE, FILTER(Validations!$Q$2:$Q$100, ISNUMBER(SEARCH(Validations!$Q$2:$Q$100, AS408)))), """")"),"")</f>
        <v/>
      </c>
      <c r="AX408" s="28" t="s">
        <v>152</v>
      </c>
      <c r="AY408" s="28" t="str">
        <f>IFERROR(__xludf.DUMMYFUNCTION("TEXTJOIN("", "", TRUE, FILTER(Validations!$Y$2:$Y$100, ISNUMBER(SEARCH(Validations!$X$2:$X$100, AX408))))"),"V, S, R")</f>
        <v>V, S, R</v>
      </c>
      <c r="AZ408" s="20" t="s">
        <v>1941</v>
      </c>
      <c r="BA408" s="22"/>
      <c r="BB408" s="22"/>
      <c r="BC408" s="22"/>
      <c r="BD408" s="22"/>
      <c r="BE408" s="27"/>
      <c r="BF408" s="28" t="s">
        <v>352</v>
      </c>
      <c r="BG408" s="27"/>
      <c r="BH408" s="27"/>
      <c r="BI408" s="12" t="str">
        <f>IFERROR(__xludf.DUMMYFUNCTION("IFERROR(TEXTJOIN("", "", TRUE, FILTER(SRD!$A$2:$A$1000, EXACT(SRD!$A$2:$A$1000, J408))), """")"),"")</f>
        <v/>
      </c>
      <c r="BJ408" s="29"/>
      <c r="BK408" s="29"/>
    </row>
    <row r="409" ht="15.75" customHeight="1">
      <c r="A409" s="30" t="s">
        <v>1942</v>
      </c>
      <c r="B409" s="22"/>
      <c r="C409" s="31"/>
      <c r="D409" s="31" t="s">
        <v>74</v>
      </c>
      <c r="E409" s="31"/>
      <c r="F409" s="32" t="s">
        <v>600</v>
      </c>
      <c r="G409" s="50" t="s">
        <v>1919</v>
      </c>
      <c r="H409" s="31" t="s">
        <v>140</v>
      </c>
      <c r="I409" s="16" t="str">
        <f t="array" ref="I409">INDEX(Validations!$C$2:$C$100, MATCH(TRUE, ISNUMBER(SEARCH(Validations!$B$2:$B$100, H409)), 0))</f>
        <v>N</v>
      </c>
      <c r="J409" s="17" t="s">
        <v>1943</v>
      </c>
      <c r="K409" s="18"/>
      <c r="L409" s="17"/>
      <c r="M409" s="17"/>
      <c r="N409" s="27"/>
      <c r="O409" s="17"/>
      <c r="P409" s="21"/>
      <c r="Q409" s="21"/>
      <c r="R409" s="22"/>
      <c r="S409" s="17" t="str">
        <f>IFERROR(__xludf.DUMMYFUNCTION("IFERROR(REGEXEXTRACT(J409, ""(\d{1,3}[dD]\d{1,3})""), """")"),"")</f>
        <v/>
      </c>
      <c r="T409" s="17" t="str">
        <f>IFERROR(__xludf.DUMMYFUNCTION("IF(COUNTIF(ARRAYFORMULA(LOWER(Validations!$O$2:$O$100)), LOWER(REGEXEXTRACT(J409, ""\d{1,3}[dD]\d{1,3}\s+(\w+)"")))&gt;0, REGEXEXTRACT(J409, ""\d{1,3}[dD]\d{1,3}\s+(\w+)""), """")"),"")</f>
        <v/>
      </c>
      <c r="U409" s="17" t="str">
        <f>IFERROR(__xludf.DUMMYFUNCTION("IF(COUNTIF(ARRAYFORMULA(LOWER(Validations!$P$2:$P$100)), LOWER(REGEXEXTRACT(J409, ""\d{1,3}[dD]\d{1,3}\s+(\w+)"")))&gt;0, REGEXEXTRACT(J409, ""\d{1,3}[dD]\d{1,3}\s+(\w+)""), """")"),"")</f>
        <v/>
      </c>
      <c r="V409" s="12" t="str">
        <f>IFERROR(__xludf.DUMMYFUNCTION("TEXTJOIN("", "", TRUE, FILTER(Validations!$L$2:$L$100, ISNUMBER(SEARCH(Validations!$L$2:$L$100, J409))))"),"")</f>
        <v/>
      </c>
      <c r="W409" s="12" t="str">
        <f>IFERROR(__xludf.DUMMYFUNCTION("IFERROR(TEXTJOIN("", "", TRUE, FILTER(Validations!$M$2:$M$100, ISNUMBER(SEARCH(Validations!$M$2:$M$100 &amp; "" saving throw"", J409)))), """")"),"")</f>
        <v/>
      </c>
      <c r="X409" s="12"/>
      <c r="Y409" s="12"/>
      <c r="Z409" s="12" t="str">
        <f>IFERROR(__xludf.DUMMYFUNCTION("IFERROR(TEXTJOIN("", "", TRUE, FILTER(Validations!$N$2:$N$100, ISNUMBER(SEARCH(Validations!$N$2:$N$100 &amp; "" check"", J409)))), """")"),"")</f>
        <v/>
      </c>
      <c r="AA409" s="12" t="str">
        <f>IFERROR(__xludf.DUMMYFUNCTION("IFERROR(TEXTJOIN("", "", TRUE, FILTER(Validations!$N$2:$N$100, ISNUMBER(SEARCH(Validations!$N$2:$N$100 &amp; "" check"", W409)))), """")"),"")</f>
        <v/>
      </c>
      <c r="AB409" s="23" t="str">
        <f>IFERROR(__xludf.DUMMYFUNCTION("IFERROR(CONCATENATE(IF(ISNUMBER(SEARCH(Validations!$M$2:$M$100 &amp; "" spell save"", J409)),""Spell Save"",""""), REGEXEXTRACT(J409, ""DC (\d+)"")), """")"),"")</f>
        <v/>
      </c>
      <c r="AC409" s="24" t="b">
        <v>0</v>
      </c>
      <c r="AD409" s="24" t="b">
        <v>0</v>
      </c>
      <c r="AE409" s="36" t="s">
        <v>69</v>
      </c>
      <c r="AF409" s="25">
        <f>IFERROR(__xludf.DUMMYFUNCTION("IFERROR(VALUE(REGEXEXTRACT(AE409, ""\d+"")), 1)"),1.0)</f>
        <v>1</v>
      </c>
      <c r="AG409" s="12" t="str">
        <f>IFERROR(__xludf.DUMMYFUNCTION("IF(
  ISNUMBER(SEARCH(""Bonus Action"", AE409)),
  ""Bonus Action"",
  IF(
    ISNUMBER(SEARCH(""Reaction"", AE409)),
    ""Reaction"",
    IF(
      ISNUMBER(SEARCH(""Action"", AE409)),
      ""Action"",
      TEXTJOIN("", "", TRUE, FILTER(Validations!$S"&amp;"$2:$S$100, ISNUMBER(SEARCH(Validations!$S$2:$S$100, AE409))))
    )
  )
)"),"Action")</f>
        <v>Action</v>
      </c>
      <c r="AH409" s="36"/>
      <c r="AI409" s="27" t="s">
        <v>70</v>
      </c>
      <c r="AJ409" s="26" t="str">
        <f>IFERROR(__xludf.DUMMYFUNCTION("TEXTJOIN("", "", TRUE, FILTER(Validations!$T$2:$T$100, ISNUMBER(SEARCH(Validations!$T$2:$T$100, AI409))))"),"Instantaneous")</f>
        <v>Instantaneous</v>
      </c>
      <c r="AK409" s="26" t="str">
        <f>IFERROR(__xludf.DUMMYFUNCTION("IFERROR(VALUE(REGEXEXTRACT(AI409, ""\d+"")), """")"),"")</f>
        <v/>
      </c>
      <c r="AL409" s="26" t="str">
        <f>IFERROR(__xludf.DUMMYFUNCTION("TEXTJOIN("", "", TRUE, FILTER(Validations!$U$2:$U$100, ISNUMBER(SEARCH(Validations!$U$2:$U$100, AI409))))"),"")</f>
        <v/>
      </c>
      <c r="AM409" s="24" t="b">
        <f t="shared" si="1"/>
        <v>0</v>
      </c>
      <c r="AN409" s="24" t="b">
        <v>0</v>
      </c>
      <c r="AO409" s="22" t="s">
        <v>105</v>
      </c>
      <c r="AP409" s="12" t="str">
        <f>IFERROR(__xludf.DUMMYFUNCTION("IF(TEXTJOIN("", "", TRUE, FILTER(Validations!$Q$2:$Q$100, ISNUMBER(SEARCH(Validations!$Q$2:$Q$100, AO409)))) = """", Validations!$Q$2, TEXTJOIN("", "", TRUE, FILTER(Validations!$Q$2:$Q$100, ISNUMBER(SEARCH(Validations!$Q$2:$Q$100, AO409)))))"),"Point")</f>
        <v>Point</v>
      </c>
      <c r="AQ409" s="12">
        <f>IFERROR(__xludf.DUMMYFUNCTION("IFERROR(VALUE(REGEXEXTRACT(AO409, ""\d+"")), """")"),10.0)</f>
        <v>10</v>
      </c>
      <c r="AR409" s="12" t="str">
        <f>IFERROR(__xludf.DUMMYFUNCTION("TEXTJOIN("", "", TRUE, FILTER(Validations!$R$2:$R$100, ISNUMBER(SEARCH(Validations!$R$2:$R$100, AO409))))"),"Feet")</f>
        <v>Feet</v>
      </c>
      <c r="AS409" s="27"/>
      <c r="AT409" s="12" t="str">
        <f>IFERROR(__xludf.DUMMYFUNCTION("IFERROR(TEXTJOIN("", "", TRUE, FILTER(Validations!$I$2:$I$100, ISNUMBER(SEARCH(Validations!$I$2:$I$100, AS409)))), """")"),"")</f>
        <v/>
      </c>
      <c r="AU409" s="16" t="str">
        <f t="array" ref="AU409">IFERROR(INDEX(Validations!$J$2:$J$100, MATCH(TRUE, ISNUMBER(SEARCH(Validations!$I$2:$I$100, AT409)), 0)), "")</f>
        <v/>
      </c>
      <c r="AV409" s="12" t="str">
        <f>IFERROR(__xludf.DUMMYFUNCTION("IFERROR(VALUE(REGEXEXTRACT(AS409, ""\d+"")), """")"),"")</f>
        <v/>
      </c>
      <c r="AW409" s="12" t="str">
        <f>IFERROR(__xludf.DUMMYFUNCTION("IFERROR(TEXTJOIN("", "", TRUE, FILTER(Validations!$Q$2:$Q$100, ISNUMBER(SEARCH(Validations!$Q$2:$Q$100, AS409)))), """")"),"")</f>
        <v/>
      </c>
      <c r="AX409" s="28" t="s">
        <v>152</v>
      </c>
      <c r="AY409" s="28" t="str">
        <f>IFERROR(__xludf.DUMMYFUNCTION("TEXTJOIN("", "", TRUE, FILTER(Validations!$Y$2:$Y$100, ISNUMBER(SEARCH(Validations!$X$2:$X$100, AX409))))"),"V, S, R")</f>
        <v>V, S, R</v>
      </c>
      <c r="AZ409" s="20" t="s">
        <v>1944</v>
      </c>
      <c r="BA409" s="22"/>
      <c r="BB409" s="22"/>
      <c r="BC409" s="22"/>
      <c r="BD409" s="22"/>
      <c r="BE409" s="27"/>
      <c r="BF409" s="22"/>
      <c r="BG409" s="27"/>
      <c r="BH409" s="27"/>
      <c r="BI409" s="12" t="str">
        <f>IFERROR(__xludf.DUMMYFUNCTION("IFERROR(TEXTJOIN("", "", TRUE, FILTER(SRD!$A$2:$A$1000, EXACT(SRD!$A$2:$A$1000, J409))), """")"),"")</f>
        <v/>
      </c>
      <c r="BJ409" s="29"/>
      <c r="BK409" s="29"/>
    </row>
    <row r="410" ht="15.75" customHeight="1">
      <c r="A410" s="30" t="s">
        <v>1945</v>
      </c>
      <c r="B410" s="22"/>
      <c r="C410" s="16"/>
      <c r="D410" s="16" t="s">
        <v>302</v>
      </c>
      <c r="E410" s="16"/>
      <c r="F410" s="32" t="s">
        <v>365</v>
      </c>
      <c r="G410" s="50" t="s">
        <v>1919</v>
      </c>
      <c r="H410" s="31" t="s">
        <v>140</v>
      </c>
      <c r="I410" s="16" t="str">
        <f t="array" ref="I410">INDEX(Validations!$C$2:$C$100, MATCH(TRUE, ISNUMBER(SEARCH(Validations!$B$2:$B$100, H410)), 0))</f>
        <v>N</v>
      </c>
      <c r="J410" s="17" t="s">
        <v>1946</v>
      </c>
      <c r="K410" s="18"/>
      <c r="L410" s="17"/>
      <c r="M410" s="17"/>
      <c r="N410" s="27"/>
      <c r="O410" s="17" t="s">
        <v>1947</v>
      </c>
      <c r="P410" s="21"/>
      <c r="Q410" s="21"/>
      <c r="R410" s="22"/>
      <c r="S410" s="17" t="str">
        <f>IFERROR(__xludf.DUMMYFUNCTION("IFERROR(REGEXEXTRACT(J410, ""(\d{1,3}[dD]\d{1,3})""), """")"),"1d6")</f>
        <v>1d6</v>
      </c>
      <c r="T410" s="17" t="str">
        <f>IFERROR(__xludf.DUMMYFUNCTION("IF(COUNTIF(ARRAYFORMULA(LOWER(Validations!$O$2:$O$100)), LOWER(REGEXEXTRACT(J410, ""\d{1,3}[dD]\d{1,3}\s+(\w+)"")))&gt;0, REGEXEXTRACT(J410, ""\d{1,3}[dD]\d{1,3}\s+(\w+)""), """")"),"")</f>
        <v/>
      </c>
      <c r="U410" s="17" t="str">
        <f>IFERROR(__xludf.DUMMYFUNCTION("IF(COUNTIF(ARRAYFORMULA(LOWER(Validations!$P$2:$P$100)), LOWER(REGEXEXTRACT(J410, ""\d{1,3}[dD]\d{1,3}\s+(\w+)"")))&gt;0, REGEXEXTRACT(J410, ""\d{1,3}[dD]\d{1,3}\s+(\w+)""), """")"),"")</f>
        <v/>
      </c>
      <c r="V410" s="12" t="str">
        <f>IFERROR(__xludf.DUMMYFUNCTION("TEXTJOIN("", "", TRUE, FILTER(Validations!$L$2:$L$100, ISNUMBER(SEARCH(Validations!$L$2:$L$100, J410))))"),"")</f>
        <v/>
      </c>
      <c r="W410" s="12" t="str">
        <f>IFERROR(__xludf.DUMMYFUNCTION("IFERROR(TEXTJOIN("", "", TRUE, FILTER(Validations!$M$2:$M$100, ISNUMBER(SEARCH(Validations!$M$2:$M$100 &amp; "" saving throw"", J410)))), """")"),"Constitution")</f>
        <v>Constitution</v>
      </c>
      <c r="X410" s="12"/>
      <c r="Y410" s="12"/>
      <c r="Z410" s="12" t="str">
        <f>IFERROR(__xludf.DUMMYFUNCTION("IFERROR(TEXTJOIN("", "", TRUE, FILTER(Validations!$N$2:$N$100, ISNUMBER(SEARCH(Validations!$N$2:$N$100 &amp; "" check"", J410)))), """")"),"")</f>
        <v/>
      </c>
      <c r="AA410" s="12" t="str">
        <f>IFERROR(__xludf.DUMMYFUNCTION("IFERROR(TEXTJOIN("", "", TRUE, FILTER(Validations!$N$2:$N$100, ISNUMBER(SEARCH(Validations!$N$2:$N$100 &amp; "" check"", W410)))), """")"),"")</f>
        <v/>
      </c>
      <c r="AB410" s="23" t="str">
        <f>IFERROR(__xludf.DUMMYFUNCTION("IFERROR(CONCATENATE(IF(ISNUMBER(SEARCH(Validations!$M$2:$M$100 &amp; "" spell save"", J410)),""Spell Save"",""""), REGEXEXTRACT(J410, ""DC (\d+)"")), """")"),"")</f>
        <v/>
      </c>
      <c r="AC410" s="24" t="b">
        <v>0</v>
      </c>
      <c r="AD410" s="24" t="b">
        <v>0</v>
      </c>
      <c r="AE410" s="12" t="s">
        <v>69</v>
      </c>
      <c r="AF410" s="25">
        <f>IFERROR(__xludf.DUMMYFUNCTION("IFERROR(VALUE(REGEXEXTRACT(AE410, ""\d+"")), 1)"),1.0)</f>
        <v>1</v>
      </c>
      <c r="AG410" s="12" t="str">
        <f>IFERROR(__xludf.DUMMYFUNCTION("IF(
  ISNUMBER(SEARCH(""Bonus Action"", AE410)),
  ""Bonus Action"",
  IF(
    ISNUMBER(SEARCH(""Reaction"", AE410)),
    ""Reaction"",
    IF(
      ISNUMBER(SEARCH(""Action"", AE410)),
      ""Action"",
      TEXTJOIN("", "", TRUE, FILTER(Validations!$S"&amp;"$2:$S$100, ISNUMBER(SEARCH(Validations!$S$2:$S$100, AE410))))
    )
  )
)"),"Action")</f>
        <v>Action</v>
      </c>
      <c r="AH410" s="12"/>
      <c r="AI410" s="27" t="s">
        <v>255</v>
      </c>
      <c r="AJ410" s="26" t="str">
        <f>IFERROR(__xludf.DUMMYFUNCTION("TEXTJOIN("", "", TRUE, FILTER(Validations!$T$2:$T$100, ISNUMBER(SEARCH(Validations!$T$2:$T$100, AI410))))"),"Permanent")</f>
        <v>Permanent</v>
      </c>
      <c r="AK410" s="26" t="str">
        <f>IFERROR(__xludf.DUMMYFUNCTION("IFERROR(VALUE(REGEXEXTRACT(AI410, ""\d+"")), """")"),"")</f>
        <v/>
      </c>
      <c r="AL410" s="26" t="str">
        <f>IFERROR(__xludf.DUMMYFUNCTION("TEXTJOIN("", "", TRUE, FILTER(Validations!$U$2:$U$100, ISNUMBER(SEARCH(Validations!$U$2:$U$100, AI410))))"),"")</f>
        <v/>
      </c>
      <c r="AM410" s="24" t="b">
        <f t="shared" si="1"/>
        <v>0</v>
      </c>
      <c r="AN410" s="24" t="b">
        <v>0</v>
      </c>
      <c r="AO410" s="22" t="s">
        <v>105</v>
      </c>
      <c r="AP410" s="12" t="str">
        <f>IFERROR(__xludf.DUMMYFUNCTION("IF(TEXTJOIN("", "", TRUE, FILTER(Validations!$Q$2:$Q$100, ISNUMBER(SEARCH(Validations!$Q$2:$Q$100, AO410)))) = """", Validations!$Q$2, TEXTJOIN("", "", TRUE, FILTER(Validations!$Q$2:$Q$100, ISNUMBER(SEARCH(Validations!$Q$2:$Q$100, AO410)))))"),"Point")</f>
        <v>Point</v>
      </c>
      <c r="AQ410" s="12">
        <f>IFERROR(__xludf.DUMMYFUNCTION("IFERROR(VALUE(REGEXEXTRACT(AO410, ""\d+"")), """")"),10.0)</f>
        <v>10</v>
      </c>
      <c r="AR410" s="12" t="str">
        <f>IFERROR(__xludf.DUMMYFUNCTION("TEXTJOIN("", "", TRUE, FILTER(Validations!$R$2:$R$100, ISNUMBER(SEARCH(Validations!$R$2:$R$100, AO410))))"),"Feet")</f>
        <v>Feet</v>
      </c>
      <c r="AS410" s="27"/>
      <c r="AT410" s="12" t="str">
        <f>IFERROR(__xludf.DUMMYFUNCTION("IFERROR(TEXTJOIN("", "", TRUE, FILTER(Validations!$I$2:$I$100, ISNUMBER(SEARCH(Validations!$I$2:$I$100, AS410)))), """")"),"")</f>
        <v/>
      </c>
      <c r="AU410" s="16" t="str">
        <f t="array" ref="AU410">IFERROR(INDEX(Validations!$J$2:$J$100, MATCH(TRUE, ISNUMBER(SEARCH(Validations!$I$2:$I$100, AT410)), 0)), "")</f>
        <v/>
      </c>
      <c r="AV410" s="12" t="str">
        <f>IFERROR(__xludf.DUMMYFUNCTION("IFERROR(VALUE(REGEXEXTRACT(AS410, ""\d+"")), """")"),"")</f>
        <v/>
      </c>
      <c r="AW410" s="12" t="str">
        <f>IFERROR(__xludf.DUMMYFUNCTION("IFERROR(TEXTJOIN("", "", TRUE, FILTER(Validations!$Q$2:$Q$100, ISNUMBER(SEARCH(Validations!$Q$2:$Q$100, AS410)))), """")"),"")</f>
        <v/>
      </c>
      <c r="AX410" s="28" t="s">
        <v>142</v>
      </c>
      <c r="AY410" s="28" t="str">
        <f>IFERROR(__xludf.DUMMYFUNCTION("TEXTJOIN("", "", TRUE, FILTER(Validations!$Y$2:$Y$100, ISNUMBER(SEARCH(Validations!$X$2:$X$100, AX410))))"),"V, S")</f>
        <v>V, S</v>
      </c>
      <c r="AZ410" s="27"/>
      <c r="BA410" s="22"/>
      <c r="BB410" s="22"/>
      <c r="BC410" s="22"/>
      <c r="BD410" s="22"/>
      <c r="BE410" s="27"/>
      <c r="BF410" s="28" t="s">
        <v>1948</v>
      </c>
      <c r="BG410" s="20" t="s">
        <v>1949</v>
      </c>
      <c r="BH410" s="27"/>
      <c r="BI410" s="12" t="str">
        <f>IFERROR(__xludf.DUMMYFUNCTION("IFERROR(TEXTJOIN("", "", TRUE, FILTER(SRD!$A$2:$A$1000, EXACT(SRD!$A$2:$A$1000, J410))), """")"),"")</f>
        <v/>
      </c>
      <c r="BJ410" s="29"/>
      <c r="BK410" s="29"/>
    </row>
    <row r="411" ht="15.75" customHeight="1">
      <c r="A411" s="11" t="s">
        <v>1950</v>
      </c>
      <c r="B411" s="12"/>
      <c r="C411" s="16"/>
      <c r="D411" s="16" t="s">
        <v>302</v>
      </c>
      <c r="E411" s="16"/>
      <c r="F411" s="32" t="s">
        <v>114</v>
      </c>
      <c r="G411" s="50" t="s">
        <v>1919</v>
      </c>
      <c r="H411" s="31" t="s">
        <v>140</v>
      </c>
      <c r="I411" s="16" t="str">
        <f t="array" ref="I411">INDEX(Validations!$C$2:$C$100, MATCH(TRUE, ISNUMBER(SEARCH(Validations!$B$2:$B$100, H411)), 0))</f>
        <v>N</v>
      </c>
      <c r="J411" s="17" t="s">
        <v>1951</v>
      </c>
      <c r="K411" s="18"/>
      <c r="L411" s="17"/>
      <c r="M411" s="17"/>
      <c r="N411" s="27"/>
      <c r="O411" s="17" t="s">
        <v>1952</v>
      </c>
      <c r="P411" s="21"/>
      <c r="Q411" s="21"/>
      <c r="R411" s="22"/>
      <c r="S411" s="17" t="str">
        <f>IFERROR(__xludf.DUMMYFUNCTION("IFERROR(REGEXEXTRACT(J411, ""(\d{1,3}[dD]\d{1,3})""), """")"),"1d10")</f>
        <v>1d10</v>
      </c>
      <c r="T411" s="17" t="str">
        <f>IFERROR(__xludf.DUMMYFUNCTION("IF(COUNTIF(ARRAYFORMULA(LOWER(Validations!$O$2:$O$100)), LOWER(REGEXEXTRACT(J411, ""\d{1,3}[dD]\d{1,3}\s+(\w+)"")))&gt;0, REGEXEXTRACT(J411, ""\d{1,3}[dD]\d{1,3}\s+(\w+)""), """")"),"")</f>
        <v/>
      </c>
      <c r="U411" s="17" t="str">
        <f>IFERROR(__xludf.DUMMYFUNCTION("IF(COUNTIF(ARRAYFORMULA(LOWER(Validations!$P$2:$P$100)), LOWER(REGEXEXTRACT(J411, ""\d{1,3}[dD]\d{1,3}\s+(\w+)"")))&gt;0, REGEXEXTRACT(J411, ""\d{1,3}[dD]\d{1,3}\s+(\w+)""), """")"),"")</f>
        <v/>
      </c>
      <c r="V411" s="12" t="str">
        <f>IFERROR(__xludf.DUMMYFUNCTION("TEXTJOIN("", "", TRUE, FILTER(Validations!$L$2:$L$100, ISNUMBER(SEARCH(Validations!$L$2:$L$100, J411))))"),"Erased")</f>
        <v>Erased</v>
      </c>
      <c r="W411" s="12" t="str">
        <f>IFERROR(__xludf.DUMMYFUNCTION("IFERROR(TEXTJOIN("", "", TRUE, FILTER(Validations!$M$2:$M$100, ISNUMBER(SEARCH(Validations!$M$2:$M$100 &amp; "" saving throw"", J411)))), """")"),"")</f>
        <v/>
      </c>
      <c r="X411" s="12"/>
      <c r="Y411" s="12"/>
      <c r="Z411" s="12" t="str">
        <f>IFERROR(__xludf.DUMMYFUNCTION("IFERROR(TEXTJOIN("", "", TRUE, FILTER(Validations!$N$2:$N$100, ISNUMBER(SEARCH(Validations!$N$2:$N$100 &amp; "" check"", J411)))), """")"),"")</f>
        <v/>
      </c>
      <c r="AA411" s="12" t="str">
        <f>IFERROR(__xludf.DUMMYFUNCTION("IFERROR(TEXTJOIN("", "", TRUE, FILTER(Validations!$N$2:$N$100, ISNUMBER(SEARCH(Validations!$N$2:$N$100 &amp; "" check"", W411)))), """")"),"")</f>
        <v/>
      </c>
      <c r="AB411" s="23" t="str">
        <f>IFERROR(__xludf.DUMMYFUNCTION("IFERROR(CONCATENATE(IF(ISNUMBER(SEARCH(Validations!$M$2:$M$100 &amp; "" spell save"", J411)),""Spell Save"",""""), REGEXEXTRACT(J411, ""DC (\d+)"")), """")"),"")</f>
        <v/>
      </c>
      <c r="AC411" s="24" t="b">
        <v>0</v>
      </c>
      <c r="AD411" s="24" t="b">
        <v>0</v>
      </c>
      <c r="AE411" s="12" t="s">
        <v>69</v>
      </c>
      <c r="AF411" s="25">
        <f>IFERROR(__xludf.DUMMYFUNCTION("IFERROR(VALUE(REGEXEXTRACT(AE411, ""\d+"")), 1)"),1.0)</f>
        <v>1</v>
      </c>
      <c r="AG411" s="12" t="str">
        <f>IFERROR(__xludf.DUMMYFUNCTION("IF(
  ISNUMBER(SEARCH(""Bonus Action"", AE411)),
  ""Bonus Action"",
  IF(
    ISNUMBER(SEARCH(""Reaction"", AE411)),
    ""Reaction"",
    IF(
      ISNUMBER(SEARCH(""Action"", AE411)),
      ""Action"",
      TEXTJOIN("", "", TRUE, FILTER(Validations!$S"&amp;"$2:$S$100, ISNUMBER(SEARCH(Validations!$S$2:$S$100, AE411))))
    )
  )
)"),"Action")</f>
        <v>Action</v>
      </c>
      <c r="AH411" s="12"/>
      <c r="AI411" s="27" t="s">
        <v>255</v>
      </c>
      <c r="AJ411" s="26" t="str">
        <f>IFERROR(__xludf.DUMMYFUNCTION("TEXTJOIN("", "", TRUE, FILTER(Validations!$T$2:$T$100, ISNUMBER(SEARCH(Validations!$T$2:$T$100, AI411))))"),"Permanent")</f>
        <v>Permanent</v>
      </c>
      <c r="AK411" s="26" t="str">
        <f>IFERROR(__xludf.DUMMYFUNCTION("IFERROR(VALUE(REGEXEXTRACT(AI411, ""\d+"")), """")"),"")</f>
        <v/>
      </c>
      <c r="AL411" s="26" t="str">
        <f>IFERROR(__xludf.DUMMYFUNCTION("TEXTJOIN("", "", TRUE, FILTER(Validations!$U$2:$U$100, ISNUMBER(SEARCH(Validations!$U$2:$U$100, AI411))))"),"")</f>
        <v/>
      </c>
      <c r="AM411" s="24" t="b">
        <f t="shared" si="1"/>
        <v>0</v>
      </c>
      <c r="AN411" s="24" t="b">
        <v>0</v>
      </c>
      <c r="AO411" s="22" t="s">
        <v>71</v>
      </c>
      <c r="AP411" s="12" t="str">
        <f>IFERROR(__xludf.DUMMYFUNCTION("IF(TEXTJOIN("", "", TRUE, FILTER(Validations!$Q$2:$Q$100, ISNUMBER(SEARCH(Validations!$Q$2:$Q$100, AO411)))) = """", Validations!$Q$2, TEXTJOIN("", "", TRUE, FILTER(Validations!$Q$2:$Q$100, ISNUMBER(SEARCH(Validations!$Q$2:$Q$100, AO411)))))"),"Point")</f>
        <v>Point</v>
      </c>
      <c r="AQ411" s="12" t="str">
        <f>IFERROR(__xludf.DUMMYFUNCTION("IFERROR(VALUE(REGEXEXTRACT(AO411, ""\d+"")), """")"),"")</f>
        <v/>
      </c>
      <c r="AR411" s="12" t="str">
        <f>IFERROR(__xludf.DUMMYFUNCTION("TEXTJOIN("", "", TRUE, FILTER(Validations!$R$2:$R$100, ISNUMBER(SEARCH(Validations!$R$2:$R$100, AO411))))"),"Touch")</f>
        <v>Touch</v>
      </c>
      <c r="AS411" s="27"/>
      <c r="AT411" s="12" t="str">
        <f>IFERROR(__xludf.DUMMYFUNCTION("IFERROR(TEXTJOIN("", "", TRUE, FILTER(Validations!$I$2:$I$100, ISNUMBER(SEARCH(Validations!$I$2:$I$100, AS411)))), """")"),"")</f>
        <v/>
      </c>
      <c r="AU411" s="16" t="str">
        <f t="array" ref="AU411">IFERROR(INDEX(Validations!$J$2:$J$100, MATCH(TRUE, ISNUMBER(SEARCH(Validations!$I$2:$I$100, AT411)), 0)), "")</f>
        <v/>
      </c>
      <c r="AV411" s="12" t="str">
        <f>IFERROR(__xludf.DUMMYFUNCTION("IFERROR(VALUE(REGEXEXTRACT(AS411, ""\d+"")), """")"),"")</f>
        <v/>
      </c>
      <c r="AW411" s="12" t="str">
        <f>IFERROR(__xludf.DUMMYFUNCTION("IFERROR(TEXTJOIN("", "", TRUE, FILTER(Validations!$Q$2:$Q$100, ISNUMBER(SEARCH(Validations!$Q$2:$Q$100, AS411)))), """")"),"")</f>
        <v/>
      </c>
      <c r="AX411" s="28" t="s">
        <v>106</v>
      </c>
      <c r="AY411" s="28" t="str">
        <f>IFERROR(__xludf.DUMMYFUNCTION("TEXTJOIN("", "", TRUE, FILTER(Validations!$Y$2:$Y$100, ISNUMBER(SEARCH(Validations!$X$2:$X$100, AX411))))"),"S")</f>
        <v>S</v>
      </c>
      <c r="AZ411" s="27"/>
      <c r="BA411" s="22"/>
      <c r="BB411" s="22"/>
      <c r="BC411" s="22"/>
      <c r="BD411" s="22"/>
      <c r="BE411" s="27"/>
      <c r="BF411" s="22"/>
      <c r="BG411" s="27"/>
      <c r="BH411" s="27"/>
      <c r="BI411" s="12" t="str">
        <f>IFERROR(__xludf.DUMMYFUNCTION("IFERROR(TEXTJOIN("", "", TRUE, FILTER(SRD!$A$2:$A$1000, EXACT(SRD!$A$2:$A$1000, J411))), """")"),"")</f>
        <v/>
      </c>
      <c r="BJ411" s="29"/>
      <c r="BK411" s="29"/>
    </row>
    <row r="412" ht="15.75" customHeight="1">
      <c r="A412" s="30" t="s">
        <v>1953</v>
      </c>
      <c r="B412" s="22"/>
      <c r="C412" s="31"/>
      <c r="D412" s="31" t="s">
        <v>74</v>
      </c>
      <c r="E412" s="31"/>
      <c r="F412" s="32" t="s">
        <v>1954</v>
      </c>
      <c r="G412" s="50" t="s">
        <v>1919</v>
      </c>
      <c r="H412" s="31" t="s">
        <v>76</v>
      </c>
      <c r="I412" s="16" t="str">
        <f t="array" ref="I412">INDEX(Validations!$C$2:$C$100, MATCH(TRUE, ISNUMBER(SEARCH(Validations!$B$2:$B$100, H412)), 0))</f>
        <v>V</v>
      </c>
      <c r="J412" s="17" t="s">
        <v>1955</v>
      </c>
      <c r="K412" s="18"/>
      <c r="L412" s="17"/>
      <c r="M412" s="17"/>
      <c r="N412" s="20" t="s">
        <v>1956</v>
      </c>
      <c r="O412" s="17"/>
      <c r="P412" s="21"/>
      <c r="Q412" s="21"/>
      <c r="R412" s="22"/>
      <c r="S412" s="17" t="str">
        <f>IFERROR(__xludf.DUMMYFUNCTION("IFERROR(REGEXEXTRACT(J412, ""(\d{1,3}[dD]\d{1,3})""), """")"),"")</f>
        <v/>
      </c>
      <c r="T412" s="17" t="str">
        <f>IFERROR(__xludf.DUMMYFUNCTION("IF(COUNTIF(ARRAYFORMULA(LOWER(Validations!$O$2:$O$100)), LOWER(REGEXEXTRACT(J412, ""\d{1,3}[dD]\d{1,3}\s+(\w+)"")))&gt;0, REGEXEXTRACT(J412, ""\d{1,3}[dD]\d{1,3}\s+(\w+)""), """")"),"")</f>
        <v/>
      </c>
      <c r="U412" s="17" t="str">
        <f>IFERROR(__xludf.DUMMYFUNCTION("IF(COUNTIF(ARRAYFORMULA(LOWER(Validations!$P$2:$P$100)), LOWER(REGEXEXTRACT(J412, ""\d{1,3}[dD]\d{1,3}\s+(\w+)"")))&gt;0, REGEXEXTRACT(J412, ""\d{1,3}[dD]\d{1,3}\s+(\w+)""), """")"),"")</f>
        <v/>
      </c>
      <c r="V412" s="12" t="str">
        <f>IFERROR(__xludf.DUMMYFUNCTION("TEXTJOIN("", "", TRUE, FILTER(Validations!$L$2:$L$100, ISNUMBER(SEARCH(Validations!$L$2:$L$100, J412))))"),"")</f>
        <v/>
      </c>
      <c r="W412" s="12" t="str">
        <f>IFERROR(__xludf.DUMMYFUNCTION("IFERROR(TEXTJOIN("", "", TRUE, FILTER(Validations!$M$2:$M$100, ISNUMBER(SEARCH(Validations!$M$2:$M$100 &amp; "" saving throw"", J412)))), """")"),"")</f>
        <v/>
      </c>
      <c r="X412" s="12"/>
      <c r="Y412" s="12"/>
      <c r="Z412" s="12" t="str">
        <f>IFERROR(__xludf.DUMMYFUNCTION("IFERROR(TEXTJOIN("", "", TRUE, FILTER(Validations!$N$2:$N$100, ISNUMBER(SEARCH(Validations!$N$2:$N$100 &amp; "" check"", J412)))), """")"),"")</f>
        <v/>
      </c>
      <c r="AA412" s="12" t="str">
        <f>IFERROR(__xludf.DUMMYFUNCTION("IFERROR(TEXTJOIN("", "", TRUE, FILTER(Validations!$N$2:$N$100, ISNUMBER(SEARCH(Validations!$N$2:$N$100 &amp; "" check"", W412)))), """")"),"")</f>
        <v/>
      </c>
      <c r="AB412" s="23" t="str">
        <f>IFERROR(__xludf.DUMMYFUNCTION("IFERROR(CONCATENATE(IF(ISNUMBER(SEARCH(Validations!$M$2:$M$100 &amp; "" spell save"", J412)),""Spell Save"",""""), REGEXEXTRACT(J412, ""DC (\d+)"")), """")"),"")</f>
        <v/>
      </c>
      <c r="AC412" s="24" t="b">
        <v>0</v>
      </c>
      <c r="AD412" s="24" t="b">
        <v>0</v>
      </c>
      <c r="AE412" s="36" t="s">
        <v>69</v>
      </c>
      <c r="AF412" s="25">
        <f>IFERROR(__xludf.DUMMYFUNCTION("IFERROR(VALUE(REGEXEXTRACT(AE412, ""\d+"")), 1)"),1.0)</f>
        <v>1</v>
      </c>
      <c r="AG412" s="12" t="str">
        <f>IFERROR(__xludf.DUMMYFUNCTION("IF(
  ISNUMBER(SEARCH(""Bonus Action"", AE412)),
  ""Bonus Action"",
  IF(
    ISNUMBER(SEARCH(""Reaction"", AE412)),
    ""Reaction"",
    IF(
      ISNUMBER(SEARCH(""Action"", AE412)),
      ""Action"",
      TEXTJOIN("", "", TRUE, FILTER(Validations!$S"&amp;"$2:$S$100, ISNUMBER(SEARCH(Validations!$S$2:$S$100, AE412))))
    )
  )
)"),"Action")</f>
        <v>Action</v>
      </c>
      <c r="AH412" s="36"/>
      <c r="AI412" s="20" t="s">
        <v>347</v>
      </c>
      <c r="AJ412" s="26" t="str">
        <f>IFERROR(__xludf.DUMMYFUNCTION("TEXTJOIN("", "", TRUE, FILTER(Validations!$T$2:$T$100, ISNUMBER(SEARCH(Validations!$T$2:$T$100, AI412))))"),"")</f>
        <v/>
      </c>
      <c r="AK412" s="26">
        <f>IFERROR(__xludf.DUMMYFUNCTION("IFERROR(VALUE(REGEXEXTRACT(AI412, ""\d+"")), """")"),24.0)</f>
        <v>24</v>
      </c>
      <c r="AL412" s="26" t="str">
        <f>IFERROR(__xludf.DUMMYFUNCTION("TEXTJOIN("", "", TRUE, FILTER(Validations!$U$2:$U$100, ISNUMBER(SEARCH(Validations!$U$2:$U$100, AI412))))"),"Hours")</f>
        <v>Hours</v>
      </c>
      <c r="AM412" s="24" t="b">
        <f t="shared" si="1"/>
        <v>0</v>
      </c>
      <c r="AN412" s="24" t="b">
        <v>0</v>
      </c>
      <c r="AO412" s="22" t="s">
        <v>1957</v>
      </c>
      <c r="AP412" s="12" t="str">
        <f>IFERROR(__xludf.DUMMYFUNCTION("IF(TEXTJOIN("", "", TRUE, FILTER(Validations!$Q$2:$Q$100, ISNUMBER(SEARCH(Validations!$Q$2:$Q$100, AO412)))) = """", Validations!$Q$2, TEXTJOIN("", "", TRUE, FILTER(Validations!$Q$2:$Q$100, ISNUMBER(SEARCH(Validations!$Q$2:$Q$100, AO412)))))"),"Radius")</f>
        <v>Radius</v>
      </c>
      <c r="AQ412" s="12">
        <f>IFERROR(__xludf.DUMMYFUNCTION("IFERROR(VALUE(REGEXEXTRACT(AO412, ""\d+"")), """")"),300.0)</f>
        <v>300</v>
      </c>
      <c r="AR412" s="12" t="str">
        <f>IFERROR(__xludf.DUMMYFUNCTION("TEXTJOIN("", "", TRUE, FILTER(Validations!$R$2:$R$100, ISNUMBER(SEARCH(Validations!$R$2:$R$100, AO412))))"),"Feet")</f>
        <v>Feet</v>
      </c>
      <c r="AS412" s="27"/>
      <c r="AT412" s="12" t="str">
        <f>IFERROR(__xludf.DUMMYFUNCTION("IFERROR(TEXTJOIN("", "", TRUE, FILTER(Validations!$I$2:$I$100, ISNUMBER(SEARCH(Validations!$I$2:$I$100, AS412)))), """")"),"")</f>
        <v/>
      </c>
      <c r="AU412" s="16" t="str">
        <f t="array" ref="AU412">IFERROR(INDEX(Validations!$J$2:$J$100, MATCH(TRUE, ISNUMBER(SEARCH(Validations!$I$2:$I$100, AT412)), 0)), "")</f>
        <v/>
      </c>
      <c r="AV412" s="12" t="str">
        <f>IFERROR(__xludf.DUMMYFUNCTION("IFERROR(VALUE(REGEXEXTRACT(AS412, ""\d+"")), """")"),"")</f>
        <v/>
      </c>
      <c r="AW412" s="12" t="str">
        <f>IFERROR(__xludf.DUMMYFUNCTION("IFERROR(TEXTJOIN("", "", TRUE, FILTER(Validations!$Q$2:$Q$100, ISNUMBER(SEARCH(Validations!$Q$2:$Q$100, AS412)))), """")"),"")</f>
        <v/>
      </c>
      <c r="AX412" s="28" t="s">
        <v>152</v>
      </c>
      <c r="AY412" s="28" t="str">
        <f>IFERROR(__xludf.DUMMYFUNCTION("TEXTJOIN("", "", TRUE, FILTER(Validations!$Y$2:$Y$100, ISNUMBER(SEARCH(Validations!$X$2:$X$100, AX412))))"),"V, S, R")</f>
        <v>V, S, R</v>
      </c>
      <c r="AZ412" s="20" t="s">
        <v>1958</v>
      </c>
      <c r="BA412" s="22"/>
      <c r="BB412" s="22"/>
      <c r="BC412" s="22"/>
      <c r="BD412" s="22"/>
      <c r="BE412" s="27"/>
      <c r="BF412" s="22"/>
      <c r="BG412" s="27"/>
      <c r="BH412" s="27"/>
      <c r="BI412" s="12" t="str">
        <f>IFERROR(__xludf.DUMMYFUNCTION("IFERROR(TEXTJOIN("", "", TRUE, FILTER(SRD!$A$2:$A$1000, EXACT(SRD!$A$2:$A$1000, J412))), """")"),"")</f>
        <v/>
      </c>
      <c r="BJ412" s="29"/>
      <c r="BK412" s="29"/>
    </row>
    <row r="413" ht="15.75" customHeight="1">
      <c r="A413" s="11" t="s">
        <v>1959</v>
      </c>
      <c r="B413" s="12"/>
      <c r="C413" s="16"/>
      <c r="D413" s="16" t="s">
        <v>302</v>
      </c>
      <c r="E413" s="16"/>
      <c r="F413" s="32" t="s">
        <v>1960</v>
      </c>
      <c r="G413" s="50" t="s">
        <v>1919</v>
      </c>
      <c r="H413" s="16" t="s">
        <v>140</v>
      </c>
      <c r="I413" s="16" t="str">
        <f t="array" ref="I413">INDEX(Validations!$C$2:$C$100, MATCH(TRUE, ISNUMBER(SEARCH(Validations!$B$2:$B$100, H413)), 0))</f>
        <v>N</v>
      </c>
      <c r="J413" s="17" t="s">
        <v>1961</v>
      </c>
      <c r="K413" s="18"/>
      <c r="L413" s="17"/>
      <c r="M413" s="17"/>
      <c r="N413" s="27"/>
      <c r="O413" s="17" t="s">
        <v>1962</v>
      </c>
      <c r="P413" s="21"/>
      <c r="Q413" s="21"/>
      <c r="R413" s="22"/>
      <c r="S413" s="17" t="str">
        <f>IFERROR(__xludf.DUMMYFUNCTION("IFERROR(REGEXEXTRACT(J413, ""(\d{1,3}[dD]\d{1,3})""), """")"),"")</f>
        <v/>
      </c>
      <c r="T413" s="17" t="str">
        <f>IFERROR(__xludf.DUMMYFUNCTION("IF(COUNTIF(ARRAYFORMULA(LOWER(Validations!$O$2:$O$100)), LOWER(REGEXEXTRACT(J413, ""\d{1,3}[dD]\d{1,3}\s+(\w+)"")))&gt;0, REGEXEXTRACT(J413, ""\d{1,3}[dD]\d{1,3}\s+(\w+)""), """")"),"")</f>
        <v/>
      </c>
      <c r="U413" s="17" t="str">
        <f>IFERROR(__xludf.DUMMYFUNCTION("IF(COUNTIF(ARRAYFORMULA(LOWER(Validations!$P$2:$P$100)), LOWER(REGEXEXTRACT(J413, ""\d{1,3}[dD]\d{1,3}\s+(\w+)"")))&gt;0, REGEXEXTRACT(J413, ""\d{1,3}[dD]\d{1,3}\s+(\w+)""), """")"),"")</f>
        <v/>
      </c>
      <c r="V413" s="12" t="str">
        <f>IFERROR(__xludf.DUMMYFUNCTION("TEXTJOIN("", "", TRUE, FILTER(Validations!$L$2:$L$100, ISNUMBER(SEARCH(Validations!$L$2:$L$100, J413))))"),"")</f>
        <v/>
      </c>
      <c r="W413" s="12" t="str">
        <f>IFERROR(__xludf.DUMMYFUNCTION("IFERROR(TEXTJOIN("", "", TRUE, FILTER(Validations!$M$2:$M$100, ISNUMBER(SEARCH(Validations!$M$2:$M$100 &amp; "" saving throw"", J413)))), """")"),"")</f>
        <v/>
      </c>
      <c r="X413" s="12"/>
      <c r="Y413" s="12"/>
      <c r="Z413" s="12" t="str">
        <f>IFERROR(__xludf.DUMMYFUNCTION("IFERROR(TEXTJOIN("", "", TRUE, FILTER(Validations!$N$2:$N$100, ISNUMBER(SEARCH(Validations!$N$2:$N$100 &amp; "" check"", J413)))), """")"),"")</f>
        <v/>
      </c>
      <c r="AA413" s="12" t="str">
        <f>IFERROR(__xludf.DUMMYFUNCTION("IFERROR(TEXTJOIN("", "", TRUE, FILTER(Validations!$N$2:$N$100, ISNUMBER(SEARCH(Validations!$N$2:$N$100 &amp; "" check"", W413)))), """")"),"")</f>
        <v/>
      </c>
      <c r="AB413" s="23" t="str">
        <f>IFERROR(__xludf.DUMMYFUNCTION("IFERROR(CONCATENATE(IF(ISNUMBER(SEARCH(Validations!$M$2:$M$100 &amp; "" spell save"", J413)),""Spell Save"",""""), REGEXEXTRACT(J413, ""DC (\d+)"")), """")"),"")</f>
        <v/>
      </c>
      <c r="AC413" s="24" t="b">
        <v>0</v>
      </c>
      <c r="AD413" s="24" t="b">
        <v>0</v>
      </c>
      <c r="AE413" s="12" t="s">
        <v>69</v>
      </c>
      <c r="AF413" s="25">
        <f>IFERROR(__xludf.DUMMYFUNCTION("IFERROR(VALUE(REGEXEXTRACT(AE413, ""\d+"")), 1)"),1.0)</f>
        <v>1</v>
      </c>
      <c r="AG413" s="12" t="str">
        <f>IFERROR(__xludf.DUMMYFUNCTION("IF(
  ISNUMBER(SEARCH(""Bonus Action"", AE413)),
  ""Bonus Action"",
  IF(
    ISNUMBER(SEARCH(""Reaction"", AE413)),
    ""Reaction"",
    IF(
      ISNUMBER(SEARCH(""Action"", AE413)),
      ""Action"",
      TEXTJOIN("", "", TRUE, FILTER(Validations!$S"&amp;"$2:$S$100, ISNUMBER(SEARCH(Validations!$S$2:$S$100, AE413))))
    )
  )
)"),"Action")</f>
        <v>Action</v>
      </c>
      <c r="AH413" s="12"/>
      <c r="AI413" s="27" t="s">
        <v>1134</v>
      </c>
      <c r="AJ413" s="26" t="str">
        <f>IFERROR(__xludf.DUMMYFUNCTION("TEXTJOIN("", "", TRUE, FILTER(Validations!$T$2:$T$100, ISNUMBER(SEARCH(Validations!$T$2:$T$100, AI413))))"),"Permanent")</f>
        <v>Permanent</v>
      </c>
      <c r="AK413" s="26" t="str">
        <f>IFERROR(__xludf.DUMMYFUNCTION("IFERROR(VALUE(REGEXEXTRACT(AI413, ""\d+"")), """")"),"")</f>
        <v/>
      </c>
      <c r="AL413" s="26" t="str">
        <f>IFERROR(__xludf.DUMMYFUNCTION("TEXTJOIN("", "", TRUE, FILTER(Validations!$U$2:$U$100, ISNUMBER(SEARCH(Validations!$U$2:$U$100, AI413))))"),"")</f>
        <v/>
      </c>
      <c r="AM413" s="24" t="b">
        <f t="shared" si="1"/>
        <v>0</v>
      </c>
      <c r="AN413" s="24" t="b">
        <v>0</v>
      </c>
      <c r="AO413" s="22" t="s">
        <v>71</v>
      </c>
      <c r="AP413" s="12" t="str">
        <f>IFERROR(__xludf.DUMMYFUNCTION("IF(TEXTJOIN("", "", TRUE, FILTER(Validations!$Q$2:$Q$100, ISNUMBER(SEARCH(Validations!$Q$2:$Q$100, AO413)))) = """", Validations!$Q$2, TEXTJOIN("", "", TRUE, FILTER(Validations!$Q$2:$Q$100, ISNUMBER(SEARCH(Validations!$Q$2:$Q$100, AO413)))))"),"Point")</f>
        <v>Point</v>
      </c>
      <c r="AQ413" s="12" t="str">
        <f>IFERROR(__xludf.DUMMYFUNCTION("IFERROR(VALUE(REGEXEXTRACT(AO413, ""\d+"")), """")"),"")</f>
        <v/>
      </c>
      <c r="AR413" s="12" t="str">
        <f>IFERROR(__xludf.DUMMYFUNCTION("TEXTJOIN("", "", TRUE, FILTER(Validations!$R$2:$R$100, ISNUMBER(SEARCH(Validations!$R$2:$R$100, AO413))))"),"Touch")</f>
        <v>Touch</v>
      </c>
      <c r="AS413" s="27"/>
      <c r="AT413" s="12" t="str">
        <f>IFERROR(__xludf.DUMMYFUNCTION("IFERROR(TEXTJOIN("", "", TRUE, FILTER(Validations!$I$2:$I$100, ISNUMBER(SEARCH(Validations!$I$2:$I$100, AS413)))), """")"),"")</f>
        <v/>
      </c>
      <c r="AU413" s="16" t="str">
        <f t="array" ref="AU413">IFERROR(INDEX(Validations!$J$2:$J$100, MATCH(TRUE, ISNUMBER(SEARCH(Validations!$I$2:$I$100, AT413)), 0)), "")</f>
        <v/>
      </c>
      <c r="AV413" s="12" t="str">
        <f>IFERROR(__xludf.DUMMYFUNCTION("IFERROR(VALUE(REGEXEXTRACT(AS413, ""\d+"")), """")"),"")</f>
        <v/>
      </c>
      <c r="AW413" s="12" t="str">
        <f>IFERROR(__xludf.DUMMYFUNCTION("IFERROR(TEXTJOIN("", "", TRUE, FILTER(Validations!$Q$2:$Q$100, ISNUMBER(SEARCH(Validations!$Q$2:$Q$100, AS413)))), """")"),"")</f>
        <v/>
      </c>
      <c r="AX413" s="28" t="s">
        <v>80</v>
      </c>
      <c r="AY413" s="28" t="str">
        <f>IFERROR(__xludf.DUMMYFUNCTION("TEXTJOIN("", "", TRUE, FILTER(Validations!$Y$2:$Y$100, ISNUMBER(SEARCH(Validations!$X$2:$X$100, AX413))))"),"S, R")</f>
        <v>S, R</v>
      </c>
      <c r="AZ413" s="20" t="s">
        <v>1963</v>
      </c>
      <c r="BA413" s="22"/>
      <c r="BB413" s="22"/>
      <c r="BC413" s="22"/>
      <c r="BD413" s="22"/>
      <c r="BE413" s="27"/>
      <c r="BF413" s="22"/>
      <c r="BG413" s="27"/>
      <c r="BH413" s="27"/>
      <c r="BI413" s="12" t="str">
        <f>IFERROR(__xludf.DUMMYFUNCTION("IFERROR(TEXTJOIN("", "", TRUE, FILTER(SRD!$A$2:$A$1000, EXACT(SRD!$A$2:$A$1000, J413))), """")"),"")</f>
        <v/>
      </c>
      <c r="BJ413" s="29"/>
      <c r="BK413" s="29"/>
    </row>
    <row r="414" ht="15.75" customHeight="1">
      <c r="A414" s="55" t="s">
        <v>1964</v>
      </c>
      <c r="B414" s="12"/>
      <c r="C414" s="61"/>
      <c r="D414" s="61" t="s">
        <v>18</v>
      </c>
      <c r="E414" s="61"/>
      <c r="F414" s="32" t="s">
        <v>1418</v>
      </c>
      <c r="G414" s="57" t="s">
        <v>1919</v>
      </c>
      <c r="H414" s="58" t="s">
        <v>76</v>
      </c>
      <c r="I414" s="16" t="str">
        <f t="array" ref="I414">INDEX(Validations!$C$2:$C$100, MATCH(TRUE, ISNUMBER(SEARCH(Validations!$B$2:$B$100, H414)), 0))</f>
        <v>V</v>
      </c>
      <c r="J414" s="36" t="s">
        <v>1965</v>
      </c>
      <c r="K414" s="34"/>
      <c r="L414" s="12"/>
      <c r="M414" s="59"/>
      <c r="N414" s="27"/>
      <c r="O414" s="59"/>
      <c r="P414" s="60"/>
      <c r="Q414" s="60"/>
      <c r="R414" s="22"/>
      <c r="S414" s="17" t="str">
        <f>IFERROR(__xludf.DUMMYFUNCTION("IFERROR(REGEXEXTRACT(J414, ""(\d{1,3}[dD]\d{1,3})""), """")"),"8d10")</f>
        <v>8d10</v>
      </c>
      <c r="T414" s="17" t="str">
        <f>IFERROR(__xludf.DUMMYFUNCTION("IF(COUNTIF(ARRAYFORMULA(LOWER(Validations!$O$2:$O$100)), LOWER(REGEXEXTRACT(J414, ""\d{1,3}[dD]\d{1,3}\s+(\w+)"")))&gt;0, REGEXEXTRACT(J414, ""\d{1,3}[dD]\d{1,3}\s+(\w+)""), """")"),"radiation")</f>
        <v>radiation</v>
      </c>
      <c r="U414" s="17"/>
      <c r="V414" s="12" t="str">
        <f>IFERROR(__xludf.DUMMYFUNCTION("TEXTJOIN("", "", TRUE, FILTER(Validations!$L$2:$L$100, ISNUMBER(SEARCH(Validations!$L$2:$L$100, J414))))"),"Unstable")</f>
        <v>Unstable</v>
      </c>
      <c r="W414" s="12" t="str">
        <f>IFERROR(__xludf.DUMMYFUNCTION("IFERROR(TEXTJOIN("", "", TRUE, FILTER(Validations!$M$2:$M$100, ISNUMBER(SEARCH(Validations!$M$2:$M$100 &amp; "" saving throw"", J414)))), """")"),"")</f>
        <v/>
      </c>
      <c r="X414" s="12"/>
      <c r="Y414" s="12"/>
      <c r="Z414" s="12" t="str">
        <f>IFERROR(__xludf.DUMMYFUNCTION("IFERROR(TEXTJOIN("", "", TRUE, FILTER(Validations!$N$2:$N$100, ISNUMBER(SEARCH(Validations!$N$2:$N$100 &amp; "" check"", J414)))), """")"),"")</f>
        <v/>
      </c>
      <c r="AA414" s="12" t="str">
        <f>IFERROR(__xludf.DUMMYFUNCTION("IFERROR(TEXTJOIN("", "", TRUE, FILTER(Validations!$N$2:$N$100, ISNUMBER(SEARCH(Validations!$N$2:$N$100 &amp; "" check"", W414)))), """")"),"")</f>
        <v/>
      </c>
      <c r="AB414" s="23" t="str">
        <f>IFERROR(__xludf.DUMMYFUNCTION("IFERROR(CONCATENATE(IF(ISNUMBER(SEARCH(Validations!$M$2:$M$100 &amp; "" spell save"", J414)),""Spell Save"",""""), REGEXEXTRACT(J414, ""DC (\d+)"")), """")"),"")</f>
        <v/>
      </c>
      <c r="AC414" s="42" t="b">
        <v>0</v>
      </c>
      <c r="AD414" s="42" t="b">
        <v>0</v>
      </c>
      <c r="AE414" s="36" t="s">
        <v>69</v>
      </c>
      <c r="AF414" s="25">
        <f>IFERROR(__xludf.DUMMYFUNCTION("IFERROR(VALUE(REGEXEXTRACT(AE414, ""\d+"")), 1)"),1.0)</f>
        <v>1</v>
      </c>
      <c r="AG414" s="12" t="str">
        <f>IFERROR(__xludf.DUMMYFUNCTION("IF(
  ISNUMBER(SEARCH(""Bonus Action"", AE414)),
  ""Bonus Action"",
  IF(
    ISNUMBER(SEARCH(""Reaction"", AE414)),
    ""Reaction"",
    IF(
      ISNUMBER(SEARCH(""Action"", AE414)),
      ""Action"",
      TEXTJOIN("", "", TRUE, FILTER(Validations!$S"&amp;"$2:$S$100, ISNUMBER(SEARCH(Validations!$S$2:$S$100, AE414))))
    )
  )
)"),"Action")</f>
        <v>Action</v>
      </c>
      <c r="AH414" s="36"/>
      <c r="AI414" s="20" t="s">
        <v>92</v>
      </c>
      <c r="AJ414" s="26" t="str">
        <f>IFERROR(__xludf.DUMMYFUNCTION("TEXTJOIN("", "", TRUE, FILTER(Validations!$T$2:$T$100, ISNUMBER(SEARCH(Validations!$T$2:$T$100, AI414))))"),"")</f>
        <v/>
      </c>
      <c r="AK414" s="26">
        <f>IFERROR(__xludf.DUMMYFUNCTION("IFERROR(VALUE(REGEXEXTRACT(AI414, ""\d+"")), """")"),1.0)</f>
        <v>1</v>
      </c>
      <c r="AL414" s="26" t="str">
        <f>IFERROR(__xludf.DUMMYFUNCTION("TEXTJOIN("", "", TRUE, FILTER(Validations!$U$2:$U$100, ISNUMBER(SEARCH(Validations!$U$2:$U$100, AI414))))"),"Minutes")</f>
        <v>Minutes</v>
      </c>
      <c r="AM414" s="24" t="b">
        <f t="shared" si="1"/>
        <v>0</v>
      </c>
      <c r="AN414" s="42" t="b">
        <v>0</v>
      </c>
      <c r="AO414" s="36" t="s">
        <v>502</v>
      </c>
      <c r="AP414" s="12" t="str">
        <f>IFERROR(__xludf.DUMMYFUNCTION("IF(TEXTJOIN("", "", TRUE, FILTER(Validations!$Q$2:$Q$100, ISNUMBER(SEARCH(Validations!$Q$2:$Q$100, AO414)))) = """", Validations!$Q$2, TEXTJOIN("", "", TRUE, FILTER(Validations!$Q$2:$Q$100, ISNUMBER(SEARCH(Validations!$Q$2:$Q$100, AO414)))))"),"Point")</f>
        <v>Point</v>
      </c>
      <c r="AQ414" s="12">
        <f>IFERROR(__xludf.DUMMYFUNCTION("IFERROR(VALUE(REGEXEXTRACT(AO414, ""\d+"")), """")"),120.0)</f>
        <v>120</v>
      </c>
      <c r="AR414" s="12" t="str">
        <f>IFERROR(__xludf.DUMMYFUNCTION("TEXTJOIN("", "", TRUE, FILTER(Validations!$R$2:$R$100, ISNUMBER(SEARCH(Validations!$R$2:$R$100, AO414))))"),"Feet")</f>
        <v>Feet</v>
      </c>
      <c r="AS414" s="20" t="s">
        <v>1966</v>
      </c>
      <c r="AT414" s="12" t="str">
        <f>IFERROR(__xludf.DUMMYFUNCTION("IFERROR(TEXTJOIN("", "", TRUE, FILTER(Validations!$I$2:$I$100, ISNUMBER(SEARCH(Validations!$I$2:$I$100, AS414)))), """")"),"")</f>
        <v/>
      </c>
      <c r="AU414" s="16" t="str">
        <f t="array" ref="AU414">IFERROR(INDEX(Validations!$J$2:$J$100, MATCH(TRUE, ISNUMBER(SEARCH(Validations!$I$2:$I$100, AT414)), 0)), "")</f>
        <v/>
      </c>
      <c r="AV414" s="12">
        <f>IFERROR(__xludf.DUMMYFUNCTION("IFERROR(VALUE(REGEXEXTRACT(AS414, ""\d+"")), """")"),40.0)</f>
        <v>40</v>
      </c>
      <c r="AW414" s="12" t="str">
        <f>IFERROR(__xludf.DUMMYFUNCTION("IFERROR(TEXTJOIN("", "", TRUE, FILTER(Validations!$Q$2:$Q$100, ISNUMBER(SEARCH(Validations!$Q$2:$Q$100, AS414)))), """")"),"Radius")</f>
        <v>Radius</v>
      </c>
      <c r="AX414" s="28" t="s">
        <v>152</v>
      </c>
      <c r="AY414" s="28" t="str">
        <f>IFERROR(__xludf.DUMMYFUNCTION("TEXTJOIN("", "", TRUE, FILTER(Validations!$Y$2:$Y$100, ISNUMBER(SEARCH(Validations!$X$2:$X$100, AX414))))"),"V, S, R")</f>
        <v>V, S, R</v>
      </c>
      <c r="AZ414" s="70" t="s">
        <v>1967</v>
      </c>
      <c r="BA414" s="59"/>
      <c r="BB414" s="22"/>
      <c r="BC414" s="22"/>
      <c r="BD414" s="22"/>
      <c r="BE414" s="27"/>
      <c r="BF414" s="22"/>
      <c r="BG414" s="27"/>
      <c r="BH414" s="27"/>
      <c r="BI414" s="12" t="str">
        <f>IFERROR(__xludf.DUMMYFUNCTION("IFERROR(TEXTJOIN("", "", TRUE, FILTER(SRD!$A$2:$A$1000, EXACT(SRD!$A$2:$A$1000, J414))), """")"),"")</f>
        <v/>
      </c>
      <c r="BJ414" s="29"/>
      <c r="BK414" s="29"/>
    </row>
    <row r="415" ht="15.75" customHeight="1">
      <c r="A415" s="55" t="s">
        <v>1968</v>
      </c>
      <c r="B415" s="12"/>
      <c r="C415" s="61"/>
      <c r="D415" s="61" t="s">
        <v>1969</v>
      </c>
      <c r="E415" s="61"/>
      <c r="F415" s="32" t="s">
        <v>1012</v>
      </c>
      <c r="G415" s="57" t="s">
        <v>1919</v>
      </c>
      <c r="H415" s="58" t="s">
        <v>140</v>
      </c>
      <c r="I415" s="16" t="str">
        <f t="array" ref="I415">INDEX(Validations!$C$2:$C$100, MATCH(TRUE, ISNUMBER(SEARCH(Validations!$B$2:$B$100, H415)), 0))</f>
        <v>N</v>
      </c>
      <c r="J415" s="36" t="s">
        <v>1970</v>
      </c>
      <c r="K415" s="34"/>
      <c r="L415" s="12"/>
      <c r="M415" s="64" t="s">
        <v>1971</v>
      </c>
      <c r="N415" s="27"/>
      <c r="O415" s="59"/>
      <c r="P415" s="60"/>
      <c r="Q415" s="60"/>
      <c r="R415" s="22"/>
      <c r="S415" s="17" t="str">
        <f>IFERROR(__xludf.DUMMYFUNCTION("IFERROR(REGEXEXTRACT(J415, ""(\d{1,3}[dD]\d{1,3})""), """")"),"8d10")</f>
        <v>8d10</v>
      </c>
      <c r="T415" s="17" t="str">
        <f>IFERROR(__xludf.DUMMYFUNCTION("IF(COUNTIF(ARRAYFORMULA(LOWER(Validations!$O$2:$O$100)), LOWER(REGEXEXTRACT(J415, ""\d{1,3}[dD]\d{1,3}\s+(\w+)"")))&gt;0, REGEXEXTRACT(J415, ""\d{1,3}[dD]\d{1,3}\s+(\w+)""), """")"),"biologic")</f>
        <v>biologic</v>
      </c>
      <c r="U415" s="17"/>
      <c r="V415" s="12" t="str">
        <f>IFERROR(__xludf.DUMMYFUNCTION("TEXTJOIN("", "", TRUE, FILTER(Validations!$L$2:$L$100, ISNUMBER(SEARCH(Validations!$L$2:$L$100, J415))))"),"Mutated")</f>
        <v>Mutated</v>
      </c>
      <c r="W415" s="12" t="str">
        <f>IFERROR(__xludf.DUMMYFUNCTION("IFERROR(TEXTJOIN("", "", TRUE, FILTER(Validations!$M$2:$M$100, ISNUMBER(SEARCH(Validations!$M$2:$M$100 &amp; "" saving throw"", J415)))), """")"),"Constitution")</f>
        <v>Constitution</v>
      </c>
      <c r="X415" s="12"/>
      <c r="Y415" s="12"/>
      <c r="Z415" s="12" t="str">
        <f>IFERROR(__xludf.DUMMYFUNCTION("IFERROR(TEXTJOIN("", "", TRUE, FILTER(Validations!$N$2:$N$100, ISNUMBER(SEARCH(Validations!$N$2:$N$100 &amp; "" check"", J415)))), """")"),"")</f>
        <v/>
      </c>
      <c r="AA415" s="12" t="str">
        <f>IFERROR(__xludf.DUMMYFUNCTION("IFERROR(TEXTJOIN("", "", TRUE, FILTER(Validations!$N$2:$N$100, ISNUMBER(SEARCH(Validations!$N$2:$N$100 &amp; "" check"", W415)))), """")"),"")</f>
        <v/>
      </c>
      <c r="AB415" s="23" t="str">
        <f>IFERROR(__xludf.DUMMYFUNCTION("IFERROR(CONCATENATE(IF(ISNUMBER(SEARCH(Validations!$M$2:$M$100 &amp; "" spell save"", J415)),""Spell Save"",""""), REGEXEXTRACT(J415, ""DC (\d+)"")), """")"),"")</f>
        <v/>
      </c>
      <c r="AC415" s="42" t="b">
        <v>0</v>
      </c>
      <c r="AD415" s="42" t="b">
        <v>0</v>
      </c>
      <c r="AE415" s="36" t="s">
        <v>69</v>
      </c>
      <c r="AF415" s="25">
        <f>IFERROR(__xludf.DUMMYFUNCTION("IFERROR(VALUE(REGEXEXTRACT(AE415, ""\d+"")), 1)"),1.0)</f>
        <v>1</v>
      </c>
      <c r="AG415" s="12" t="str">
        <f>IFERROR(__xludf.DUMMYFUNCTION("IF(
  ISNUMBER(SEARCH(""Bonus Action"", AE415)),
  ""Bonus Action"",
  IF(
    ISNUMBER(SEARCH(""Reaction"", AE415)),
    ""Reaction"",
    IF(
      ISNUMBER(SEARCH(""Action"", AE415)),
      ""Action"",
      TEXTJOIN("", "", TRUE, FILTER(Validations!$S"&amp;"$2:$S$100, ISNUMBER(SEARCH(Validations!$S$2:$S$100, AE415))))
    )
  )
)"),"Action")</f>
        <v>Action</v>
      </c>
      <c r="AH415" s="36"/>
      <c r="AI415" s="20" t="s">
        <v>936</v>
      </c>
      <c r="AJ415" s="26" t="str">
        <f>IFERROR(__xludf.DUMMYFUNCTION("TEXTJOIN("", "", TRUE, FILTER(Validations!$T$2:$T$100, ISNUMBER(SEARCH(Validations!$T$2:$T$100, AI415))))"),"")</f>
        <v/>
      </c>
      <c r="AK415" s="26">
        <f>IFERROR(__xludf.DUMMYFUNCTION("IFERROR(VALUE(REGEXEXTRACT(AI415, ""\d+"")), """")"),1.0)</f>
        <v>1</v>
      </c>
      <c r="AL415" s="26" t="str">
        <f>IFERROR(__xludf.DUMMYFUNCTION("TEXTJOIN("", "", TRUE, FILTER(Validations!$U$2:$U$100, ISNUMBER(SEARCH(Validations!$U$2:$U$100, AI415))))"),"Minutes")</f>
        <v>Minutes</v>
      </c>
      <c r="AM415" s="24" t="b">
        <f t="shared" si="1"/>
        <v>1</v>
      </c>
      <c r="AN415" s="42" t="b">
        <v>1</v>
      </c>
      <c r="AO415" s="36" t="s">
        <v>1447</v>
      </c>
      <c r="AP415" s="12" t="str">
        <f>IFERROR(__xludf.DUMMYFUNCTION("IF(TEXTJOIN("", "", TRUE, FILTER(Validations!$Q$2:$Q$100, ISNUMBER(SEARCH(Validations!$Q$2:$Q$100, AO415)))) = """", Validations!$Q$2, TEXTJOIN("", "", TRUE, FILTER(Validations!$Q$2:$Q$100, ISNUMBER(SEARCH(Validations!$Q$2:$Q$100, AO415)))))"),"Point")</f>
        <v>Point</v>
      </c>
      <c r="AQ415" s="12">
        <f>IFERROR(__xludf.DUMMYFUNCTION("IFERROR(VALUE(REGEXEXTRACT(AO415, ""\d+"")), """")"),90.0)</f>
        <v>90</v>
      </c>
      <c r="AR415" s="12" t="str">
        <f>IFERROR(__xludf.DUMMYFUNCTION("TEXTJOIN("", "", TRUE, FILTER(Validations!$R$2:$R$100, ISNUMBER(SEARCH(Validations!$R$2:$R$100, AO415))))"),"Feet")</f>
        <v>Feet</v>
      </c>
      <c r="AS415" s="27"/>
      <c r="AT415" s="12" t="str">
        <f>IFERROR(__xludf.DUMMYFUNCTION("IFERROR(TEXTJOIN("", "", TRUE, FILTER(Validations!$I$2:$I$100, ISNUMBER(SEARCH(Validations!$I$2:$I$100, AS415)))), """")"),"")</f>
        <v/>
      </c>
      <c r="AU415" s="16" t="str">
        <f t="array" ref="AU415">IFERROR(INDEX(Validations!$J$2:$J$100, MATCH(TRUE, ISNUMBER(SEARCH(Validations!$I$2:$I$100, AT415)), 0)), "")</f>
        <v/>
      </c>
      <c r="AV415" s="12" t="str">
        <f>IFERROR(__xludf.DUMMYFUNCTION("IFERROR(VALUE(REGEXEXTRACT(AS415, ""\d+"")), """")"),"")</f>
        <v/>
      </c>
      <c r="AW415" s="12" t="str">
        <f>IFERROR(__xludf.DUMMYFUNCTION("IFERROR(TEXTJOIN("", "", TRUE, FILTER(Validations!$Q$2:$Q$100, ISNUMBER(SEARCH(Validations!$Q$2:$Q$100, AS415)))), """")"),"")</f>
        <v/>
      </c>
      <c r="AX415" s="28" t="s">
        <v>262</v>
      </c>
      <c r="AY415" s="28" t="str">
        <f>IFERROR(__xludf.DUMMYFUNCTION("TEXTJOIN("", "", TRUE, FILTER(Validations!$Y$2:$Y$100, ISNUMBER(SEARCH(Validations!$X$2:$X$100, AX415))))"),"V, S, R")</f>
        <v>V, S, R</v>
      </c>
      <c r="AZ415" s="20" t="s">
        <v>1972</v>
      </c>
      <c r="BA415" s="59"/>
      <c r="BB415" s="22"/>
      <c r="BC415" s="22"/>
      <c r="BD415" s="22"/>
      <c r="BE415" s="27"/>
      <c r="BF415" s="22"/>
      <c r="BG415" s="27"/>
      <c r="BH415" s="27"/>
      <c r="BI415" s="12" t="str">
        <f>IFERROR(__xludf.DUMMYFUNCTION("IFERROR(TEXTJOIN("", "", TRUE, FILTER(SRD!$A$2:$A$1000, EXACT(SRD!$A$2:$A$1000, J415))), """")"),"")</f>
        <v/>
      </c>
      <c r="BJ415" s="29"/>
      <c r="BK415" s="29"/>
    </row>
    <row r="416" ht="15.75" customHeight="1">
      <c r="A416" s="55" t="s">
        <v>1973</v>
      </c>
      <c r="B416" s="12"/>
      <c r="C416" s="61"/>
      <c r="D416" s="61" t="s">
        <v>1974</v>
      </c>
      <c r="E416" s="61"/>
      <c r="F416" s="32" t="s">
        <v>649</v>
      </c>
      <c r="G416" s="57" t="s">
        <v>1919</v>
      </c>
      <c r="H416" s="58" t="s">
        <v>140</v>
      </c>
      <c r="I416" s="16" t="str">
        <f t="array" ref="I416">INDEX(Validations!$C$2:$C$100, MATCH(TRUE, ISNUMBER(SEARCH(Validations!$B$2:$B$100, H416)), 0))</f>
        <v>N</v>
      </c>
      <c r="J416" s="36" t="s">
        <v>1975</v>
      </c>
      <c r="K416" s="34"/>
      <c r="L416" s="12"/>
      <c r="M416" s="59"/>
      <c r="N416" s="27"/>
      <c r="O416" s="59"/>
      <c r="P416" s="60"/>
      <c r="Q416" s="60"/>
      <c r="R416" s="22"/>
      <c r="S416" s="17" t="str">
        <f>IFERROR(__xludf.DUMMYFUNCTION("IFERROR(REGEXEXTRACT(J416, ""(\d{1,3}[dD]\d{1,3})""), """")"),"10d10")</f>
        <v>10d10</v>
      </c>
      <c r="T416" s="17" t="str">
        <f>IFERROR(__xludf.DUMMYFUNCTION("IF(COUNTIF(ARRAYFORMULA(LOWER(Validations!$O$2:$O$100)), LOWER(REGEXEXTRACT(J416, ""\d{1,3}[dD]\d{1,3}\s+(\w+)"")))&gt;0, REGEXEXTRACT(J416, ""\d{1,3}[dD]\d{1,3}\s+(\w+)""), """")"),"biologic")</f>
        <v>biologic</v>
      </c>
      <c r="U416" s="17"/>
      <c r="V416" s="12" t="str">
        <f>IFERROR(__xludf.DUMMYFUNCTION("TEXTJOIN("", "", TRUE, FILTER(Validations!$L$2:$L$100, ISNUMBER(SEARCH(Validations!$L$2:$L$100, J416))))"),"")</f>
        <v/>
      </c>
      <c r="W416" s="12" t="str">
        <f>IFERROR(__xludf.DUMMYFUNCTION("IFERROR(TEXTJOIN("", "", TRUE, FILTER(Validations!$M$2:$M$100, ISNUMBER(SEARCH(Validations!$M$2:$M$100 &amp; "" saving throw"", J416)))), """")"),"Constitution")</f>
        <v>Constitution</v>
      </c>
      <c r="X416" s="12"/>
      <c r="Y416" s="12"/>
      <c r="Z416" s="12" t="str">
        <f>IFERROR(__xludf.DUMMYFUNCTION("IFERROR(TEXTJOIN("", "", TRUE, FILTER(Validations!$N$2:$N$100, ISNUMBER(SEARCH(Validations!$N$2:$N$100 &amp; "" check"", J416)))), """")"),"")</f>
        <v/>
      </c>
      <c r="AA416" s="12" t="str">
        <f>IFERROR(__xludf.DUMMYFUNCTION("IFERROR(TEXTJOIN("", "", TRUE, FILTER(Validations!$N$2:$N$100, ISNUMBER(SEARCH(Validations!$N$2:$N$100 &amp; "" check"", W416)))), """")"),"")</f>
        <v/>
      </c>
      <c r="AB416" s="23" t="str">
        <f>IFERROR(__xludf.DUMMYFUNCTION("IFERROR(CONCATENATE(IF(ISNUMBER(SEARCH(Validations!$M$2:$M$100 &amp; "" spell save"", J416)),""Spell Save"",""""), REGEXEXTRACT(J416, ""DC (\d+)"")), """")"),"")</f>
        <v/>
      </c>
      <c r="AC416" s="42" t="b">
        <v>0</v>
      </c>
      <c r="AD416" s="42" t="b">
        <v>0</v>
      </c>
      <c r="AE416" s="36" t="s">
        <v>69</v>
      </c>
      <c r="AF416" s="25">
        <f>IFERROR(__xludf.DUMMYFUNCTION("IFERROR(VALUE(REGEXEXTRACT(AE416, ""\d+"")), 1)"),1.0)</f>
        <v>1</v>
      </c>
      <c r="AG416" s="12" t="str">
        <f>IFERROR(__xludf.DUMMYFUNCTION("IF(
  ISNUMBER(SEARCH(""Bonus Action"", AE416)),
  ""Bonus Action"",
  IF(
    ISNUMBER(SEARCH(""Reaction"", AE416)),
    ""Reaction"",
    IF(
      ISNUMBER(SEARCH(""Action"", AE416)),
      ""Action"",
      TEXTJOIN("", "", TRUE, FILTER(Validations!$S"&amp;"$2:$S$100, ISNUMBER(SEARCH(Validations!$S$2:$S$100, AE416))))
    )
  )
)"),"Action")</f>
        <v>Action</v>
      </c>
      <c r="AH416" s="36"/>
      <c r="AI416" s="20" t="s">
        <v>70</v>
      </c>
      <c r="AJ416" s="26" t="str">
        <f>IFERROR(__xludf.DUMMYFUNCTION("TEXTJOIN("", "", TRUE, FILTER(Validations!$T$2:$T$100, ISNUMBER(SEARCH(Validations!$T$2:$T$100, AI416))))"),"Instantaneous")</f>
        <v>Instantaneous</v>
      </c>
      <c r="AK416" s="26" t="str">
        <f>IFERROR(__xludf.DUMMYFUNCTION("IFERROR(VALUE(REGEXEXTRACT(AI416, ""\d+"")), """")"),"")</f>
        <v/>
      </c>
      <c r="AL416" s="26" t="str">
        <f>IFERROR(__xludf.DUMMYFUNCTION("TEXTJOIN("", "", TRUE, FILTER(Validations!$U$2:$U$100, ISNUMBER(SEARCH(Validations!$U$2:$U$100, AI416))))"),"")</f>
        <v/>
      </c>
      <c r="AM416" s="24" t="b">
        <f t="shared" si="1"/>
        <v>0</v>
      </c>
      <c r="AN416" s="42" t="b">
        <v>0</v>
      </c>
      <c r="AO416" s="36" t="s">
        <v>440</v>
      </c>
      <c r="AP416" s="12" t="str">
        <f>IFERROR(__xludf.DUMMYFUNCTION("IF(TEXTJOIN("", "", TRUE, FILTER(Validations!$Q$2:$Q$100, ISNUMBER(SEARCH(Validations!$Q$2:$Q$100, AO416)))) = """", Validations!$Q$2, TEXTJOIN("", "", TRUE, FILTER(Validations!$Q$2:$Q$100, ISNUMBER(SEARCH(Validations!$Q$2:$Q$100, AO416)))))"),"Point")</f>
        <v>Point</v>
      </c>
      <c r="AQ416" s="12">
        <f>IFERROR(__xludf.DUMMYFUNCTION("IFERROR(VALUE(REGEXEXTRACT(AO416, ""\d+"")), """")"),60.0)</f>
        <v>60</v>
      </c>
      <c r="AR416" s="12" t="str">
        <f>IFERROR(__xludf.DUMMYFUNCTION("TEXTJOIN("", "", TRUE, FILTER(Validations!$R$2:$R$100, ISNUMBER(SEARCH(Validations!$R$2:$R$100, AO416))))"),"Feet")</f>
        <v>Feet</v>
      </c>
      <c r="AS416" s="27"/>
      <c r="AT416" s="12" t="str">
        <f>IFERROR(__xludf.DUMMYFUNCTION("IFERROR(TEXTJOIN("", "", TRUE, FILTER(Validations!$I$2:$I$100, ISNUMBER(SEARCH(Validations!$I$2:$I$100, AS416)))), """")"),"")</f>
        <v/>
      </c>
      <c r="AU416" s="16" t="str">
        <f t="array" ref="AU416">IFERROR(INDEX(Validations!$J$2:$J$100, MATCH(TRUE, ISNUMBER(SEARCH(Validations!$I$2:$I$100, AT416)), 0)), "")</f>
        <v/>
      </c>
      <c r="AV416" s="12" t="str">
        <f>IFERROR(__xludf.DUMMYFUNCTION("IFERROR(VALUE(REGEXEXTRACT(AS416, ""\d+"")), """")"),"")</f>
        <v/>
      </c>
      <c r="AW416" s="12" t="str">
        <f>IFERROR(__xludf.DUMMYFUNCTION("IFERROR(TEXTJOIN("", "", TRUE, FILTER(Validations!$Q$2:$Q$100, ISNUMBER(SEARCH(Validations!$Q$2:$Q$100, AS416)))), """")"),"")</f>
        <v/>
      </c>
      <c r="AX416" s="28" t="s">
        <v>262</v>
      </c>
      <c r="AY416" s="28" t="str">
        <f>IFERROR(__xludf.DUMMYFUNCTION("TEXTJOIN("", "", TRUE, FILTER(Validations!$Y$2:$Y$100, ISNUMBER(SEARCH(Validations!$X$2:$X$100, AX416))))"),"V, S, R")</f>
        <v>V, S, R</v>
      </c>
      <c r="AZ416" s="20" t="s">
        <v>1976</v>
      </c>
      <c r="BA416" s="59"/>
      <c r="BB416" s="22"/>
      <c r="BC416" s="22"/>
      <c r="BD416" s="22"/>
      <c r="BE416" s="27"/>
      <c r="BF416" s="22"/>
      <c r="BG416" s="27"/>
      <c r="BH416" s="27"/>
      <c r="BI416" s="12" t="str">
        <f>IFERROR(__xludf.DUMMYFUNCTION("IFERROR(TEXTJOIN("", "", TRUE, FILTER(SRD!$A$2:$A$1000, EXACT(SRD!$A$2:$A$1000, J416))), """")"),"")</f>
        <v/>
      </c>
      <c r="BJ416" s="29"/>
      <c r="BK416" s="29"/>
    </row>
    <row r="417" ht="15.75" hidden="1" customHeight="1">
      <c r="A417" s="72"/>
      <c r="B417" s="73"/>
      <c r="C417" s="56"/>
      <c r="D417" s="56"/>
      <c r="E417" s="56"/>
      <c r="F417" s="40"/>
      <c r="G417" s="74"/>
      <c r="H417" s="56"/>
      <c r="I417" s="56"/>
      <c r="J417" s="22"/>
      <c r="K417" s="34"/>
      <c r="L417" s="22"/>
      <c r="M417" s="22"/>
      <c r="N417" s="27"/>
      <c r="O417" s="62"/>
      <c r="P417" s="63"/>
      <c r="Q417" s="63"/>
      <c r="R417" s="22"/>
      <c r="S417" s="62"/>
      <c r="T417" s="17"/>
      <c r="U417" s="17"/>
      <c r="V417" s="12"/>
      <c r="W417" s="12"/>
      <c r="X417" s="12"/>
      <c r="Y417" s="12"/>
      <c r="Z417" s="12"/>
      <c r="AA417" s="12"/>
      <c r="AB417" s="44"/>
      <c r="AC417" s="65" t="b">
        <v>0</v>
      </c>
      <c r="AD417" s="65" t="b">
        <v>0</v>
      </c>
      <c r="AE417" s="12"/>
      <c r="AF417" s="12"/>
      <c r="AG417" s="12"/>
      <c r="AH417" s="12"/>
      <c r="AI417" s="26"/>
      <c r="AJ417" s="26"/>
      <c r="AK417" s="26"/>
      <c r="AL417" s="26"/>
      <c r="AM417" s="65"/>
      <c r="AN417" s="65" t="b">
        <v>0</v>
      </c>
      <c r="AO417" s="22"/>
      <c r="AP417" s="22"/>
      <c r="AQ417" s="22"/>
      <c r="AR417" s="22"/>
      <c r="AS417" s="27"/>
      <c r="AT417" s="27"/>
      <c r="AU417" s="27"/>
      <c r="AV417" s="27"/>
      <c r="AW417" s="27"/>
      <c r="AX417" s="22"/>
      <c r="AY417" s="22"/>
      <c r="AZ417" s="26"/>
      <c r="BA417" s="62"/>
      <c r="BB417" s="22"/>
      <c r="BC417" s="22"/>
      <c r="BD417" s="22"/>
      <c r="BE417" s="27"/>
      <c r="BF417" s="22"/>
      <c r="BG417" s="27"/>
      <c r="BH417" s="27"/>
      <c r="BI417" s="44"/>
      <c r="BJ417" s="29"/>
      <c r="BK417" s="29"/>
    </row>
    <row r="418" ht="15.75" hidden="1" customHeight="1">
      <c r="A418" s="72"/>
      <c r="B418" s="73"/>
      <c r="C418" s="56"/>
      <c r="D418" s="56"/>
      <c r="E418" s="56"/>
      <c r="F418" s="40"/>
      <c r="G418" s="74"/>
      <c r="H418" s="56"/>
      <c r="I418" s="56"/>
      <c r="J418" s="22"/>
      <c r="K418" s="34"/>
      <c r="L418" s="22"/>
      <c r="M418" s="22"/>
      <c r="N418" s="27"/>
      <c r="O418" s="62"/>
      <c r="P418" s="63"/>
      <c r="Q418" s="63"/>
      <c r="R418" s="22"/>
      <c r="S418" s="62"/>
      <c r="T418" s="17"/>
      <c r="U418" s="17"/>
      <c r="V418" s="12"/>
      <c r="W418" s="12"/>
      <c r="X418" s="12"/>
      <c r="Y418" s="12"/>
      <c r="Z418" s="12"/>
      <c r="AA418" s="12"/>
      <c r="AB418" s="44"/>
      <c r="AC418" s="65" t="b">
        <v>0</v>
      </c>
      <c r="AD418" s="65" t="b">
        <v>0</v>
      </c>
      <c r="AE418" s="12"/>
      <c r="AF418" s="12"/>
      <c r="AG418" s="12"/>
      <c r="AH418" s="12"/>
      <c r="AI418" s="26"/>
      <c r="AJ418" s="26"/>
      <c r="AK418" s="26"/>
      <c r="AL418" s="26"/>
      <c r="AM418" s="65"/>
      <c r="AN418" s="65" t="b">
        <v>0</v>
      </c>
      <c r="AO418" s="22"/>
      <c r="AP418" s="22"/>
      <c r="AQ418" s="22"/>
      <c r="AR418" s="22"/>
      <c r="AS418" s="27"/>
      <c r="AT418" s="27"/>
      <c r="AU418" s="27"/>
      <c r="AV418" s="27"/>
      <c r="AW418" s="27"/>
      <c r="AX418" s="22"/>
      <c r="AY418" s="22"/>
      <c r="AZ418" s="26"/>
      <c r="BA418" s="62"/>
      <c r="BB418" s="22"/>
      <c r="BC418" s="22"/>
      <c r="BD418" s="22"/>
      <c r="BE418" s="27"/>
      <c r="BF418" s="22"/>
      <c r="BG418" s="27"/>
      <c r="BH418" s="27"/>
      <c r="BI418" s="44"/>
      <c r="BJ418" s="29"/>
      <c r="BK418" s="29"/>
    </row>
    <row r="419" ht="15.75" hidden="1" customHeight="1">
      <c r="A419" s="72"/>
      <c r="B419" s="73"/>
      <c r="C419" s="56"/>
      <c r="D419" s="56"/>
      <c r="E419" s="56"/>
      <c r="F419" s="40"/>
      <c r="G419" s="74"/>
      <c r="H419" s="56"/>
      <c r="I419" s="56"/>
      <c r="J419" s="22"/>
      <c r="K419" s="34"/>
      <c r="L419" s="22"/>
      <c r="M419" s="22"/>
      <c r="N419" s="27"/>
      <c r="O419" s="62"/>
      <c r="P419" s="63"/>
      <c r="Q419" s="63"/>
      <c r="R419" s="22"/>
      <c r="S419" s="62"/>
      <c r="T419" s="17"/>
      <c r="U419" s="17"/>
      <c r="V419" s="12"/>
      <c r="W419" s="12"/>
      <c r="X419" s="12"/>
      <c r="Y419" s="12"/>
      <c r="Z419" s="12"/>
      <c r="AA419" s="12"/>
      <c r="AB419" s="44"/>
      <c r="AC419" s="65" t="b">
        <v>0</v>
      </c>
      <c r="AD419" s="65" t="b">
        <v>0</v>
      </c>
      <c r="AE419" s="12"/>
      <c r="AF419" s="12"/>
      <c r="AG419" s="12"/>
      <c r="AH419" s="12"/>
      <c r="AI419" s="26"/>
      <c r="AJ419" s="26"/>
      <c r="AK419" s="26"/>
      <c r="AL419" s="26"/>
      <c r="AM419" s="65"/>
      <c r="AN419" s="65" t="b">
        <v>0</v>
      </c>
      <c r="AO419" s="22"/>
      <c r="AP419" s="22"/>
      <c r="AQ419" s="22"/>
      <c r="AR419" s="22"/>
      <c r="AS419" s="27"/>
      <c r="AT419" s="27"/>
      <c r="AU419" s="27"/>
      <c r="AV419" s="27"/>
      <c r="AW419" s="27"/>
      <c r="AX419" s="22"/>
      <c r="AY419" s="22"/>
      <c r="AZ419" s="26"/>
      <c r="BA419" s="62"/>
      <c r="BB419" s="22"/>
      <c r="BC419" s="22"/>
      <c r="BD419" s="22"/>
      <c r="BE419" s="27"/>
      <c r="BF419" s="22"/>
      <c r="BG419" s="27"/>
      <c r="BH419" s="27"/>
      <c r="BI419" s="44"/>
      <c r="BJ419" s="29"/>
      <c r="BK419" s="29"/>
    </row>
    <row r="420" ht="15.75" hidden="1" customHeight="1">
      <c r="A420" s="72"/>
      <c r="B420" s="73"/>
      <c r="C420" s="56"/>
      <c r="D420" s="56"/>
      <c r="E420" s="56"/>
      <c r="F420" s="40"/>
      <c r="G420" s="74"/>
      <c r="H420" s="56"/>
      <c r="I420" s="56"/>
      <c r="J420" s="22"/>
      <c r="K420" s="34"/>
      <c r="L420" s="22"/>
      <c r="M420" s="22"/>
      <c r="N420" s="27"/>
      <c r="O420" s="62"/>
      <c r="P420" s="63"/>
      <c r="Q420" s="63"/>
      <c r="R420" s="22"/>
      <c r="S420" s="62"/>
      <c r="T420" s="17"/>
      <c r="U420" s="17"/>
      <c r="V420" s="12"/>
      <c r="W420" s="12"/>
      <c r="X420" s="12"/>
      <c r="Y420" s="12"/>
      <c r="Z420" s="12"/>
      <c r="AA420" s="12"/>
      <c r="AB420" s="44"/>
      <c r="AC420" s="65" t="b">
        <v>0</v>
      </c>
      <c r="AD420" s="65" t="b">
        <v>0</v>
      </c>
      <c r="AE420" s="12"/>
      <c r="AF420" s="12"/>
      <c r="AG420" s="12"/>
      <c r="AH420" s="12"/>
      <c r="AI420" s="26"/>
      <c r="AJ420" s="26"/>
      <c r="AK420" s="26"/>
      <c r="AL420" s="26"/>
      <c r="AM420" s="65"/>
      <c r="AN420" s="65" t="b">
        <v>0</v>
      </c>
      <c r="AO420" s="22"/>
      <c r="AP420" s="22"/>
      <c r="AQ420" s="22"/>
      <c r="AR420" s="22"/>
      <c r="AS420" s="27"/>
      <c r="AT420" s="27"/>
      <c r="AU420" s="27"/>
      <c r="AV420" s="27"/>
      <c r="AW420" s="27"/>
      <c r="AX420" s="22"/>
      <c r="AY420" s="22"/>
      <c r="AZ420" s="26"/>
      <c r="BA420" s="62"/>
      <c r="BB420" s="22"/>
      <c r="BC420" s="22"/>
      <c r="BD420" s="22"/>
      <c r="BE420" s="27"/>
      <c r="BF420" s="22"/>
      <c r="BG420" s="27"/>
      <c r="BH420" s="27"/>
      <c r="BI420" s="44"/>
      <c r="BJ420" s="29"/>
      <c r="BK420" s="29"/>
    </row>
    <row r="421" ht="15.75" hidden="1" customHeight="1">
      <c r="A421" s="72"/>
      <c r="B421" s="73"/>
      <c r="C421" s="56"/>
      <c r="D421" s="56"/>
      <c r="E421" s="56"/>
      <c r="F421" s="40"/>
      <c r="G421" s="74"/>
      <c r="H421" s="56"/>
      <c r="I421" s="56"/>
      <c r="J421" s="22"/>
      <c r="K421" s="34"/>
      <c r="L421" s="22"/>
      <c r="M421" s="22"/>
      <c r="N421" s="27"/>
      <c r="O421" s="62"/>
      <c r="P421" s="63"/>
      <c r="Q421" s="63"/>
      <c r="R421" s="22"/>
      <c r="S421" s="62"/>
      <c r="T421" s="17"/>
      <c r="U421" s="17"/>
      <c r="V421" s="12"/>
      <c r="W421" s="12"/>
      <c r="X421" s="12"/>
      <c r="Y421" s="12"/>
      <c r="Z421" s="12"/>
      <c r="AA421" s="12"/>
      <c r="AB421" s="44"/>
      <c r="AC421" s="65" t="b">
        <v>0</v>
      </c>
      <c r="AD421" s="65" t="b">
        <v>0</v>
      </c>
      <c r="AE421" s="12"/>
      <c r="AF421" s="12"/>
      <c r="AG421" s="12"/>
      <c r="AH421" s="12"/>
      <c r="AI421" s="26"/>
      <c r="AJ421" s="26"/>
      <c r="AK421" s="26"/>
      <c r="AL421" s="26"/>
      <c r="AM421" s="65"/>
      <c r="AN421" s="65" t="b">
        <v>0</v>
      </c>
      <c r="AO421" s="22"/>
      <c r="AP421" s="22"/>
      <c r="AQ421" s="22"/>
      <c r="AR421" s="22"/>
      <c r="AS421" s="27"/>
      <c r="AT421" s="27"/>
      <c r="AU421" s="27"/>
      <c r="AV421" s="27"/>
      <c r="AW421" s="27"/>
      <c r="AX421" s="22"/>
      <c r="AY421" s="22"/>
      <c r="AZ421" s="26"/>
      <c r="BA421" s="62"/>
      <c r="BB421" s="22"/>
      <c r="BC421" s="22"/>
      <c r="BD421" s="22"/>
      <c r="BE421" s="27"/>
      <c r="BF421" s="22"/>
      <c r="BG421" s="27"/>
      <c r="BH421" s="27"/>
      <c r="BI421" s="44"/>
      <c r="BJ421" s="29"/>
      <c r="BK421" s="29"/>
    </row>
    <row r="422" ht="15.75" hidden="1" customHeight="1">
      <c r="A422" s="72"/>
      <c r="B422" s="73"/>
      <c r="C422" s="56"/>
      <c r="D422" s="56"/>
      <c r="E422" s="56"/>
      <c r="F422" s="40"/>
      <c r="G422" s="74"/>
      <c r="H422" s="56"/>
      <c r="I422" s="56"/>
      <c r="J422" s="22"/>
      <c r="K422" s="34"/>
      <c r="L422" s="22"/>
      <c r="M422" s="22"/>
      <c r="N422" s="27"/>
      <c r="O422" s="62"/>
      <c r="P422" s="63"/>
      <c r="Q422" s="63"/>
      <c r="R422" s="22"/>
      <c r="S422" s="62"/>
      <c r="T422" s="17"/>
      <c r="U422" s="17"/>
      <c r="V422" s="12"/>
      <c r="W422" s="12"/>
      <c r="X422" s="12"/>
      <c r="Y422" s="12"/>
      <c r="Z422" s="12"/>
      <c r="AA422" s="12"/>
      <c r="AB422" s="44"/>
      <c r="AC422" s="65" t="b">
        <v>0</v>
      </c>
      <c r="AD422" s="65" t="b">
        <v>0</v>
      </c>
      <c r="AE422" s="12"/>
      <c r="AF422" s="12"/>
      <c r="AG422" s="12"/>
      <c r="AH422" s="12"/>
      <c r="AI422" s="26"/>
      <c r="AJ422" s="26"/>
      <c r="AK422" s="26"/>
      <c r="AL422" s="26"/>
      <c r="AM422" s="65"/>
      <c r="AN422" s="65" t="b">
        <v>0</v>
      </c>
      <c r="AO422" s="22"/>
      <c r="AP422" s="22"/>
      <c r="AQ422" s="22"/>
      <c r="AR422" s="22"/>
      <c r="AS422" s="27"/>
      <c r="AT422" s="27"/>
      <c r="AU422" s="27"/>
      <c r="AV422" s="27"/>
      <c r="AW422" s="27"/>
      <c r="AX422" s="22"/>
      <c r="AY422" s="22"/>
      <c r="AZ422" s="26"/>
      <c r="BA422" s="62"/>
      <c r="BB422" s="22"/>
      <c r="BC422" s="22"/>
      <c r="BD422" s="22"/>
      <c r="BE422" s="27"/>
      <c r="BF422" s="22"/>
      <c r="BG422" s="27"/>
      <c r="BH422" s="27"/>
      <c r="BI422" s="44"/>
      <c r="BJ422" s="29"/>
      <c r="BK422" s="29"/>
    </row>
    <row r="423" ht="15.75" hidden="1" customHeight="1">
      <c r="A423" s="72"/>
      <c r="B423" s="73"/>
      <c r="C423" s="56"/>
      <c r="D423" s="56"/>
      <c r="E423" s="56"/>
      <c r="F423" s="40"/>
      <c r="G423" s="74"/>
      <c r="H423" s="56"/>
      <c r="I423" s="56"/>
      <c r="J423" s="22"/>
      <c r="K423" s="34"/>
      <c r="L423" s="22"/>
      <c r="M423" s="22"/>
      <c r="N423" s="27"/>
      <c r="O423" s="62"/>
      <c r="P423" s="63"/>
      <c r="Q423" s="63"/>
      <c r="R423" s="22"/>
      <c r="S423" s="62"/>
      <c r="T423" s="17"/>
      <c r="U423" s="17"/>
      <c r="V423" s="12"/>
      <c r="W423" s="12"/>
      <c r="X423" s="12"/>
      <c r="Y423" s="12"/>
      <c r="Z423" s="12"/>
      <c r="AA423" s="12"/>
      <c r="AB423" s="44"/>
      <c r="AC423" s="65" t="b">
        <v>0</v>
      </c>
      <c r="AD423" s="65" t="b">
        <v>0</v>
      </c>
      <c r="AE423" s="12"/>
      <c r="AF423" s="12"/>
      <c r="AG423" s="12"/>
      <c r="AH423" s="12"/>
      <c r="AI423" s="26"/>
      <c r="AJ423" s="26"/>
      <c r="AK423" s="26"/>
      <c r="AL423" s="26"/>
      <c r="AM423" s="65"/>
      <c r="AN423" s="65" t="b">
        <v>0</v>
      </c>
      <c r="AO423" s="22"/>
      <c r="AP423" s="22"/>
      <c r="AQ423" s="22"/>
      <c r="AR423" s="22"/>
      <c r="AS423" s="27"/>
      <c r="AT423" s="27"/>
      <c r="AU423" s="27"/>
      <c r="AV423" s="27"/>
      <c r="AW423" s="27"/>
      <c r="AX423" s="22"/>
      <c r="AY423" s="22"/>
      <c r="AZ423" s="26"/>
      <c r="BA423" s="62"/>
      <c r="BB423" s="22"/>
      <c r="BC423" s="22"/>
      <c r="BD423" s="22"/>
      <c r="BE423" s="27"/>
      <c r="BF423" s="22"/>
      <c r="BG423" s="27"/>
      <c r="BH423" s="27"/>
      <c r="BI423" s="44"/>
      <c r="BJ423" s="29"/>
      <c r="BK423" s="29"/>
    </row>
    <row r="424" ht="15.75" hidden="1" customHeight="1">
      <c r="A424" s="72"/>
      <c r="B424" s="73"/>
      <c r="C424" s="56"/>
      <c r="D424" s="56"/>
      <c r="E424" s="56"/>
      <c r="F424" s="40"/>
      <c r="G424" s="74"/>
      <c r="H424" s="56"/>
      <c r="I424" s="56"/>
      <c r="J424" s="22"/>
      <c r="K424" s="34"/>
      <c r="L424" s="22"/>
      <c r="M424" s="22"/>
      <c r="N424" s="27"/>
      <c r="O424" s="62"/>
      <c r="P424" s="63"/>
      <c r="Q424" s="63"/>
      <c r="R424" s="22"/>
      <c r="S424" s="62"/>
      <c r="T424" s="17"/>
      <c r="U424" s="17"/>
      <c r="V424" s="12"/>
      <c r="W424" s="12"/>
      <c r="X424" s="12"/>
      <c r="Y424" s="12"/>
      <c r="Z424" s="12"/>
      <c r="AA424" s="12"/>
      <c r="AB424" s="44"/>
      <c r="AC424" s="65" t="b">
        <v>0</v>
      </c>
      <c r="AD424" s="65" t="b">
        <v>0</v>
      </c>
      <c r="AE424" s="12"/>
      <c r="AF424" s="12"/>
      <c r="AG424" s="12"/>
      <c r="AH424" s="12"/>
      <c r="AI424" s="26"/>
      <c r="AJ424" s="26"/>
      <c r="AK424" s="26"/>
      <c r="AL424" s="26"/>
      <c r="AM424" s="65"/>
      <c r="AN424" s="65" t="b">
        <v>0</v>
      </c>
      <c r="AO424" s="22"/>
      <c r="AP424" s="22"/>
      <c r="AQ424" s="22"/>
      <c r="AR424" s="22"/>
      <c r="AS424" s="27"/>
      <c r="AT424" s="27"/>
      <c r="AU424" s="27"/>
      <c r="AV424" s="27"/>
      <c r="AW424" s="27"/>
      <c r="AX424" s="22"/>
      <c r="AY424" s="22"/>
      <c r="AZ424" s="26"/>
      <c r="BA424" s="62"/>
      <c r="BB424" s="22"/>
      <c r="BC424" s="22"/>
      <c r="BD424" s="22"/>
      <c r="BE424" s="27"/>
      <c r="BF424" s="22"/>
      <c r="BG424" s="27"/>
      <c r="BH424" s="27"/>
      <c r="BI424" s="44"/>
      <c r="BJ424" s="29"/>
      <c r="BK424" s="29"/>
    </row>
    <row r="425" ht="15.75" hidden="1" customHeight="1">
      <c r="A425" s="72"/>
      <c r="B425" s="73"/>
      <c r="C425" s="56"/>
      <c r="D425" s="56"/>
      <c r="E425" s="56"/>
      <c r="F425" s="40"/>
      <c r="G425" s="74"/>
      <c r="H425" s="56"/>
      <c r="I425" s="56"/>
      <c r="J425" s="22"/>
      <c r="K425" s="34"/>
      <c r="L425" s="22"/>
      <c r="M425" s="22"/>
      <c r="N425" s="27"/>
      <c r="O425" s="62"/>
      <c r="P425" s="63"/>
      <c r="Q425" s="63"/>
      <c r="R425" s="22"/>
      <c r="S425" s="62"/>
      <c r="T425" s="17"/>
      <c r="U425" s="17"/>
      <c r="V425" s="12"/>
      <c r="W425" s="12"/>
      <c r="X425" s="12"/>
      <c r="Y425" s="12"/>
      <c r="Z425" s="12"/>
      <c r="AA425" s="12"/>
      <c r="AB425" s="44"/>
      <c r="AC425" s="65" t="b">
        <v>0</v>
      </c>
      <c r="AD425" s="65" t="b">
        <v>0</v>
      </c>
      <c r="AE425" s="12"/>
      <c r="AF425" s="12"/>
      <c r="AG425" s="12"/>
      <c r="AH425" s="12"/>
      <c r="AI425" s="26"/>
      <c r="AJ425" s="26"/>
      <c r="AK425" s="26"/>
      <c r="AL425" s="26"/>
      <c r="AM425" s="65"/>
      <c r="AN425" s="65" t="b">
        <v>0</v>
      </c>
      <c r="AO425" s="22"/>
      <c r="AP425" s="22"/>
      <c r="AQ425" s="22"/>
      <c r="AR425" s="22"/>
      <c r="AS425" s="27"/>
      <c r="AT425" s="27"/>
      <c r="AU425" s="27"/>
      <c r="AV425" s="27"/>
      <c r="AW425" s="27"/>
      <c r="AX425" s="22"/>
      <c r="AY425" s="22"/>
      <c r="AZ425" s="26"/>
      <c r="BA425" s="62"/>
      <c r="BB425" s="22"/>
      <c r="BC425" s="22"/>
      <c r="BD425" s="22"/>
      <c r="BE425" s="27"/>
      <c r="BF425" s="22"/>
      <c r="BG425" s="27"/>
      <c r="BH425" s="27"/>
      <c r="BI425" s="44"/>
      <c r="BJ425" s="29"/>
      <c r="BK425" s="29"/>
    </row>
    <row r="426" ht="15.75" hidden="1" customHeight="1">
      <c r="A426" s="72"/>
      <c r="B426" s="73"/>
      <c r="C426" s="56"/>
      <c r="D426" s="56"/>
      <c r="E426" s="56"/>
      <c r="F426" s="40"/>
      <c r="G426" s="74"/>
      <c r="H426" s="56"/>
      <c r="I426" s="56"/>
      <c r="J426" s="22"/>
      <c r="K426" s="34"/>
      <c r="L426" s="22"/>
      <c r="M426" s="22"/>
      <c r="N426" s="27"/>
      <c r="O426" s="62"/>
      <c r="P426" s="63"/>
      <c r="Q426" s="63"/>
      <c r="R426" s="22"/>
      <c r="S426" s="62"/>
      <c r="T426" s="17"/>
      <c r="U426" s="17"/>
      <c r="V426" s="12"/>
      <c r="W426" s="12"/>
      <c r="X426" s="12"/>
      <c r="Y426" s="12"/>
      <c r="Z426" s="12"/>
      <c r="AA426" s="12"/>
      <c r="AB426" s="44"/>
      <c r="AC426" s="65" t="b">
        <v>0</v>
      </c>
      <c r="AD426" s="65" t="b">
        <v>0</v>
      </c>
      <c r="AE426" s="12"/>
      <c r="AF426" s="12"/>
      <c r="AG426" s="12"/>
      <c r="AH426" s="12"/>
      <c r="AI426" s="26"/>
      <c r="AJ426" s="26"/>
      <c r="AK426" s="26"/>
      <c r="AL426" s="26"/>
      <c r="AM426" s="65"/>
      <c r="AN426" s="65" t="b">
        <v>0</v>
      </c>
      <c r="AO426" s="22"/>
      <c r="AP426" s="22"/>
      <c r="AQ426" s="22"/>
      <c r="AR426" s="22"/>
      <c r="AS426" s="27"/>
      <c r="AT426" s="27"/>
      <c r="AU426" s="27"/>
      <c r="AV426" s="27"/>
      <c r="AW426" s="27"/>
      <c r="AX426" s="22"/>
      <c r="AY426" s="22"/>
      <c r="AZ426" s="26"/>
      <c r="BA426" s="62"/>
      <c r="BB426" s="22"/>
      <c r="BC426" s="22"/>
      <c r="BD426" s="22"/>
      <c r="BE426" s="27"/>
      <c r="BF426" s="22"/>
      <c r="BG426" s="27"/>
      <c r="BH426" s="27"/>
      <c r="BI426" s="44"/>
      <c r="BJ426" s="29"/>
      <c r="BK426" s="29"/>
    </row>
    <row r="427" ht="15.75" hidden="1" customHeight="1">
      <c r="A427" s="72"/>
      <c r="B427" s="73"/>
      <c r="C427" s="56"/>
      <c r="D427" s="56"/>
      <c r="E427" s="56"/>
      <c r="F427" s="40"/>
      <c r="G427" s="74"/>
      <c r="H427" s="56"/>
      <c r="I427" s="56"/>
      <c r="J427" s="22"/>
      <c r="K427" s="34"/>
      <c r="L427" s="22"/>
      <c r="M427" s="22"/>
      <c r="N427" s="27"/>
      <c r="O427" s="62"/>
      <c r="P427" s="63"/>
      <c r="Q427" s="63"/>
      <c r="R427" s="22"/>
      <c r="S427" s="62"/>
      <c r="T427" s="17"/>
      <c r="U427" s="17"/>
      <c r="V427" s="12"/>
      <c r="W427" s="12"/>
      <c r="X427" s="12"/>
      <c r="Y427" s="12"/>
      <c r="Z427" s="12"/>
      <c r="AA427" s="12"/>
      <c r="AB427" s="44"/>
      <c r="AC427" s="65" t="b">
        <v>0</v>
      </c>
      <c r="AD427" s="65" t="b">
        <v>0</v>
      </c>
      <c r="AE427" s="12"/>
      <c r="AF427" s="12"/>
      <c r="AG427" s="12"/>
      <c r="AH427" s="12"/>
      <c r="AI427" s="26"/>
      <c r="AJ427" s="26"/>
      <c r="AK427" s="26"/>
      <c r="AL427" s="26"/>
      <c r="AM427" s="65"/>
      <c r="AN427" s="65" t="b">
        <v>0</v>
      </c>
      <c r="AO427" s="22"/>
      <c r="AP427" s="22"/>
      <c r="AQ427" s="22"/>
      <c r="AR427" s="22"/>
      <c r="AS427" s="27"/>
      <c r="AT427" s="27"/>
      <c r="AU427" s="27"/>
      <c r="AV427" s="27"/>
      <c r="AW427" s="27"/>
      <c r="AX427" s="22"/>
      <c r="AY427" s="22"/>
      <c r="AZ427" s="26"/>
      <c r="BA427" s="62"/>
      <c r="BB427" s="22"/>
      <c r="BC427" s="22"/>
      <c r="BD427" s="22"/>
      <c r="BE427" s="27"/>
      <c r="BF427" s="22"/>
      <c r="BG427" s="27"/>
      <c r="BH427" s="27"/>
      <c r="BI427" s="44"/>
      <c r="BJ427" s="29"/>
      <c r="BK427" s="29"/>
    </row>
    <row r="428" ht="15.75" hidden="1" customHeight="1">
      <c r="A428" s="72"/>
      <c r="B428" s="73"/>
      <c r="C428" s="56"/>
      <c r="D428" s="56"/>
      <c r="E428" s="56"/>
      <c r="F428" s="40"/>
      <c r="G428" s="74"/>
      <c r="H428" s="56"/>
      <c r="I428" s="56"/>
      <c r="J428" s="22"/>
      <c r="K428" s="34"/>
      <c r="L428" s="22"/>
      <c r="M428" s="22"/>
      <c r="N428" s="27"/>
      <c r="O428" s="62"/>
      <c r="P428" s="63"/>
      <c r="Q428" s="63"/>
      <c r="R428" s="22"/>
      <c r="S428" s="62"/>
      <c r="T428" s="17"/>
      <c r="U428" s="17"/>
      <c r="V428" s="12"/>
      <c r="W428" s="12"/>
      <c r="X428" s="12"/>
      <c r="Y428" s="12"/>
      <c r="Z428" s="12"/>
      <c r="AA428" s="12"/>
      <c r="AB428" s="44"/>
      <c r="AC428" s="65" t="b">
        <v>0</v>
      </c>
      <c r="AD428" s="65" t="b">
        <v>0</v>
      </c>
      <c r="AE428" s="12"/>
      <c r="AF428" s="12"/>
      <c r="AG428" s="12"/>
      <c r="AH428" s="12"/>
      <c r="AI428" s="26"/>
      <c r="AJ428" s="26"/>
      <c r="AK428" s="26"/>
      <c r="AL428" s="26"/>
      <c r="AM428" s="65"/>
      <c r="AN428" s="65" t="b">
        <v>0</v>
      </c>
      <c r="AO428" s="22"/>
      <c r="AP428" s="22"/>
      <c r="AQ428" s="22"/>
      <c r="AR428" s="22"/>
      <c r="AS428" s="27"/>
      <c r="AT428" s="27"/>
      <c r="AU428" s="27"/>
      <c r="AV428" s="27"/>
      <c r="AW428" s="27"/>
      <c r="AX428" s="22"/>
      <c r="AY428" s="22"/>
      <c r="AZ428" s="26"/>
      <c r="BA428" s="62"/>
      <c r="BB428" s="22"/>
      <c r="BC428" s="22"/>
      <c r="BD428" s="22"/>
      <c r="BE428" s="27"/>
      <c r="BF428" s="22"/>
      <c r="BG428" s="27"/>
      <c r="BH428" s="27"/>
      <c r="BI428" s="44"/>
      <c r="BJ428" s="29"/>
      <c r="BK428" s="29"/>
    </row>
    <row r="429" ht="15.75" hidden="1" customHeight="1">
      <c r="A429" s="72"/>
      <c r="B429" s="73"/>
      <c r="C429" s="56"/>
      <c r="D429" s="56"/>
      <c r="E429" s="56"/>
      <c r="F429" s="40"/>
      <c r="G429" s="74"/>
      <c r="H429" s="56"/>
      <c r="I429" s="56"/>
      <c r="J429" s="22"/>
      <c r="K429" s="34"/>
      <c r="L429" s="22"/>
      <c r="M429" s="22"/>
      <c r="N429" s="27"/>
      <c r="O429" s="62"/>
      <c r="P429" s="63"/>
      <c r="Q429" s="63"/>
      <c r="R429" s="22"/>
      <c r="S429" s="62"/>
      <c r="T429" s="17"/>
      <c r="U429" s="17"/>
      <c r="V429" s="12"/>
      <c r="W429" s="12"/>
      <c r="X429" s="12"/>
      <c r="Y429" s="12"/>
      <c r="Z429" s="12"/>
      <c r="AA429" s="12"/>
      <c r="AB429" s="44"/>
      <c r="AC429" s="65" t="b">
        <v>0</v>
      </c>
      <c r="AD429" s="65" t="b">
        <v>0</v>
      </c>
      <c r="AE429" s="12"/>
      <c r="AF429" s="12"/>
      <c r="AG429" s="12"/>
      <c r="AH429" s="12"/>
      <c r="AI429" s="26"/>
      <c r="AJ429" s="26"/>
      <c r="AK429" s="26"/>
      <c r="AL429" s="26"/>
      <c r="AM429" s="41"/>
      <c r="AN429" s="41"/>
      <c r="AO429" s="22"/>
      <c r="AP429" s="22"/>
      <c r="AQ429" s="22"/>
      <c r="AR429" s="22"/>
      <c r="AS429" s="27"/>
      <c r="AT429" s="27"/>
      <c r="AU429" s="27"/>
      <c r="AV429" s="27"/>
      <c r="AW429" s="27"/>
      <c r="AX429" s="22"/>
      <c r="AY429" s="22"/>
      <c r="AZ429" s="26"/>
      <c r="BA429" s="62"/>
      <c r="BB429" s="22"/>
      <c r="BC429" s="22"/>
      <c r="BD429" s="22"/>
      <c r="BE429" s="27"/>
      <c r="BF429" s="22"/>
      <c r="BG429" s="27"/>
      <c r="BH429" s="27"/>
      <c r="BI429" s="44"/>
      <c r="BJ429" s="29"/>
      <c r="BK429" s="29"/>
    </row>
    <row r="430" ht="15.75" hidden="1" customHeight="1">
      <c r="A430" s="75"/>
      <c r="B430" s="73"/>
      <c r="C430" s="76"/>
      <c r="D430" s="76"/>
      <c r="E430" s="76"/>
      <c r="F430" s="77"/>
      <c r="G430" s="78"/>
      <c r="H430" s="76"/>
      <c r="I430" s="76"/>
      <c r="J430" s="79"/>
      <c r="K430" s="80"/>
      <c r="L430" s="81"/>
      <c r="M430" s="81"/>
      <c r="N430" s="82"/>
      <c r="O430" s="83"/>
      <c r="P430" s="84"/>
      <c r="Q430" s="84"/>
      <c r="R430" s="81"/>
      <c r="S430" s="85"/>
      <c r="T430" s="86"/>
      <c r="U430" s="86"/>
      <c r="V430" s="87"/>
      <c r="W430" s="87"/>
      <c r="X430" s="87"/>
      <c r="Y430" s="87"/>
      <c r="Z430" s="87"/>
      <c r="AA430" s="87"/>
      <c r="AB430" s="29"/>
      <c r="AC430" s="88"/>
      <c r="AD430" s="88"/>
      <c r="AE430" s="89"/>
      <c r="AF430" s="89"/>
      <c r="AG430" s="89"/>
      <c r="AH430" s="89"/>
      <c r="AI430" s="90"/>
      <c r="AJ430" s="90"/>
      <c r="AK430" s="90"/>
      <c r="AL430" s="90"/>
      <c r="AM430" s="91"/>
      <c r="AN430" s="91"/>
      <c r="AO430" s="92"/>
      <c r="AP430" s="92"/>
      <c r="AQ430" s="92"/>
      <c r="AR430" s="92"/>
      <c r="AS430" s="93"/>
      <c r="AT430" s="93"/>
      <c r="AU430" s="93"/>
      <c r="AV430" s="93"/>
      <c r="AW430" s="93"/>
      <c r="AX430" s="92"/>
      <c r="AY430" s="92"/>
      <c r="AZ430" s="90"/>
      <c r="BA430" s="83"/>
      <c r="BB430" s="92"/>
      <c r="BC430" s="92"/>
      <c r="BD430" s="92"/>
      <c r="BE430" s="93"/>
      <c r="BF430" s="92"/>
      <c r="BG430" s="82"/>
      <c r="BH430" s="82"/>
      <c r="BI430" s="29"/>
      <c r="BJ430" s="29"/>
      <c r="BK430" s="29"/>
    </row>
    <row r="431" ht="15.75" hidden="1" customHeight="1">
      <c r="A431" s="75"/>
      <c r="B431" s="73"/>
      <c r="C431" s="76"/>
      <c r="D431" s="76"/>
      <c r="E431" s="76"/>
      <c r="F431" s="77"/>
      <c r="G431" s="78"/>
      <c r="H431" s="76"/>
      <c r="I431" s="76"/>
      <c r="J431" s="79"/>
      <c r="K431" s="80"/>
      <c r="L431" s="81"/>
      <c r="M431" s="81"/>
      <c r="N431" s="82"/>
      <c r="O431" s="83"/>
      <c r="P431" s="84"/>
      <c r="Q431" s="84"/>
      <c r="R431" s="81"/>
      <c r="S431" s="85"/>
      <c r="T431" s="86"/>
      <c r="U431" s="86"/>
      <c r="V431" s="87"/>
      <c r="W431" s="87"/>
      <c r="X431" s="87"/>
      <c r="Y431" s="87"/>
      <c r="Z431" s="87"/>
      <c r="AA431" s="87"/>
      <c r="AB431" s="29"/>
      <c r="AC431" s="94"/>
      <c r="AD431" s="94"/>
      <c r="AE431" s="89"/>
      <c r="AF431" s="89"/>
      <c r="AG431" s="89"/>
      <c r="AH431" s="89"/>
      <c r="AI431" s="90"/>
      <c r="AJ431" s="90"/>
      <c r="AK431" s="90"/>
      <c r="AL431" s="90"/>
      <c r="AM431" s="91"/>
      <c r="AN431" s="91"/>
      <c r="AO431" s="92"/>
      <c r="AP431" s="92"/>
      <c r="AQ431" s="92"/>
      <c r="AR431" s="92"/>
      <c r="AS431" s="93"/>
      <c r="AT431" s="93"/>
      <c r="AU431" s="93"/>
      <c r="AV431" s="93"/>
      <c r="AW431" s="93"/>
      <c r="AX431" s="92"/>
      <c r="AY431" s="92"/>
      <c r="AZ431" s="90"/>
      <c r="BA431" s="83"/>
      <c r="BB431" s="92"/>
      <c r="BC431" s="92"/>
      <c r="BD431" s="92"/>
      <c r="BE431" s="93"/>
      <c r="BF431" s="92"/>
      <c r="BG431" s="82"/>
      <c r="BH431" s="82"/>
      <c r="BI431" s="29"/>
      <c r="BJ431" s="29"/>
      <c r="BK431" s="29"/>
    </row>
    <row r="432" ht="15.75" hidden="1" customHeight="1">
      <c r="A432" s="75"/>
      <c r="B432" s="73"/>
      <c r="C432" s="76"/>
      <c r="D432" s="76"/>
      <c r="E432" s="76"/>
      <c r="F432" s="77"/>
      <c r="G432" s="78"/>
      <c r="H432" s="76"/>
      <c r="I432" s="76"/>
      <c r="J432" s="79"/>
      <c r="K432" s="80"/>
      <c r="L432" s="81"/>
      <c r="M432" s="81"/>
      <c r="N432" s="82"/>
      <c r="O432" s="83"/>
      <c r="P432" s="84"/>
      <c r="Q432" s="84"/>
      <c r="R432" s="81"/>
      <c r="S432" s="85"/>
      <c r="T432" s="86"/>
      <c r="U432" s="86"/>
      <c r="V432" s="87"/>
      <c r="W432" s="87"/>
      <c r="X432" s="87"/>
      <c r="Y432" s="87"/>
      <c r="Z432" s="87"/>
      <c r="AA432" s="87"/>
      <c r="AB432" s="29"/>
      <c r="AC432" s="94"/>
      <c r="AD432" s="94"/>
      <c r="AE432" s="89"/>
      <c r="AF432" s="89"/>
      <c r="AG432" s="89"/>
      <c r="AH432" s="89"/>
      <c r="AI432" s="90"/>
      <c r="AJ432" s="90"/>
      <c r="AK432" s="90"/>
      <c r="AL432" s="90"/>
      <c r="AM432" s="91"/>
      <c r="AN432" s="91"/>
      <c r="AO432" s="92"/>
      <c r="AP432" s="92"/>
      <c r="AQ432" s="92"/>
      <c r="AR432" s="92"/>
      <c r="AS432" s="93"/>
      <c r="AT432" s="93"/>
      <c r="AU432" s="93"/>
      <c r="AV432" s="93"/>
      <c r="AW432" s="93"/>
      <c r="AX432" s="92"/>
      <c r="AY432" s="92"/>
      <c r="AZ432" s="90"/>
      <c r="BA432" s="83"/>
      <c r="BB432" s="92"/>
      <c r="BC432" s="92"/>
      <c r="BD432" s="92"/>
      <c r="BE432" s="93"/>
      <c r="BF432" s="92"/>
      <c r="BG432" s="82"/>
      <c r="BH432" s="82"/>
      <c r="BI432" s="29"/>
      <c r="BJ432" s="29"/>
      <c r="BK432" s="29"/>
    </row>
    <row r="433" ht="15.75" hidden="1" customHeight="1">
      <c r="A433" s="75"/>
      <c r="B433" s="73"/>
      <c r="C433" s="76"/>
      <c r="D433" s="76"/>
      <c r="E433" s="76"/>
      <c r="F433" s="77"/>
      <c r="G433" s="78"/>
      <c r="H433" s="76"/>
      <c r="I433" s="76"/>
      <c r="J433" s="79"/>
      <c r="K433" s="80"/>
      <c r="L433" s="81"/>
      <c r="M433" s="81"/>
      <c r="N433" s="82"/>
      <c r="O433" s="83"/>
      <c r="P433" s="84"/>
      <c r="Q433" s="84"/>
      <c r="R433" s="81"/>
      <c r="S433" s="85"/>
      <c r="T433" s="86"/>
      <c r="U433" s="86"/>
      <c r="V433" s="87"/>
      <c r="W433" s="87"/>
      <c r="X433" s="87"/>
      <c r="Y433" s="87"/>
      <c r="Z433" s="87"/>
      <c r="AA433" s="87"/>
      <c r="AB433" s="29"/>
      <c r="AC433" s="94"/>
      <c r="AD433" s="94"/>
      <c r="AE433" s="89"/>
      <c r="AF433" s="89"/>
      <c r="AG433" s="89"/>
      <c r="AH433" s="89"/>
      <c r="AI433" s="90"/>
      <c r="AJ433" s="90"/>
      <c r="AK433" s="90"/>
      <c r="AL433" s="90"/>
      <c r="AM433" s="91"/>
      <c r="AN433" s="91"/>
      <c r="AO433" s="92"/>
      <c r="AP433" s="92"/>
      <c r="AQ433" s="92"/>
      <c r="AR433" s="92"/>
      <c r="AS433" s="93"/>
      <c r="AT433" s="93"/>
      <c r="AU433" s="93"/>
      <c r="AV433" s="93"/>
      <c r="AW433" s="93"/>
      <c r="AX433" s="92"/>
      <c r="AY433" s="92"/>
      <c r="AZ433" s="90"/>
      <c r="BA433" s="83"/>
      <c r="BB433" s="92"/>
      <c r="BC433" s="92"/>
      <c r="BD433" s="92"/>
      <c r="BE433" s="93"/>
      <c r="BF433" s="92"/>
      <c r="BG433" s="82"/>
      <c r="BH433" s="82"/>
      <c r="BI433" s="29"/>
      <c r="BJ433" s="29"/>
      <c r="BK433" s="29"/>
    </row>
    <row r="434" ht="15.75" hidden="1" customHeight="1">
      <c r="A434" s="75"/>
      <c r="B434" s="73"/>
      <c r="C434" s="76"/>
      <c r="D434" s="76"/>
      <c r="E434" s="76"/>
      <c r="F434" s="77"/>
      <c r="G434" s="78"/>
      <c r="H434" s="76"/>
      <c r="I434" s="76"/>
      <c r="J434" s="79"/>
      <c r="K434" s="80"/>
      <c r="L434" s="81"/>
      <c r="M434" s="81"/>
      <c r="N434" s="82"/>
      <c r="O434" s="83"/>
      <c r="P434" s="84"/>
      <c r="Q434" s="84"/>
      <c r="R434" s="81"/>
      <c r="S434" s="85"/>
      <c r="T434" s="86"/>
      <c r="U434" s="86"/>
      <c r="V434" s="87"/>
      <c r="W434" s="87"/>
      <c r="X434" s="87"/>
      <c r="Y434" s="87"/>
      <c r="Z434" s="87"/>
      <c r="AA434" s="87"/>
      <c r="AB434" s="29"/>
      <c r="AC434" s="94"/>
      <c r="AD434" s="94"/>
      <c r="AE434" s="89"/>
      <c r="AF434" s="89"/>
      <c r="AG434" s="89"/>
      <c r="AH434" s="89"/>
      <c r="AI434" s="90"/>
      <c r="AJ434" s="90"/>
      <c r="AK434" s="90"/>
      <c r="AL434" s="90"/>
      <c r="AM434" s="91"/>
      <c r="AN434" s="91"/>
      <c r="AO434" s="92"/>
      <c r="AP434" s="92"/>
      <c r="AQ434" s="92"/>
      <c r="AR434" s="92"/>
      <c r="AS434" s="93"/>
      <c r="AT434" s="93"/>
      <c r="AU434" s="93"/>
      <c r="AV434" s="93"/>
      <c r="AW434" s="93"/>
      <c r="AX434" s="92"/>
      <c r="AY434" s="92"/>
      <c r="AZ434" s="90"/>
      <c r="BA434" s="83"/>
      <c r="BB434" s="92"/>
      <c r="BC434" s="92"/>
      <c r="BD434" s="92"/>
      <c r="BE434" s="93"/>
      <c r="BF434" s="92"/>
      <c r="BG434" s="82"/>
      <c r="BH434" s="82"/>
      <c r="BI434" s="29"/>
      <c r="BJ434" s="29"/>
      <c r="BK434" s="29"/>
    </row>
    <row r="435" ht="15.75" hidden="1" customHeight="1">
      <c r="A435" s="75"/>
      <c r="B435" s="73"/>
      <c r="C435" s="76"/>
      <c r="D435" s="76"/>
      <c r="E435" s="76"/>
      <c r="F435" s="77"/>
      <c r="G435" s="78"/>
      <c r="H435" s="76"/>
      <c r="I435" s="76"/>
      <c r="J435" s="79"/>
      <c r="K435" s="80"/>
      <c r="L435" s="81"/>
      <c r="M435" s="81"/>
      <c r="N435" s="82"/>
      <c r="O435" s="83"/>
      <c r="P435" s="84"/>
      <c r="Q435" s="84"/>
      <c r="R435" s="81"/>
      <c r="S435" s="85"/>
      <c r="T435" s="86"/>
      <c r="U435" s="86"/>
      <c r="V435" s="87"/>
      <c r="W435" s="87"/>
      <c r="X435" s="87"/>
      <c r="Y435" s="87"/>
      <c r="Z435" s="87"/>
      <c r="AA435" s="87"/>
      <c r="AB435" s="29"/>
      <c r="AC435" s="94"/>
      <c r="AD435" s="94"/>
      <c r="AE435" s="89"/>
      <c r="AF435" s="89"/>
      <c r="AG435" s="89"/>
      <c r="AH435" s="89"/>
      <c r="AI435" s="90"/>
      <c r="AJ435" s="90"/>
      <c r="AK435" s="90"/>
      <c r="AL435" s="90"/>
      <c r="AM435" s="91"/>
      <c r="AN435" s="91"/>
      <c r="AO435" s="92"/>
      <c r="AP435" s="92"/>
      <c r="AQ435" s="92"/>
      <c r="AR435" s="92"/>
      <c r="AS435" s="93"/>
      <c r="AT435" s="93"/>
      <c r="AU435" s="93"/>
      <c r="AV435" s="93"/>
      <c r="AW435" s="93"/>
      <c r="AX435" s="92"/>
      <c r="AY435" s="92"/>
      <c r="AZ435" s="90"/>
      <c r="BA435" s="83"/>
      <c r="BB435" s="92"/>
      <c r="BC435" s="92"/>
      <c r="BD435" s="92"/>
      <c r="BE435" s="93"/>
      <c r="BF435" s="92"/>
      <c r="BG435" s="82"/>
      <c r="BH435" s="82"/>
      <c r="BI435" s="29"/>
      <c r="BJ435" s="29"/>
      <c r="BK435" s="29"/>
    </row>
    <row r="436" ht="15.75" hidden="1" customHeight="1">
      <c r="A436" s="75"/>
      <c r="B436" s="73"/>
      <c r="C436" s="76"/>
      <c r="D436" s="76"/>
      <c r="E436" s="76"/>
      <c r="F436" s="77"/>
      <c r="G436" s="78"/>
      <c r="H436" s="76"/>
      <c r="I436" s="76"/>
      <c r="J436" s="79"/>
      <c r="K436" s="80"/>
      <c r="L436" s="81"/>
      <c r="M436" s="81"/>
      <c r="N436" s="82"/>
      <c r="O436" s="83"/>
      <c r="P436" s="84"/>
      <c r="Q436" s="84"/>
      <c r="R436" s="81"/>
      <c r="S436" s="85"/>
      <c r="T436" s="86"/>
      <c r="U436" s="86"/>
      <c r="V436" s="87"/>
      <c r="W436" s="87"/>
      <c r="X436" s="87"/>
      <c r="Y436" s="87"/>
      <c r="Z436" s="87"/>
      <c r="AA436" s="87"/>
      <c r="AB436" s="29"/>
      <c r="AC436" s="94"/>
      <c r="AD436" s="94"/>
      <c r="AE436" s="89"/>
      <c r="AF436" s="89"/>
      <c r="AG436" s="89"/>
      <c r="AH436" s="89"/>
      <c r="AI436" s="90"/>
      <c r="AJ436" s="90"/>
      <c r="AK436" s="90"/>
      <c r="AL436" s="90"/>
      <c r="AM436" s="91"/>
      <c r="AN436" s="91"/>
      <c r="AO436" s="92"/>
      <c r="AP436" s="92"/>
      <c r="AQ436" s="92"/>
      <c r="AR436" s="92"/>
      <c r="AS436" s="93"/>
      <c r="AT436" s="93"/>
      <c r="AU436" s="93"/>
      <c r="AV436" s="93"/>
      <c r="AW436" s="93"/>
      <c r="AX436" s="92"/>
      <c r="AY436" s="92"/>
      <c r="AZ436" s="90"/>
      <c r="BA436" s="83"/>
      <c r="BB436" s="92"/>
      <c r="BC436" s="92"/>
      <c r="BD436" s="92"/>
      <c r="BE436" s="93"/>
      <c r="BF436" s="92"/>
      <c r="BG436" s="82"/>
      <c r="BH436" s="82"/>
      <c r="BI436" s="29"/>
      <c r="BJ436" s="29"/>
      <c r="BK436" s="29"/>
    </row>
    <row r="437" ht="15.75" hidden="1" customHeight="1">
      <c r="A437" s="75"/>
      <c r="B437" s="73"/>
      <c r="C437" s="76"/>
      <c r="D437" s="76"/>
      <c r="E437" s="76"/>
      <c r="F437" s="77"/>
      <c r="G437" s="78"/>
      <c r="H437" s="76"/>
      <c r="I437" s="76"/>
      <c r="J437" s="79"/>
      <c r="K437" s="80"/>
      <c r="L437" s="81"/>
      <c r="M437" s="81"/>
      <c r="N437" s="82"/>
      <c r="O437" s="83"/>
      <c r="P437" s="84"/>
      <c r="Q437" s="84"/>
      <c r="R437" s="81"/>
      <c r="S437" s="85"/>
      <c r="T437" s="86"/>
      <c r="U437" s="86"/>
      <c r="V437" s="87"/>
      <c r="W437" s="87"/>
      <c r="X437" s="87"/>
      <c r="Y437" s="87"/>
      <c r="Z437" s="87"/>
      <c r="AA437" s="87"/>
      <c r="AB437" s="29"/>
      <c r="AC437" s="94"/>
      <c r="AD437" s="94"/>
      <c r="AE437" s="89"/>
      <c r="AF437" s="89"/>
      <c r="AG437" s="89"/>
      <c r="AH437" s="89"/>
      <c r="AI437" s="90"/>
      <c r="AJ437" s="90"/>
      <c r="AK437" s="90"/>
      <c r="AL437" s="90"/>
      <c r="AM437" s="91"/>
      <c r="AN437" s="91"/>
      <c r="AO437" s="92"/>
      <c r="AP437" s="92"/>
      <c r="AQ437" s="92"/>
      <c r="AR437" s="92"/>
      <c r="AS437" s="93"/>
      <c r="AT437" s="93"/>
      <c r="AU437" s="93"/>
      <c r="AV437" s="93"/>
      <c r="AW437" s="93"/>
      <c r="AX437" s="92"/>
      <c r="AY437" s="92"/>
      <c r="AZ437" s="90"/>
      <c r="BA437" s="83"/>
      <c r="BB437" s="92"/>
      <c r="BC437" s="92"/>
      <c r="BD437" s="92"/>
      <c r="BE437" s="93"/>
      <c r="BF437" s="92"/>
      <c r="BG437" s="82"/>
      <c r="BH437" s="82"/>
      <c r="BI437" s="29"/>
      <c r="BJ437" s="29"/>
      <c r="BK437" s="29"/>
    </row>
    <row r="438" ht="15.75" hidden="1" customHeight="1">
      <c r="A438" s="75"/>
      <c r="B438" s="73"/>
      <c r="C438" s="76"/>
      <c r="D438" s="76"/>
      <c r="E438" s="76"/>
      <c r="F438" s="77"/>
      <c r="G438" s="78"/>
      <c r="H438" s="76"/>
      <c r="I438" s="76"/>
      <c r="J438" s="79"/>
      <c r="K438" s="80"/>
      <c r="L438" s="81"/>
      <c r="M438" s="81"/>
      <c r="N438" s="82"/>
      <c r="O438" s="83"/>
      <c r="P438" s="84"/>
      <c r="Q438" s="84"/>
      <c r="R438" s="81"/>
      <c r="S438" s="85"/>
      <c r="T438" s="86"/>
      <c r="U438" s="86"/>
      <c r="V438" s="87"/>
      <c r="W438" s="87"/>
      <c r="X438" s="87"/>
      <c r="Y438" s="87"/>
      <c r="Z438" s="87"/>
      <c r="AA438" s="87"/>
      <c r="AB438" s="29"/>
      <c r="AC438" s="94"/>
      <c r="AD438" s="94"/>
      <c r="AE438" s="89"/>
      <c r="AF438" s="89"/>
      <c r="AG438" s="89"/>
      <c r="AH438" s="89"/>
      <c r="AI438" s="90"/>
      <c r="AJ438" s="90"/>
      <c r="AK438" s="90"/>
      <c r="AL438" s="90"/>
      <c r="AM438" s="91"/>
      <c r="AN438" s="91"/>
      <c r="AO438" s="92"/>
      <c r="AP438" s="92"/>
      <c r="AQ438" s="92"/>
      <c r="AR438" s="92"/>
      <c r="AS438" s="93"/>
      <c r="AT438" s="93"/>
      <c r="AU438" s="93"/>
      <c r="AV438" s="93"/>
      <c r="AW438" s="93"/>
      <c r="AX438" s="92"/>
      <c r="AY438" s="92"/>
      <c r="AZ438" s="90"/>
      <c r="BA438" s="83"/>
      <c r="BB438" s="92"/>
      <c r="BC438" s="92"/>
      <c r="BD438" s="92"/>
      <c r="BE438" s="93"/>
      <c r="BF438" s="92"/>
      <c r="BG438" s="82"/>
      <c r="BH438" s="82"/>
      <c r="BI438" s="29"/>
      <c r="BJ438" s="29"/>
      <c r="BK438" s="29"/>
    </row>
    <row r="439" ht="15.75" hidden="1" customHeight="1">
      <c r="A439" s="75"/>
      <c r="B439" s="73"/>
      <c r="C439" s="76"/>
      <c r="D439" s="76"/>
      <c r="E439" s="76"/>
      <c r="F439" s="77"/>
      <c r="G439" s="78"/>
      <c r="H439" s="76"/>
      <c r="I439" s="76"/>
      <c r="J439" s="79"/>
      <c r="K439" s="80"/>
      <c r="L439" s="81"/>
      <c r="M439" s="81"/>
      <c r="N439" s="82"/>
      <c r="O439" s="83"/>
      <c r="P439" s="84"/>
      <c r="Q439" s="84"/>
      <c r="R439" s="81"/>
      <c r="S439" s="85"/>
      <c r="T439" s="86"/>
      <c r="U439" s="86"/>
      <c r="V439" s="87"/>
      <c r="W439" s="87"/>
      <c r="X439" s="87"/>
      <c r="Y439" s="87"/>
      <c r="Z439" s="87"/>
      <c r="AA439" s="87"/>
      <c r="AB439" s="29"/>
      <c r="AC439" s="94"/>
      <c r="AD439" s="94"/>
      <c r="AE439" s="89"/>
      <c r="AF439" s="89"/>
      <c r="AG439" s="89"/>
      <c r="AH439" s="89"/>
      <c r="AI439" s="90"/>
      <c r="AJ439" s="90"/>
      <c r="AK439" s="90"/>
      <c r="AL439" s="90"/>
      <c r="AM439" s="91"/>
      <c r="AN439" s="91"/>
      <c r="AO439" s="92"/>
      <c r="AP439" s="92"/>
      <c r="AQ439" s="92"/>
      <c r="AR439" s="92"/>
      <c r="AS439" s="93"/>
      <c r="AT439" s="93"/>
      <c r="AU439" s="93"/>
      <c r="AV439" s="93"/>
      <c r="AW439" s="93"/>
      <c r="AX439" s="92"/>
      <c r="AY439" s="92"/>
      <c r="AZ439" s="90"/>
      <c r="BA439" s="83"/>
      <c r="BB439" s="92"/>
      <c r="BC439" s="92"/>
      <c r="BD439" s="92"/>
      <c r="BE439" s="93"/>
      <c r="BF439" s="92"/>
      <c r="BG439" s="82"/>
      <c r="BH439" s="82"/>
      <c r="BI439" s="29"/>
      <c r="BJ439" s="29"/>
      <c r="BK439" s="29"/>
    </row>
    <row r="440" ht="15.75" hidden="1" customHeight="1">
      <c r="A440" s="75"/>
      <c r="B440" s="73"/>
      <c r="C440" s="76"/>
      <c r="D440" s="76"/>
      <c r="E440" s="76"/>
      <c r="F440" s="77"/>
      <c r="G440" s="78"/>
      <c r="H440" s="76"/>
      <c r="I440" s="76"/>
      <c r="J440" s="79"/>
      <c r="K440" s="80"/>
      <c r="L440" s="81"/>
      <c r="M440" s="81"/>
      <c r="N440" s="82"/>
      <c r="O440" s="83"/>
      <c r="P440" s="84"/>
      <c r="Q440" s="84"/>
      <c r="R440" s="81"/>
      <c r="S440" s="85"/>
      <c r="T440" s="86"/>
      <c r="U440" s="86"/>
      <c r="V440" s="87"/>
      <c r="W440" s="87"/>
      <c r="X440" s="87"/>
      <c r="Y440" s="87"/>
      <c r="Z440" s="87"/>
      <c r="AA440" s="87"/>
      <c r="AB440" s="29"/>
      <c r="AC440" s="94"/>
      <c r="AD440" s="94"/>
      <c r="AE440" s="89"/>
      <c r="AF440" s="89"/>
      <c r="AG440" s="89"/>
      <c r="AH440" s="89"/>
      <c r="AI440" s="90"/>
      <c r="AJ440" s="90"/>
      <c r="AK440" s="90"/>
      <c r="AL440" s="90"/>
      <c r="AM440" s="91"/>
      <c r="AN440" s="91"/>
      <c r="AO440" s="92"/>
      <c r="AP440" s="92"/>
      <c r="AQ440" s="92"/>
      <c r="AR440" s="92"/>
      <c r="AS440" s="93"/>
      <c r="AT440" s="93"/>
      <c r="AU440" s="93"/>
      <c r="AV440" s="93"/>
      <c r="AW440" s="93"/>
      <c r="AX440" s="92"/>
      <c r="AY440" s="92"/>
      <c r="AZ440" s="90"/>
      <c r="BA440" s="83"/>
      <c r="BB440" s="92"/>
      <c r="BC440" s="92"/>
      <c r="BD440" s="92"/>
      <c r="BE440" s="93"/>
      <c r="BF440" s="92"/>
      <c r="BG440" s="82"/>
      <c r="BH440" s="82"/>
      <c r="BI440" s="29"/>
      <c r="BJ440" s="29"/>
      <c r="BK440" s="29"/>
    </row>
    <row r="441" ht="15.75" hidden="1" customHeight="1">
      <c r="A441" s="75"/>
      <c r="B441" s="73"/>
      <c r="C441" s="76"/>
      <c r="D441" s="76"/>
      <c r="E441" s="76"/>
      <c r="F441" s="77"/>
      <c r="G441" s="78"/>
      <c r="H441" s="76"/>
      <c r="I441" s="76"/>
      <c r="J441" s="79"/>
      <c r="K441" s="80"/>
      <c r="L441" s="81"/>
      <c r="M441" s="81"/>
      <c r="N441" s="82"/>
      <c r="O441" s="83"/>
      <c r="P441" s="84"/>
      <c r="Q441" s="84"/>
      <c r="R441" s="81"/>
      <c r="S441" s="85"/>
      <c r="T441" s="86"/>
      <c r="U441" s="86"/>
      <c r="V441" s="87"/>
      <c r="W441" s="87"/>
      <c r="X441" s="87"/>
      <c r="Y441" s="87"/>
      <c r="Z441" s="87"/>
      <c r="AA441" s="87"/>
      <c r="AB441" s="29"/>
      <c r="AC441" s="94"/>
      <c r="AD441" s="94"/>
      <c r="AE441" s="89"/>
      <c r="AF441" s="89"/>
      <c r="AG441" s="89"/>
      <c r="AH441" s="89"/>
      <c r="AI441" s="90"/>
      <c r="AJ441" s="90"/>
      <c r="AK441" s="90"/>
      <c r="AL441" s="90"/>
      <c r="AM441" s="91"/>
      <c r="AN441" s="91"/>
      <c r="AO441" s="92"/>
      <c r="AP441" s="92"/>
      <c r="AQ441" s="92"/>
      <c r="AR441" s="92"/>
      <c r="AS441" s="93"/>
      <c r="AT441" s="93"/>
      <c r="AU441" s="93"/>
      <c r="AV441" s="93"/>
      <c r="AW441" s="93"/>
      <c r="AX441" s="92"/>
      <c r="AY441" s="92"/>
      <c r="AZ441" s="90"/>
      <c r="BA441" s="83"/>
      <c r="BB441" s="92"/>
      <c r="BC441" s="92"/>
      <c r="BD441" s="92"/>
      <c r="BE441" s="93"/>
      <c r="BF441" s="92"/>
      <c r="BG441" s="82"/>
      <c r="BH441" s="82"/>
      <c r="BI441" s="29"/>
      <c r="BJ441" s="29"/>
      <c r="BK441" s="29"/>
    </row>
    <row r="442" ht="15.75" hidden="1" customHeight="1">
      <c r="A442" s="75"/>
      <c r="B442" s="73"/>
      <c r="C442" s="76"/>
      <c r="D442" s="76"/>
      <c r="E442" s="76"/>
      <c r="F442" s="77"/>
      <c r="G442" s="78"/>
      <c r="H442" s="76"/>
      <c r="I442" s="76"/>
      <c r="J442" s="79"/>
      <c r="K442" s="80"/>
      <c r="L442" s="81"/>
      <c r="M442" s="81"/>
      <c r="N442" s="82"/>
      <c r="O442" s="83"/>
      <c r="P442" s="84"/>
      <c r="Q442" s="84"/>
      <c r="R442" s="81"/>
      <c r="S442" s="85"/>
      <c r="T442" s="86"/>
      <c r="U442" s="86"/>
      <c r="V442" s="87"/>
      <c r="W442" s="87"/>
      <c r="X442" s="87"/>
      <c r="Y442" s="87"/>
      <c r="Z442" s="87"/>
      <c r="AA442" s="87"/>
      <c r="AB442" s="29"/>
      <c r="AC442" s="94"/>
      <c r="AD442" s="94"/>
      <c r="AE442" s="89"/>
      <c r="AF442" s="89"/>
      <c r="AG442" s="89"/>
      <c r="AH442" s="89"/>
      <c r="AI442" s="90"/>
      <c r="AJ442" s="90"/>
      <c r="AK442" s="90"/>
      <c r="AL442" s="90"/>
      <c r="AM442" s="91"/>
      <c r="AN442" s="91"/>
      <c r="AO442" s="92"/>
      <c r="AP442" s="92"/>
      <c r="AQ442" s="92"/>
      <c r="AR442" s="92"/>
      <c r="AS442" s="93"/>
      <c r="AT442" s="93"/>
      <c r="AU442" s="93"/>
      <c r="AV442" s="93"/>
      <c r="AW442" s="93"/>
      <c r="AX442" s="92"/>
      <c r="AY442" s="92"/>
      <c r="AZ442" s="90"/>
      <c r="BA442" s="83"/>
      <c r="BB442" s="92"/>
      <c r="BC442" s="92"/>
      <c r="BD442" s="92"/>
      <c r="BE442" s="93"/>
      <c r="BF442" s="92"/>
      <c r="BG442" s="82"/>
      <c r="BH442" s="82"/>
      <c r="BI442" s="29"/>
      <c r="BJ442" s="29"/>
      <c r="BK442" s="29"/>
    </row>
    <row r="443" ht="15.75" hidden="1" customHeight="1">
      <c r="A443" s="75"/>
      <c r="B443" s="73"/>
      <c r="C443" s="76"/>
      <c r="D443" s="76"/>
      <c r="E443" s="76"/>
      <c r="F443" s="77"/>
      <c r="G443" s="78"/>
      <c r="H443" s="76"/>
      <c r="I443" s="76"/>
      <c r="J443" s="79"/>
      <c r="K443" s="80"/>
      <c r="L443" s="81"/>
      <c r="M443" s="81"/>
      <c r="N443" s="82"/>
      <c r="O443" s="83"/>
      <c r="P443" s="84"/>
      <c r="Q443" s="84"/>
      <c r="R443" s="81"/>
      <c r="S443" s="85"/>
      <c r="T443" s="86"/>
      <c r="U443" s="86"/>
      <c r="V443" s="87"/>
      <c r="W443" s="87"/>
      <c r="X443" s="87"/>
      <c r="Y443" s="87"/>
      <c r="Z443" s="87"/>
      <c r="AA443" s="87"/>
      <c r="AB443" s="29"/>
      <c r="AC443" s="94"/>
      <c r="AD443" s="94"/>
      <c r="AE443" s="89"/>
      <c r="AF443" s="89"/>
      <c r="AG443" s="89"/>
      <c r="AH443" s="89"/>
      <c r="AI443" s="90"/>
      <c r="AJ443" s="90"/>
      <c r="AK443" s="90"/>
      <c r="AL443" s="90"/>
      <c r="AM443" s="91"/>
      <c r="AN443" s="91"/>
      <c r="AO443" s="92"/>
      <c r="AP443" s="92"/>
      <c r="AQ443" s="92"/>
      <c r="AR443" s="92"/>
      <c r="AS443" s="93"/>
      <c r="AT443" s="93"/>
      <c r="AU443" s="93"/>
      <c r="AV443" s="93"/>
      <c r="AW443" s="93"/>
      <c r="AX443" s="92"/>
      <c r="AY443" s="92"/>
      <c r="AZ443" s="90"/>
      <c r="BA443" s="83"/>
      <c r="BB443" s="92"/>
      <c r="BC443" s="92"/>
      <c r="BD443" s="92"/>
      <c r="BE443" s="93"/>
      <c r="BF443" s="92"/>
      <c r="BG443" s="82"/>
      <c r="BH443" s="82"/>
      <c r="BI443" s="29"/>
      <c r="BJ443" s="29"/>
      <c r="BK443" s="29"/>
    </row>
    <row r="444" ht="15.75" hidden="1" customHeight="1">
      <c r="A444" s="75"/>
      <c r="B444" s="73"/>
      <c r="C444" s="76"/>
      <c r="D444" s="76"/>
      <c r="E444" s="76"/>
      <c r="F444" s="77"/>
      <c r="G444" s="78"/>
      <c r="H444" s="76"/>
      <c r="I444" s="76"/>
      <c r="J444" s="79"/>
      <c r="K444" s="80"/>
      <c r="L444" s="81"/>
      <c r="M444" s="81"/>
      <c r="N444" s="82"/>
      <c r="O444" s="83"/>
      <c r="P444" s="84"/>
      <c r="Q444" s="84"/>
      <c r="R444" s="81"/>
      <c r="S444" s="85"/>
      <c r="T444" s="86"/>
      <c r="U444" s="86"/>
      <c r="V444" s="87"/>
      <c r="W444" s="87"/>
      <c r="X444" s="87"/>
      <c r="Y444" s="87"/>
      <c r="Z444" s="87"/>
      <c r="AA444" s="87"/>
      <c r="AB444" s="29"/>
      <c r="AC444" s="94"/>
      <c r="AD444" s="94"/>
      <c r="AE444" s="89"/>
      <c r="AF444" s="89"/>
      <c r="AG444" s="89"/>
      <c r="AH444" s="89"/>
      <c r="AI444" s="90"/>
      <c r="AJ444" s="90"/>
      <c r="AK444" s="90"/>
      <c r="AL444" s="90"/>
      <c r="AM444" s="91"/>
      <c r="AN444" s="91"/>
      <c r="AO444" s="92"/>
      <c r="AP444" s="92"/>
      <c r="AQ444" s="92"/>
      <c r="AR444" s="92"/>
      <c r="AS444" s="93"/>
      <c r="AT444" s="93"/>
      <c r="AU444" s="93"/>
      <c r="AV444" s="93"/>
      <c r="AW444" s="93"/>
      <c r="AX444" s="92"/>
      <c r="AY444" s="92"/>
      <c r="AZ444" s="90"/>
      <c r="BA444" s="83"/>
      <c r="BB444" s="92"/>
      <c r="BC444" s="92"/>
      <c r="BD444" s="92"/>
      <c r="BE444" s="93"/>
      <c r="BF444" s="92"/>
      <c r="BG444" s="82"/>
      <c r="BH444" s="82"/>
      <c r="BI444" s="29"/>
      <c r="BJ444" s="29"/>
      <c r="BK444" s="29"/>
    </row>
    <row r="445" ht="15.75" hidden="1" customHeight="1">
      <c r="A445" s="75"/>
      <c r="B445" s="73"/>
      <c r="C445" s="76"/>
      <c r="D445" s="76"/>
      <c r="E445" s="76"/>
      <c r="F445" s="77"/>
      <c r="G445" s="78"/>
      <c r="H445" s="76"/>
      <c r="I445" s="76"/>
      <c r="J445" s="79"/>
      <c r="K445" s="80"/>
      <c r="L445" s="81"/>
      <c r="M445" s="81"/>
      <c r="N445" s="82"/>
      <c r="O445" s="83"/>
      <c r="P445" s="84"/>
      <c r="Q445" s="84"/>
      <c r="R445" s="81"/>
      <c r="S445" s="85"/>
      <c r="T445" s="86"/>
      <c r="U445" s="86"/>
      <c r="V445" s="87"/>
      <c r="W445" s="87"/>
      <c r="X445" s="87"/>
      <c r="Y445" s="87"/>
      <c r="Z445" s="87"/>
      <c r="AA445" s="87"/>
      <c r="AB445" s="29"/>
      <c r="AC445" s="94"/>
      <c r="AD445" s="94"/>
      <c r="AE445" s="89"/>
      <c r="AF445" s="89"/>
      <c r="AG445" s="89"/>
      <c r="AH445" s="89"/>
      <c r="AI445" s="90"/>
      <c r="AJ445" s="90"/>
      <c r="AK445" s="90"/>
      <c r="AL445" s="90"/>
      <c r="AM445" s="91"/>
      <c r="AN445" s="91"/>
      <c r="AO445" s="92"/>
      <c r="AP445" s="92"/>
      <c r="AQ445" s="92"/>
      <c r="AR445" s="92"/>
      <c r="AS445" s="93"/>
      <c r="AT445" s="93"/>
      <c r="AU445" s="93"/>
      <c r="AV445" s="93"/>
      <c r="AW445" s="93"/>
      <c r="AX445" s="92"/>
      <c r="AY445" s="92"/>
      <c r="AZ445" s="90"/>
      <c r="BA445" s="83"/>
      <c r="BB445" s="92"/>
      <c r="BC445" s="92"/>
      <c r="BD445" s="92"/>
      <c r="BE445" s="93"/>
      <c r="BF445" s="92"/>
      <c r="BG445" s="82"/>
      <c r="BH445" s="82"/>
      <c r="BI445" s="29"/>
      <c r="BJ445" s="29"/>
      <c r="BK445" s="29"/>
    </row>
    <row r="446" ht="15.75" hidden="1" customHeight="1">
      <c r="A446" s="75"/>
      <c r="B446" s="73"/>
      <c r="C446" s="76"/>
      <c r="D446" s="76"/>
      <c r="E446" s="76"/>
      <c r="F446" s="77"/>
      <c r="G446" s="78"/>
      <c r="H446" s="76"/>
      <c r="I446" s="76"/>
      <c r="J446" s="79"/>
      <c r="K446" s="80"/>
      <c r="L446" s="81"/>
      <c r="M446" s="81"/>
      <c r="N446" s="82"/>
      <c r="O446" s="83"/>
      <c r="P446" s="84"/>
      <c r="Q446" s="84"/>
      <c r="R446" s="81"/>
      <c r="S446" s="85"/>
      <c r="T446" s="86"/>
      <c r="U446" s="86"/>
      <c r="V446" s="87"/>
      <c r="W446" s="87"/>
      <c r="X446" s="87"/>
      <c r="Y446" s="87"/>
      <c r="Z446" s="87"/>
      <c r="AA446" s="87"/>
      <c r="AB446" s="29"/>
      <c r="AC446" s="94"/>
      <c r="AD446" s="94"/>
      <c r="AE446" s="89"/>
      <c r="AF446" s="89"/>
      <c r="AG446" s="89"/>
      <c r="AH446" s="89"/>
      <c r="AI446" s="90"/>
      <c r="AJ446" s="90"/>
      <c r="AK446" s="90"/>
      <c r="AL446" s="90"/>
      <c r="AM446" s="91"/>
      <c r="AN446" s="91"/>
      <c r="AO446" s="92"/>
      <c r="AP446" s="92"/>
      <c r="AQ446" s="92"/>
      <c r="AR446" s="92"/>
      <c r="AS446" s="93"/>
      <c r="AT446" s="93"/>
      <c r="AU446" s="93"/>
      <c r="AV446" s="93"/>
      <c r="AW446" s="93"/>
      <c r="AX446" s="92"/>
      <c r="AY446" s="92"/>
      <c r="AZ446" s="90"/>
      <c r="BA446" s="83"/>
      <c r="BB446" s="92"/>
      <c r="BC446" s="92"/>
      <c r="BD446" s="92"/>
      <c r="BE446" s="93"/>
      <c r="BF446" s="92"/>
      <c r="BG446" s="82"/>
      <c r="BH446" s="82"/>
      <c r="BI446" s="29"/>
      <c r="BJ446" s="29"/>
      <c r="BK446" s="29"/>
    </row>
    <row r="447" ht="15.75" hidden="1" customHeight="1">
      <c r="A447" s="75"/>
      <c r="B447" s="73"/>
      <c r="C447" s="76"/>
      <c r="D447" s="76"/>
      <c r="E447" s="76"/>
      <c r="F447" s="77"/>
      <c r="G447" s="78"/>
      <c r="H447" s="76"/>
      <c r="I447" s="76"/>
      <c r="J447" s="79"/>
      <c r="K447" s="80"/>
      <c r="L447" s="81"/>
      <c r="M447" s="81"/>
      <c r="N447" s="82"/>
      <c r="O447" s="83"/>
      <c r="P447" s="84"/>
      <c r="Q447" s="84"/>
      <c r="R447" s="81"/>
      <c r="S447" s="85"/>
      <c r="T447" s="86"/>
      <c r="U447" s="86"/>
      <c r="V447" s="87"/>
      <c r="W447" s="87"/>
      <c r="X447" s="87"/>
      <c r="Y447" s="87"/>
      <c r="Z447" s="87"/>
      <c r="AA447" s="87"/>
      <c r="AB447" s="29"/>
      <c r="AC447" s="94"/>
      <c r="AD447" s="94"/>
      <c r="AE447" s="89"/>
      <c r="AF447" s="89"/>
      <c r="AG447" s="89"/>
      <c r="AH447" s="89"/>
      <c r="AI447" s="90"/>
      <c r="AJ447" s="90"/>
      <c r="AK447" s="90"/>
      <c r="AL447" s="90"/>
      <c r="AM447" s="91"/>
      <c r="AN447" s="91"/>
      <c r="AO447" s="92"/>
      <c r="AP447" s="92"/>
      <c r="AQ447" s="92"/>
      <c r="AR447" s="92"/>
      <c r="AS447" s="93"/>
      <c r="AT447" s="93"/>
      <c r="AU447" s="93"/>
      <c r="AV447" s="93"/>
      <c r="AW447" s="93"/>
      <c r="AX447" s="92"/>
      <c r="AY447" s="92"/>
      <c r="AZ447" s="90"/>
      <c r="BA447" s="83"/>
      <c r="BB447" s="92"/>
      <c r="BC447" s="92"/>
      <c r="BD447" s="92"/>
      <c r="BE447" s="93"/>
      <c r="BF447" s="92"/>
      <c r="BG447" s="82"/>
      <c r="BH447" s="82"/>
      <c r="BI447" s="29"/>
      <c r="BJ447" s="29"/>
      <c r="BK447" s="29"/>
    </row>
    <row r="448" ht="15.75" hidden="1" customHeight="1">
      <c r="A448" s="75"/>
      <c r="B448" s="73"/>
      <c r="C448" s="76"/>
      <c r="D448" s="76"/>
      <c r="E448" s="76"/>
      <c r="F448" s="77"/>
      <c r="G448" s="78"/>
      <c r="H448" s="76"/>
      <c r="I448" s="76"/>
      <c r="J448" s="79"/>
      <c r="K448" s="80"/>
      <c r="L448" s="81"/>
      <c r="M448" s="81"/>
      <c r="N448" s="82"/>
      <c r="O448" s="83"/>
      <c r="P448" s="84"/>
      <c r="Q448" s="84"/>
      <c r="R448" s="81"/>
      <c r="S448" s="85"/>
      <c r="T448" s="86"/>
      <c r="U448" s="86"/>
      <c r="V448" s="87"/>
      <c r="W448" s="87"/>
      <c r="X448" s="87"/>
      <c r="Y448" s="87"/>
      <c r="Z448" s="87"/>
      <c r="AA448" s="87"/>
      <c r="AB448" s="29"/>
      <c r="AC448" s="94"/>
      <c r="AD448" s="94"/>
      <c r="AE448" s="89"/>
      <c r="AF448" s="89"/>
      <c r="AG448" s="89"/>
      <c r="AH448" s="89"/>
      <c r="AI448" s="90"/>
      <c r="AJ448" s="90"/>
      <c r="AK448" s="90"/>
      <c r="AL448" s="90"/>
      <c r="AM448" s="91"/>
      <c r="AN448" s="91"/>
      <c r="AO448" s="92"/>
      <c r="AP448" s="92"/>
      <c r="AQ448" s="92"/>
      <c r="AR448" s="92"/>
      <c r="AS448" s="93"/>
      <c r="AT448" s="93"/>
      <c r="AU448" s="93"/>
      <c r="AV448" s="93"/>
      <c r="AW448" s="93"/>
      <c r="AX448" s="92"/>
      <c r="AY448" s="92"/>
      <c r="AZ448" s="90"/>
      <c r="BA448" s="83"/>
      <c r="BB448" s="92"/>
      <c r="BC448" s="92"/>
      <c r="BD448" s="92"/>
      <c r="BE448" s="93"/>
      <c r="BF448" s="92"/>
      <c r="BG448" s="82"/>
      <c r="BH448" s="82"/>
      <c r="BI448" s="29"/>
      <c r="BJ448" s="29"/>
      <c r="BK448" s="29"/>
    </row>
    <row r="449" ht="15.75" hidden="1" customHeight="1">
      <c r="A449" s="75"/>
      <c r="B449" s="73"/>
      <c r="C449" s="76"/>
      <c r="D449" s="76"/>
      <c r="E449" s="76"/>
      <c r="F449" s="77"/>
      <c r="G449" s="78"/>
      <c r="H449" s="76"/>
      <c r="I449" s="76"/>
      <c r="J449" s="79"/>
      <c r="K449" s="80"/>
      <c r="L449" s="81"/>
      <c r="M449" s="81"/>
      <c r="N449" s="82"/>
      <c r="O449" s="83"/>
      <c r="P449" s="84"/>
      <c r="Q449" s="84"/>
      <c r="R449" s="81"/>
      <c r="S449" s="85"/>
      <c r="T449" s="86"/>
      <c r="U449" s="86"/>
      <c r="V449" s="87"/>
      <c r="W449" s="87"/>
      <c r="X449" s="87"/>
      <c r="Y449" s="87"/>
      <c r="Z449" s="87"/>
      <c r="AA449" s="87"/>
      <c r="AB449" s="29"/>
      <c r="AC449" s="94"/>
      <c r="AD449" s="94"/>
      <c r="AE449" s="89"/>
      <c r="AF449" s="89"/>
      <c r="AG449" s="89"/>
      <c r="AH449" s="89"/>
      <c r="AI449" s="90"/>
      <c r="AJ449" s="90"/>
      <c r="AK449" s="90"/>
      <c r="AL449" s="90"/>
      <c r="AM449" s="91"/>
      <c r="AN449" s="91"/>
      <c r="AO449" s="92"/>
      <c r="AP449" s="92"/>
      <c r="AQ449" s="92"/>
      <c r="AR449" s="92"/>
      <c r="AS449" s="93"/>
      <c r="AT449" s="93"/>
      <c r="AU449" s="93"/>
      <c r="AV449" s="93"/>
      <c r="AW449" s="93"/>
      <c r="AX449" s="92"/>
      <c r="AY449" s="92"/>
      <c r="AZ449" s="90"/>
      <c r="BA449" s="83"/>
      <c r="BB449" s="92"/>
      <c r="BC449" s="92"/>
      <c r="BD449" s="92"/>
      <c r="BE449" s="93"/>
      <c r="BF449" s="92"/>
      <c r="BG449" s="82"/>
      <c r="BH449" s="82"/>
      <c r="BI449" s="29"/>
      <c r="BJ449" s="29"/>
      <c r="BK449" s="29"/>
    </row>
    <row r="450" ht="15.75" hidden="1" customHeight="1">
      <c r="A450" s="75"/>
      <c r="B450" s="73"/>
      <c r="C450" s="76"/>
      <c r="D450" s="76"/>
      <c r="E450" s="76"/>
      <c r="F450" s="77"/>
      <c r="G450" s="78"/>
      <c r="H450" s="76"/>
      <c r="I450" s="76"/>
      <c r="J450" s="79"/>
      <c r="K450" s="80"/>
      <c r="L450" s="81"/>
      <c r="M450" s="81"/>
      <c r="N450" s="82"/>
      <c r="O450" s="83"/>
      <c r="P450" s="84"/>
      <c r="Q450" s="84"/>
      <c r="R450" s="81"/>
      <c r="S450" s="85"/>
      <c r="T450" s="86"/>
      <c r="U450" s="86"/>
      <c r="V450" s="87"/>
      <c r="W450" s="87"/>
      <c r="X450" s="87"/>
      <c r="Y450" s="87"/>
      <c r="Z450" s="87"/>
      <c r="AA450" s="87"/>
      <c r="AB450" s="29"/>
      <c r="AC450" s="94"/>
      <c r="AD450" s="94"/>
      <c r="AE450" s="89"/>
      <c r="AF450" s="89"/>
      <c r="AG450" s="89"/>
      <c r="AH450" s="89"/>
      <c r="AI450" s="90"/>
      <c r="AJ450" s="90"/>
      <c r="AK450" s="90"/>
      <c r="AL450" s="90"/>
      <c r="AM450" s="91"/>
      <c r="AN450" s="91"/>
      <c r="AO450" s="92"/>
      <c r="AP450" s="92"/>
      <c r="AQ450" s="92"/>
      <c r="AR450" s="92"/>
      <c r="AS450" s="93"/>
      <c r="AT450" s="93"/>
      <c r="AU450" s="93"/>
      <c r="AV450" s="93"/>
      <c r="AW450" s="93"/>
      <c r="AX450" s="92"/>
      <c r="AY450" s="92"/>
      <c r="AZ450" s="90"/>
      <c r="BA450" s="83"/>
      <c r="BB450" s="92"/>
      <c r="BC450" s="92"/>
      <c r="BD450" s="92"/>
      <c r="BE450" s="93"/>
      <c r="BF450" s="92"/>
      <c r="BG450" s="82"/>
      <c r="BH450" s="82"/>
      <c r="BI450" s="29"/>
      <c r="BJ450" s="29"/>
      <c r="BK450" s="29"/>
    </row>
    <row r="451" ht="15.75" hidden="1" customHeight="1">
      <c r="A451" s="75"/>
      <c r="B451" s="73"/>
      <c r="C451" s="76"/>
      <c r="D451" s="76"/>
      <c r="E451" s="76"/>
      <c r="F451" s="77"/>
      <c r="G451" s="78"/>
      <c r="H451" s="76"/>
      <c r="I451" s="76"/>
      <c r="J451" s="79"/>
      <c r="K451" s="80"/>
      <c r="L451" s="81"/>
      <c r="M451" s="81"/>
      <c r="N451" s="82"/>
      <c r="O451" s="83"/>
      <c r="P451" s="84"/>
      <c r="Q451" s="84"/>
      <c r="R451" s="81"/>
      <c r="S451" s="85"/>
      <c r="T451" s="86"/>
      <c r="U451" s="86"/>
      <c r="V451" s="87"/>
      <c r="W451" s="87"/>
      <c r="X451" s="87"/>
      <c r="Y451" s="87"/>
      <c r="Z451" s="87"/>
      <c r="AA451" s="87"/>
      <c r="AB451" s="29"/>
      <c r="AC451" s="94"/>
      <c r="AD451" s="94"/>
      <c r="AE451" s="89"/>
      <c r="AF451" s="89"/>
      <c r="AG451" s="89"/>
      <c r="AH451" s="89"/>
      <c r="AI451" s="90"/>
      <c r="AJ451" s="90"/>
      <c r="AK451" s="90"/>
      <c r="AL451" s="90"/>
      <c r="AM451" s="91"/>
      <c r="AN451" s="91"/>
      <c r="AO451" s="92"/>
      <c r="AP451" s="92"/>
      <c r="AQ451" s="92"/>
      <c r="AR451" s="92"/>
      <c r="AS451" s="93"/>
      <c r="AT451" s="93"/>
      <c r="AU451" s="93"/>
      <c r="AV451" s="93"/>
      <c r="AW451" s="93"/>
      <c r="AX451" s="92"/>
      <c r="AY451" s="92"/>
      <c r="AZ451" s="90"/>
      <c r="BA451" s="83"/>
      <c r="BB451" s="92"/>
      <c r="BC451" s="92"/>
      <c r="BD451" s="92"/>
      <c r="BE451" s="93"/>
      <c r="BF451" s="92"/>
      <c r="BG451" s="82"/>
      <c r="BH451" s="82"/>
      <c r="BI451" s="29"/>
      <c r="BJ451" s="29"/>
      <c r="BK451" s="29"/>
    </row>
    <row r="452" ht="15.75" hidden="1" customHeight="1">
      <c r="A452" s="75"/>
      <c r="B452" s="73"/>
      <c r="C452" s="76"/>
      <c r="D452" s="76"/>
      <c r="E452" s="76"/>
      <c r="F452" s="77"/>
      <c r="G452" s="78"/>
      <c r="H452" s="76"/>
      <c r="I452" s="76"/>
      <c r="J452" s="79"/>
      <c r="K452" s="80"/>
      <c r="L452" s="81"/>
      <c r="M452" s="81"/>
      <c r="N452" s="82"/>
      <c r="O452" s="83"/>
      <c r="P452" s="84"/>
      <c r="Q452" s="84"/>
      <c r="R452" s="81"/>
      <c r="S452" s="85"/>
      <c r="T452" s="86"/>
      <c r="U452" s="86"/>
      <c r="V452" s="87"/>
      <c r="W452" s="87"/>
      <c r="X452" s="87"/>
      <c r="Y452" s="87"/>
      <c r="Z452" s="87"/>
      <c r="AA452" s="87"/>
      <c r="AB452" s="29"/>
      <c r="AC452" s="94"/>
      <c r="AD452" s="94"/>
      <c r="AE452" s="89"/>
      <c r="AF452" s="89"/>
      <c r="AG452" s="89"/>
      <c r="AH452" s="89"/>
      <c r="AI452" s="90"/>
      <c r="AJ452" s="90"/>
      <c r="AK452" s="90"/>
      <c r="AL452" s="90"/>
      <c r="AM452" s="91"/>
      <c r="AN452" s="91"/>
      <c r="AO452" s="92"/>
      <c r="AP452" s="92"/>
      <c r="AQ452" s="92"/>
      <c r="AR452" s="92"/>
      <c r="AS452" s="93"/>
      <c r="AT452" s="93"/>
      <c r="AU452" s="93"/>
      <c r="AV452" s="93"/>
      <c r="AW452" s="93"/>
      <c r="AX452" s="92"/>
      <c r="AY452" s="92"/>
      <c r="AZ452" s="90"/>
      <c r="BA452" s="83"/>
      <c r="BB452" s="92"/>
      <c r="BC452" s="92"/>
      <c r="BD452" s="92"/>
      <c r="BE452" s="93"/>
      <c r="BF452" s="92"/>
      <c r="BG452" s="82"/>
      <c r="BH452" s="82"/>
      <c r="BI452" s="29"/>
      <c r="BJ452" s="29"/>
      <c r="BK452" s="29"/>
    </row>
    <row r="453" ht="15.75" hidden="1" customHeight="1">
      <c r="A453" s="75"/>
      <c r="B453" s="73"/>
      <c r="C453" s="76"/>
      <c r="D453" s="76"/>
      <c r="E453" s="76"/>
      <c r="F453" s="77"/>
      <c r="G453" s="78"/>
      <c r="H453" s="76"/>
      <c r="I453" s="76"/>
      <c r="J453" s="79"/>
      <c r="K453" s="80"/>
      <c r="L453" s="81"/>
      <c r="M453" s="81"/>
      <c r="N453" s="82"/>
      <c r="O453" s="83"/>
      <c r="P453" s="84"/>
      <c r="Q453" s="84"/>
      <c r="R453" s="81"/>
      <c r="S453" s="85"/>
      <c r="T453" s="86"/>
      <c r="U453" s="86"/>
      <c r="V453" s="87"/>
      <c r="W453" s="87"/>
      <c r="X453" s="87"/>
      <c r="Y453" s="87"/>
      <c r="Z453" s="87"/>
      <c r="AA453" s="87"/>
      <c r="AB453" s="29"/>
      <c r="AC453" s="94"/>
      <c r="AD453" s="94"/>
      <c r="AE453" s="89"/>
      <c r="AF453" s="89"/>
      <c r="AG453" s="89"/>
      <c r="AH453" s="89"/>
      <c r="AI453" s="90"/>
      <c r="AJ453" s="90"/>
      <c r="AK453" s="90"/>
      <c r="AL453" s="90"/>
      <c r="AM453" s="91"/>
      <c r="AN453" s="91"/>
      <c r="AO453" s="92"/>
      <c r="AP453" s="92"/>
      <c r="AQ453" s="92"/>
      <c r="AR453" s="92"/>
      <c r="AS453" s="93"/>
      <c r="AT453" s="93"/>
      <c r="AU453" s="93"/>
      <c r="AV453" s="93"/>
      <c r="AW453" s="93"/>
      <c r="AX453" s="92"/>
      <c r="AY453" s="92"/>
      <c r="AZ453" s="90"/>
      <c r="BA453" s="83"/>
      <c r="BB453" s="92"/>
      <c r="BC453" s="92"/>
      <c r="BD453" s="92"/>
      <c r="BE453" s="93"/>
      <c r="BF453" s="92"/>
      <c r="BG453" s="82"/>
      <c r="BH453" s="82"/>
      <c r="BI453" s="29"/>
      <c r="BJ453" s="29"/>
      <c r="BK453" s="29"/>
    </row>
    <row r="454" ht="15.75" hidden="1" customHeight="1">
      <c r="A454" s="75"/>
      <c r="B454" s="73"/>
      <c r="C454" s="76"/>
      <c r="D454" s="76"/>
      <c r="E454" s="76"/>
      <c r="F454" s="77"/>
      <c r="G454" s="78"/>
      <c r="H454" s="76"/>
      <c r="I454" s="76"/>
      <c r="J454" s="79"/>
      <c r="K454" s="80"/>
      <c r="L454" s="81"/>
      <c r="M454" s="81"/>
      <c r="N454" s="82"/>
      <c r="O454" s="83"/>
      <c r="P454" s="84"/>
      <c r="Q454" s="84"/>
      <c r="R454" s="81"/>
      <c r="S454" s="85"/>
      <c r="T454" s="86"/>
      <c r="U454" s="86"/>
      <c r="V454" s="87"/>
      <c r="W454" s="87"/>
      <c r="X454" s="87"/>
      <c r="Y454" s="87"/>
      <c r="Z454" s="87"/>
      <c r="AA454" s="87"/>
      <c r="AB454" s="29"/>
      <c r="AC454" s="94"/>
      <c r="AD454" s="94"/>
      <c r="AE454" s="89"/>
      <c r="AF454" s="89"/>
      <c r="AG454" s="89"/>
      <c r="AH454" s="89"/>
      <c r="AI454" s="90"/>
      <c r="AJ454" s="90"/>
      <c r="AK454" s="90"/>
      <c r="AL454" s="90"/>
      <c r="AM454" s="91"/>
      <c r="AN454" s="91"/>
      <c r="AO454" s="92"/>
      <c r="AP454" s="92"/>
      <c r="AQ454" s="92"/>
      <c r="AR454" s="92"/>
      <c r="AS454" s="93"/>
      <c r="AT454" s="93"/>
      <c r="AU454" s="93"/>
      <c r="AV454" s="93"/>
      <c r="AW454" s="93"/>
      <c r="AX454" s="92"/>
      <c r="AY454" s="92"/>
      <c r="AZ454" s="90"/>
      <c r="BA454" s="83"/>
      <c r="BB454" s="92"/>
      <c r="BC454" s="92"/>
      <c r="BD454" s="92"/>
      <c r="BE454" s="93"/>
      <c r="BF454" s="92"/>
      <c r="BG454" s="82"/>
      <c r="BH454" s="82"/>
      <c r="BI454" s="29"/>
      <c r="BJ454" s="29"/>
      <c r="BK454" s="29"/>
    </row>
    <row r="455" ht="15.75" hidden="1" customHeight="1">
      <c r="A455" s="75"/>
      <c r="B455" s="73"/>
      <c r="C455" s="76"/>
      <c r="D455" s="76"/>
      <c r="E455" s="76"/>
      <c r="F455" s="77"/>
      <c r="G455" s="78"/>
      <c r="H455" s="76"/>
      <c r="I455" s="76"/>
      <c r="J455" s="79"/>
      <c r="K455" s="80"/>
      <c r="L455" s="81"/>
      <c r="M455" s="81"/>
      <c r="N455" s="82"/>
      <c r="O455" s="83"/>
      <c r="P455" s="84"/>
      <c r="Q455" s="84"/>
      <c r="R455" s="81"/>
      <c r="S455" s="85"/>
      <c r="T455" s="86"/>
      <c r="U455" s="86"/>
      <c r="V455" s="87"/>
      <c r="W455" s="87"/>
      <c r="X455" s="87"/>
      <c r="Y455" s="87"/>
      <c r="Z455" s="87"/>
      <c r="AA455" s="87"/>
      <c r="AB455" s="29"/>
      <c r="AC455" s="94"/>
      <c r="AD455" s="94"/>
      <c r="AE455" s="89"/>
      <c r="AF455" s="89"/>
      <c r="AG455" s="89"/>
      <c r="AH455" s="89"/>
      <c r="AI455" s="90"/>
      <c r="AJ455" s="90"/>
      <c r="AK455" s="90"/>
      <c r="AL455" s="90"/>
      <c r="AM455" s="91"/>
      <c r="AN455" s="91"/>
      <c r="AO455" s="92"/>
      <c r="AP455" s="92"/>
      <c r="AQ455" s="92"/>
      <c r="AR455" s="92"/>
      <c r="AS455" s="93"/>
      <c r="AT455" s="93"/>
      <c r="AU455" s="93"/>
      <c r="AV455" s="93"/>
      <c r="AW455" s="93"/>
      <c r="AX455" s="92"/>
      <c r="AY455" s="92"/>
      <c r="AZ455" s="90"/>
      <c r="BA455" s="83"/>
      <c r="BB455" s="92"/>
      <c r="BC455" s="92"/>
      <c r="BD455" s="92"/>
      <c r="BE455" s="93"/>
      <c r="BF455" s="92"/>
      <c r="BG455" s="82"/>
      <c r="BH455" s="82"/>
      <c r="BI455" s="29"/>
      <c r="BJ455" s="29"/>
      <c r="BK455" s="29"/>
    </row>
    <row r="456" ht="15.75" hidden="1" customHeight="1">
      <c r="A456" s="75"/>
      <c r="B456" s="73"/>
      <c r="C456" s="76"/>
      <c r="D456" s="76"/>
      <c r="E456" s="76"/>
      <c r="F456" s="77"/>
      <c r="G456" s="78"/>
      <c r="H456" s="76"/>
      <c r="I456" s="76"/>
      <c r="J456" s="79"/>
      <c r="K456" s="80"/>
      <c r="L456" s="81"/>
      <c r="M456" s="81"/>
      <c r="N456" s="82"/>
      <c r="O456" s="83"/>
      <c r="P456" s="84"/>
      <c r="Q456" s="84"/>
      <c r="R456" s="81"/>
      <c r="S456" s="85"/>
      <c r="T456" s="86"/>
      <c r="U456" s="86"/>
      <c r="V456" s="87"/>
      <c r="W456" s="87"/>
      <c r="X456" s="87"/>
      <c r="Y456" s="87"/>
      <c r="Z456" s="87"/>
      <c r="AA456" s="87"/>
      <c r="AB456" s="29"/>
      <c r="AC456" s="94"/>
      <c r="AD456" s="94"/>
      <c r="AE456" s="89"/>
      <c r="AF456" s="89"/>
      <c r="AG456" s="89"/>
      <c r="AH456" s="89"/>
      <c r="AI456" s="90"/>
      <c r="AJ456" s="90"/>
      <c r="AK456" s="90"/>
      <c r="AL456" s="90"/>
      <c r="AM456" s="91"/>
      <c r="AN456" s="91"/>
      <c r="AO456" s="92"/>
      <c r="AP456" s="92"/>
      <c r="AQ456" s="92"/>
      <c r="AR456" s="92"/>
      <c r="AS456" s="93"/>
      <c r="AT456" s="93"/>
      <c r="AU456" s="93"/>
      <c r="AV456" s="93"/>
      <c r="AW456" s="93"/>
      <c r="AX456" s="92"/>
      <c r="AY456" s="92"/>
      <c r="AZ456" s="90"/>
      <c r="BA456" s="83"/>
      <c r="BB456" s="92"/>
      <c r="BC456" s="92"/>
      <c r="BD456" s="92"/>
      <c r="BE456" s="93"/>
      <c r="BF456" s="92"/>
      <c r="BG456" s="82"/>
      <c r="BH456" s="82"/>
      <c r="BI456" s="29"/>
      <c r="BJ456" s="29"/>
      <c r="BK456" s="29"/>
    </row>
    <row r="457" ht="15.75" hidden="1" customHeight="1">
      <c r="A457" s="75"/>
      <c r="B457" s="73"/>
      <c r="C457" s="76"/>
      <c r="D457" s="76"/>
      <c r="E457" s="76"/>
      <c r="F457" s="77"/>
      <c r="G457" s="78"/>
      <c r="H457" s="76"/>
      <c r="I457" s="76"/>
      <c r="J457" s="79"/>
      <c r="K457" s="80"/>
      <c r="L457" s="81"/>
      <c r="M457" s="81"/>
      <c r="N457" s="82"/>
      <c r="O457" s="83"/>
      <c r="P457" s="84"/>
      <c r="Q457" s="84"/>
      <c r="R457" s="81"/>
      <c r="S457" s="85"/>
      <c r="T457" s="86"/>
      <c r="U457" s="86"/>
      <c r="V457" s="87"/>
      <c r="W457" s="87"/>
      <c r="X457" s="87"/>
      <c r="Y457" s="87"/>
      <c r="Z457" s="87"/>
      <c r="AA457" s="87"/>
      <c r="AB457" s="29"/>
      <c r="AC457" s="94"/>
      <c r="AD457" s="94"/>
      <c r="AE457" s="89"/>
      <c r="AF457" s="89"/>
      <c r="AG457" s="89"/>
      <c r="AH457" s="89"/>
      <c r="AI457" s="90"/>
      <c r="AJ457" s="90"/>
      <c r="AK457" s="90"/>
      <c r="AL457" s="90"/>
      <c r="AM457" s="91"/>
      <c r="AN457" s="91"/>
      <c r="AO457" s="92"/>
      <c r="AP457" s="92"/>
      <c r="AQ457" s="92"/>
      <c r="AR457" s="92"/>
      <c r="AS457" s="93"/>
      <c r="AT457" s="93"/>
      <c r="AU457" s="93"/>
      <c r="AV457" s="93"/>
      <c r="AW457" s="93"/>
      <c r="AX457" s="92"/>
      <c r="AY457" s="92"/>
      <c r="AZ457" s="90"/>
      <c r="BA457" s="83"/>
      <c r="BB457" s="92"/>
      <c r="BC457" s="92"/>
      <c r="BD457" s="92"/>
      <c r="BE457" s="93"/>
      <c r="BF457" s="92"/>
      <c r="BG457" s="82"/>
      <c r="BH457" s="82"/>
      <c r="BI457" s="29"/>
      <c r="BJ457" s="29"/>
      <c r="BK457" s="29"/>
    </row>
    <row r="458" ht="15.75" hidden="1" customHeight="1">
      <c r="A458" s="75"/>
      <c r="B458" s="73"/>
      <c r="C458" s="76"/>
      <c r="D458" s="76"/>
      <c r="E458" s="76"/>
      <c r="F458" s="77"/>
      <c r="G458" s="78"/>
      <c r="H458" s="76"/>
      <c r="I458" s="76"/>
      <c r="J458" s="79"/>
      <c r="K458" s="80"/>
      <c r="L458" s="81"/>
      <c r="M458" s="81"/>
      <c r="N458" s="82"/>
      <c r="O458" s="83"/>
      <c r="P458" s="84"/>
      <c r="Q458" s="84"/>
      <c r="R458" s="81"/>
      <c r="S458" s="85"/>
      <c r="T458" s="86"/>
      <c r="U458" s="86"/>
      <c r="V458" s="87"/>
      <c r="W458" s="87"/>
      <c r="X458" s="87"/>
      <c r="Y458" s="87"/>
      <c r="Z458" s="87"/>
      <c r="AA458" s="87"/>
      <c r="AB458" s="29"/>
      <c r="AC458" s="94"/>
      <c r="AD458" s="94"/>
      <c r="AE458" s="89"/>
      <c r="AF458" s="89"/>
      <c r="AG458" s="89"/>
      <c r="AH458" s="89"/>
      <c r="AI458" s="90"/>
      <c r="AJ458" s="90"/>
      <c r="AK458" s="90"/>
      <c r="AL458" s="90"/>
      <c r="AM458" s="91"/>
      <c r="AN458" s="91"/>
      <c r="AO458" s="92"/>
      <c r="AP458" s="92"/>
      <c r="AQ458" s="92"/>
      <c r="AR458" s="92"/>
      <c r="AS458" s="93"/>
      <c r="AT458" s="93"/>
      <c r="AU458" s="93"/>
      <c r="AV458" s="93"/>
      <c r="AW458" s="93"/>
      <c r="AX458" s="92"/>
      <c r="AY458" s="92"/>
      <c r="AZ458" s="90"/>
      <c r="BA458" s="83"/>
      <c r="BB458" s="92"/>
      <c r="BC458" s="92"/>
      <c r="BD458" s="92"/>
      <c r="BE458" s="93"/>
      <c r="BF458" s="92"/>
      <c r="BG458" s="82"/>
      <c r="BH458" s="82"/>
      <c r="BI458" s="29"/>
      <c r="BJ458" s="29"/>
      <c r="BK458" s="29"/>
    </row>
    <row r="459" ht="15.75" hidden="1" customHeight="1">
      <c r="A459" s="75"/>
      <c r="B459" s="73"/>
      <c r="C459" s="76"/>
      <c r="D459" s="76"/>
      <c r="E459" s="76"/>
      <c r="F459" s="77"/>
      <c r="G459" s="78"/>
      <c r="H459" s="76"/>
      <c r="I459" s="76"/>
      <c r="J459" s="79"/>
      <c r="K459" s="80"/>
      <c r="L459" s="81"/>
      <c r="M459" s="81"/>
      <c r="N459" s="82"/>
      <c r="O459" s="83"/>
      <c r="P459" s="84"/>
      <c r="Q459" s="84"/>
      <c r="R459" s="81"/>
      <c r="S459" s="85"/>
      <c r="T459" s="86"/>
      <c r="U459" s="86"/>
      <c r="V459" s="87"/>
      <c r="W459" s="87"/>
      <c r="X459" s="87"/>
      <c r="Y459" s="87"/>
      <c r="Z459" s="87"/>
      <c r="AA459" s="87"/>
      <c r="AB459" s="29"/>
      <c r="AC459" s="94"/>
      <c r="AD459" s="94"/>
      <c r="AE459" s="89"/>
      <c r="AF459" s="89"/>
      <c r="AG459" s="89"/>
      <c r="AH459" s="89"/>
      <c r="AI459" s="90"/>
      <c r="AJ459" s="90"/>
      <c r="AK459" s="90"/>
      <c r="AL459" s="90"/>
      <c r="AM459" s="91"/>
      <c r="AN459" s="91"/>
      <c r="AO459" s="92"/>
      <c r="AP459" s="92"/>
      <c r="AQ459" s="92"/>
      <c r="AR459" s="92"/>
      <c r="AS459" s="93"/>
      <c r="AT459" s="93"/>
      <c r="AU459" s="93"/>
      <c r="AV459" s="93"/>
      <c r="AW459" s="93"/>
      <c r="AX459" s="92"/>
      <c r="AY459" s="92"/>
      <c r="AZ459" s="90"/>
      <c r="BA459" s="83"/>
      <c r="BB459" s="92"/>
      <c r="BC459" s="92"/>
      <c r="BD459" s="92"/>
      <c r="BE459" s="93"/>
      <c r="BF459" s="92"/>
      <c r="BG459" s="82"/>
      <c r="BH459" s="82"/>
      <c r="BI459" s="29"/>
      <c r="BJ459" s="29"/>
      <c r="BK459" s="29"/>
    </row>
    <row r="460" ht="15.75" hidden="1" customHeight="1">
      <c r="A460" s="75"/>
      <c r="B460" s="73"/>
      <c r="C460" s="76"/>
      <c r="D460" s="76"/>
      <c r="E460" s="76"/>
      <c r="F460" s="77"/>
      <c r="G460" s="78"/>
      <c r="H460" s="76"/>
      <c r="I460" s="76"/>
      <c r="J460" s="79"/>
      <c r="K460" s="80"/>
      <c r="L460" s="81"/>
      <c r="M460" s="81"/>
      <c r="N460" s="82"/>
      <c r="O460" s="83"/>
      <c r="P460" s="84"/>
      <c r="Q460" s="84"/>
      <c r="R460" s="81"/>
      <c r="S460" s="85"/>
      <c r="T460" s="86"/>
      <c r="U460" s="86"/>
      <c r="V460" s="87"/>
      <c r="W460" s="87"/>
      <c r="X460" s="87"/>
      <c r="Y460" s="87"/>
      <c r="Z460" s="87"/>
      <c r="AA460" s="87"/>
      <c r="AB460" s="29"/>
      <c r="AC460" s="94"/>
      <c r="AD460" s="94"/>
      <c r="AE460" s="89"/>
      <c r="AF460" s="89"/>
      <c r="AG460" s="89"/>
      <c r="AH460" s="89"/>
      <c r="AI460" s="90"/>
      <c r="AJ460" s="90"/>
      <c r="AK460" s="90"/>
      <c r="AL460" s="90"/>
      <c r="AM460" s="91"/>
      <c r="AN460" s="91"/>
      <c r="AO460" s="92"/>
      <c r="AP460" s="92"/>
      <c r="AQ460" s="92"/>
      <c r="AR460" s="92"/>
      <c r="AS460" s="93"/>
      <c r="AT460" s="93"/>
      <c r="AU460" s="93"/>
      <c r="AV460" s="93"/>
      <c r="AW460" s="93"/>
      <c r="AX460" s="92"/>
      <c r="AY460" s="92"/>
      <c r="AZ460" s="90"/>
      <c r="BA460" s="83"/>
      <c r="BB460" s="92"/>
      <c r="BC460" s="92"/>
      <c r="BD460" s="92"/>
      <c r="BE460" s="93"/>
      <c r="BF460" s="92"/>
      <c r="BG460" s="82"/>
      <c r="BH460" s="82"/>
      <c r="BI460" s="29"/>
      <c r="BJ460" s="29"/>
      <c r="BK460" s="29"/>
    </row>
    <row r="461" ht="15.75" hidden="1" customHeight="1">
      <c r="A461" s="75"/>
      <c r="B461" s="73"/>
      <c r="C461" s="76"/>
      <c r="D461" s="76"/>
      <c r="E461" s="76"/>
      <c r="F461" s="77"/>
      <c r="G461" s="78"/>
      <c r="H461" s="76"/>
      <c r="I461" s="76"/>
      <c r="J461" s="79"/>
      <c r="K461" s="80"/>
      <c r="L461" s="81"/>
      <c r="M461" s="81"/>
      <c r="N461" s="82"/>
      <c r="O461" s="83"/>
      <c r="P461" s="84"/>
      <c r="Q461" s="84"/>
      <c r="R461" s="81"/>
      <c r="S461" s="85"/>
      <c r="T461" s="86"/>
      <c r="U461" s="86"/>
      <c r="V461" s="87"/>
      <c r="W461" s="87"/>
      <c r="X461" s="87"/>
      <c r="Y461" s="87"/>
      <c r="Z461" s="87"/>
      <c r="AA461" s="87"/>
      <c r="AB461" s="29"/>
      <c r="AC461" s="94"/>
      <c r="AD461" s="94"/>
      <c r="AE461" s="89"/>
      <c r="AF461" s="89"/>
      <c r="AG461" s="89"/>
      <c r="AH461" s="89"/>
      <c r="AI461" s="90"/>
      <c r="AJ461" s="90"/>
      <c r="AK461" s="90"/>
      <c r="AL461" s="90"/>
      <c r="AM461" s="91"/>
      <c r="AN461" s="91"/>
      <c r="AO461" s="92"/>
      <c r="AP461" s="92"/>
      <c r="AQ461" s="92"/>
      <c r="AR461" s="92"/>
      <c r="AS461" s="93"/>
      <c r="AT461" s="93"/>
      <c r="AU461" s="93"/>
      <c r="AV461" s="93"/>
      <c r="AW461" s="93"/>
      <c r="AX461" s="92"/>
      <c r="AY461" s="92"/>
      <c r="AZ461" s="90"/>
      <c r="BA461" s="83"/>
      <c r="BB461" s="92"/>
      <c r="BC461" s="92"/>
      <c r="BD461" s="92"/>
      <c r="BE461" s="93"/>
      <c r="BF461" s="92"/>
      <c r="BG461" s="82"/>
      <c r="BH461" s="82"/>
      <c r="BI461" s="29"/>
      <c r="BJ461" s="29"/>
      <c r="BK461" s="29"/>
    </row>
    <row r="462" ht="15.75" hidden="1" customHeight="1">
      <c r="A462" s="75"/>
      <c r="B462" s="73"/>
      <c r="C462" s="76"/>
      <c r="D462" s="76"/>
      <c r="E462" s="76"/>
      <c r="F462" s="77"/>
      <c r="G462" s="78"/>
      <c r="H462" s="76"/>
      <c r="I462" s="76"/>
      <c r="J462" s="79"/>
      <c r="K462" s="80"/>
      <c r="L462" s="81"/>
      <c r="M462" s="81"/>
      <c r="N462" s="82"/>
      <c r="O462" s="83"/>
      <c r="P462" s="84"/>
      <c r="Q462" s="84"/>
      <c r="R462" s="81"/>
      <c r="S462" s="85"/>
      <c r="T462" s="86"/>
      <c r="U462" s="86"/>
      <c r="V462" s="87"/>
      <c r="W462" s="87"/>
      <c r="X462" s="87"/>
      <c r="Y462" s="87"/>
      <c r="Z462" s="87"/>
      <c r="AA462" s="87"/>
      <c r="AB462" s="29"/>
      <c r="AC462" s="94"/>
      <c r="AD462" s="94"/>
      <c r="AE462" s="89"/>
      <c r="AF462" s="89"/>
      <c r="AG462" s="89"/>
      <c r="AH462" s="89"/>
      <c r="AI462" s="90"/>
      <c r="AJ462" s="90"/>
      <c r="AK462" s="90"/>
      <c r="AL462" s="90"/>
      <c r="AM462" s="91"/>
      <c r="AN462" s="91"/>
      <c r="AO462" s="92"/>
      <c r="AP462" s="92"/>
      <c r="AQ462" s="92"/>
      <c r="AR462" s="92"/>
      <c r="AS462" s="93"/>
      <c r="AT462" s="93"/>
      <c r="AU462" s="93"/>
      <c r="AV462" s="93"/>
      <c r="AW462" s="93"/>
      <c r="AX462" s="92"/>
      <c r="AY462" s="92"/>
      <c r="AZ462" s="90"/>
      <c r="BA462" s="83"/>
      <c r="BB462" s="92"/>
      <c r="BC462" s="92"/>
      <c r="BD462" s="92"/>
      <c r="BE462" s="93"/>
      <c r="BF462" s="92"/>
      <c r="BG462" s="82"/>
      <c r="BH462" s="82"/>
      <c r="BI462" s="29"/>
      <c r="BJ462" s="29"/>
      <c r="BK462" s="29"/>
    </row>
    <row r="463" ht="15.75" hidden="1" customHeight="1">
      <c r="A463" s="75"/>
      <c r="B463" s="73"/>
      <c r="C463" s="76"/>
      <c r="D463" s="76"/>
      <c r="E463" s="76"/>
      <c r="F463" s="77"/>
      <c r="G463" s="78"/>
      <c r="H463" s="76"/>
      <c r="I463" s="76"/>
      <c r="J463" s="79"/>
      <c r="K463" s="80"/>
      <c r="L463" s="81"/>
      <c r="M463" s="81"/>
      <c r="N463" s="82"/>
      <c r="O463" s="83"/>
      <c r="P463" s="84"/>
      <c r="Q463" s="84"/>
      <c r="R463" s="81"/>
      <c r="S463" s="85"/>
      <c r="T463" s="86"/>
      <c r="U463" s="86"/>
      <c r="V463" s="87"/>
      <c r="W463" s="87"/>
      <c r="X463" s="87"/>
      <c r="Y463" s="87"/>
      <c r="Z463" s="87"/>
      <c r="AA463" s="87"/>
      <c r="AB463" s="29"/>
      <c r="AC463" s="94"/>
      <c r="AD463" s="94"/>
      <c r="AE463" s="89"/>
      <c r="AF463" s="89"/>
      <c r="AG463" s="89"/>
      <c r="AH463" s="89"/>
      <c r="AI463" s="90"/>
      <c r="AJ463" s="90"/>
      <c r="AK463" s="90"/>
      <c r="AL463" s="90"/>
      <c r="AM463" s="91"/>
      <c r="AN463" s="91"/>
      <c r="AO463" s="92"/>
      <c r="AP463" s="92"/>
      <c r="AQ463" s="92"/>
      <c r="AR463" s="92"/>
      <c r="AS463" s="93"/>
      <c r="AT463" s="93"/>
      <c r="AU463" s="93"/>
      <c r="AV463" s="93"/>
      <c r="AW463" s="93"/>
      <c r="AX463" s="92"/>
      <c r="AY463" s="92"/>
      <c r="AZ463" s="90"/>
      <c r="BA463" s="83"/>
      <c r="BB463" s="92"/>
      <c r="BC463" s="92"/>
      <c r="BD463" s="92"/>
      <c r="BE463" s="93"/>
      <c r="BF463" s="92"/>
      <c r="BG463" s="82"/>
      <c r="BH463" s="82"/>
      <c r="BI463" s="29"/>
      <c r="BJ463" s="29"/>
      <c r="BK463" s="29"/>
    </row>
    <row r="464" ht="15.75" hidden="1" customHeight="1">
      <c r="A464" s="75"/>
      <c r="B464" s="73"/>
      <c r="C464" s="76"/>
      <c r="D464" s="76"/>
      <c r="E464" s="76"/>
      <c r="F464" s="77"/>
      <c r="G464" s="78"/>
      <c r="H464" s="76"/>
      <c r="I464" s="76"/>
      <c r="J464" s="79"/>
      <c r="K464" s="80"/>
      <c r="L464" s="81"/>
      <c r="M464" s="81"/>
      <c r="N464" s="82"/>
      <c r="O464" s="83"/>
      <c r="P464" s="84"/>
      <c r="Q464" s="84"/>
      <c r="R464" s="81"/>
      <c r="S464" s="85"/>
      <c r="T464" s="86"/>
      <c r="U464" s="86"/>
      <c r="V464" s="87"/>
      <c r="W464" s="87"/>
      <c r="X464" s="87"/>
      <c r="Y464" s="87"/>
      <c r="Z464" s="87"/>
      <c r="AA464" s="87"/>
      <c r="AB464" s="29"/>
      <c r="AC464" s="94"/>
      <c r="AD464" s="94"/>
      <c r="AE464" s="89"/>
      <c r="AF464" s="89"/>
      <c r="AG464" s="89"/>
      <c r="AH464" s="89"/>
      <c r="AI464" s="90"/>
      <c r="AJ464" s="90"/>
      <c r="AK464" s="90"/>
      <c r="AL464" s="90"/>
      <c r="AM464" s="91"/>
      <c r="AN464" s="91"/>
      <c r="AO464" s="92"/>
      <c r="AP464" s="92"/>
      <c r="AQ464" s="92"/>
      <c r="AR464" s="92"/>
      <c r="AS464" s="93"/>
      <c r="AT464" s="93"/>
      <c r="AU464" s="93"/>
      <c r="AV464" s="93"/>
      <c r="AW464" s="93"/>
      <c r="AX464" s="92"/>
      <c r="AY464" s="92"/>
      <c r="AZ464" s="90"/>
      <c r="BA464" s="83"/>
      <c r="BB464" s="92"/>
      <c r="BC464" s="92"/>
      <c r="BD464" s="92"/>
      <c r="BE464" s="93"/>
      <c r="BF464" s="92"/>
      <c r="BG464" s="82"/>
      <c r="BH464" s="82"/>
      <c r="BI464" s="29"/>
      <c r="BJ464" s="29"/>
      <c r="BK464" s="29"/>
    </row>
    <row r="465" ht="15.75" hidden="1" customHeight="1">
      <c r="A465" s="75"/>
      <c r="B465" s="73"/>
      <c r="C465" s="76"/>
      <c r="D465" s="76"/>
      <c r="E465" s="76"/>
      <c r="F465" s="77"/>
      <c r="G465" s="78"/>
      <c r="H465" s="76"/>
      <c r="I465" s="76"/>
      <c r="J465" s="79"/>
      <c r="K465" s="80"/>
      <c r="L465" s="81"/>
      <c r="M465" s="81"/>
      <c r="N465" s="82"/>
      <c r="O465" s="83"/>
      <c r="P465" s="84"/>
      <c r="Q465" s="84"/>
      <c r="R465" s="81"/>
      <c r="S465" s="85"/>
      <c r="T465" s="86"/>
      <c r="U465" s="86"/>
      <c r="V465" s="87"/>
      <c r="W465" s="87"/>
      <c r="X465" s="87"/>
      <c r="Y465" s="87"/>
      <c r="Z465" s="87"/>
      <c r="AA465" s="87"/>
      <c r="AB465" s="29"/>
      <c r="AC465" s="94"/>
      <c r="AD465" s="94"/>
      <c r="AE465" s="89"/>
      <c r="AF465" s="89"/>
      <c r="AG465" s="89"/>
      <c r="AH465" s="89"/>
      <c r="AI465" s="90"/>
      <c r="AJ465" s="90"/>
      <c r="AK465" s="90"/>
      <c r="AL465" s="90"/>
      <c r="AM465" s="91"/>
      <c r="AN465" s="91"/>
      <c r="AO465" s="92"/>
      <c r="AP465" s="92"/>
      <c r="AQ465" s="92"/>
      <c r="AR465" s="92"/>
      <c r="AS465" s="93"/>
      <c r="AT465" s="93"/>
      <c r="AU465" s="93"/>
      <c r="AV465" s="93"/>
      <c r="AW465" s="93"/>
      <c r="AX465" s="92"/>
      <c r="AY465" s="92"/>
      <c r="AZ465" s="90"/>
      <c r="BA465" s="83"/>
      <c r="BB465" s="92"/>
      <c r="BC465" s="92"/>
      <c r="BD465" s="92"/>
      <c r="BE465" s="93"/>
      <c r="BF465" s="92"/>
      <c r="BG465" s="82"/>
      <c r="BH465" s="82"/>
      <c r="BI465" s="29"/>
      <c r="BJ465" s="29"/>
      <c r="BK465" s="29"/>
    </row>
    <row r="466" ht="15.75" hidden="1" customHeight="1">
      <c r="A466" s="75"/>
      <c r="B466" s="73"/>
      <c r="C466" s="76"/>
      <c r="D466" s="76"/>
      <c r="E466" s="76"/>
      <c r="F466" s="77"/>
      <c r="G466" s="78"/>
      <c r="H466" s="76"/>
      <c r="I466" s="76"/>
      <c r="J466" s="79"/>
      <c r="K466" s="80"/>
      <c r="L466" s="81"/>
      <c r="M466" s="81"/>
      <c r="N466" s="82"/>
      <c r="O466" s="83"/>
      <c r="P466" s="84"/>
      <c r="Q466" s="84"/>
      <c r="R466" s="81"/>
      <c r="S466" s="85"/>
      <c r="T466" s="86"/>
      <c r="U466" s="86"/>
      <c r="V466" s="87"/>
      <c r="W466" s="87"/>
      <c r="X466" s="87"/>
      <c r="Y466" s="87"/>
      <c r="Z466" s="87"/>
      <c r="AA466" s="87"/>
      <c r="AB466" s="29"/>
      <c r="AC466" s="94"/>
      <c r="AD466" s="94"/>
      <c r="AE466" s="89"/>
      <c r="AF466" s="89"/>
      <c r="AG466" s="89"/>
      <c r="AH466" s="89"/>
      <c r="AI466" s="90"/>
      <c r="AJ466" s="90"/>
      <c r="AK466" s="90"/>
      <c r="AL466" s="90"/>
      <c r="AM466" s="91"/>
      <c r="AN466" s="91"/>
      <c r="AO466" s="92"/>
      <c r="AP466" s="92"/>
      <c r="AQ466" s="92"/>
      <c r="AR466" s="92"/>
      <c r="AS466" s="93"/>
      <c r="AT466" s="93"/>
      <c r="AU466" s="93"/>
      <c r="AV466" s="93"/>
      <c r="AW466" s="93"/>
      <c r="AX466" s="92"/>
      <c r="AY466" s="92"/>
      <c r="AZ466" s="90"/>
      <c r="BA466" s="83"/>
      <c r="BB466" s="92"/>
      <c r="BC466" s="92"/>
      <c r="BD466" s="92"/>
      <c r="BE466" s="93"/>
      <c r="BF466" s="92"/>
      <c r="BG466" s="82"/>
      <c r="BH466" s="82"/>
      <c r="BI466" s="29"/>
      <c r="BJ466" s="29"/>
      <c r="BK466" s="29"/>
    </row>
    <row r="467" ht="15.75" hidden="1" customHeight="1">
      <c r="A467" s="75"/>
      <c r="B467" s="73"/>
      <c r="C467" s="76"/>
      <c r="D467" s="76"/>
      <c r="E467" s="76"/>
      <c r="F467" s="77"/>
      <c r="G467" s="78"/>
      <c r="H467" s="76"/>
      <c r="I467" s="76"/>
      <c r="J467" s="79"/>
      <c r="K467" s="80"/>
      <c r="L467" s="81"/>
      <c r="M467" s="81"/>
      <c r="N467" s="82"/>
      <c r="O467" s="83"/>
      <c r="P467" s="84"/>
      <c r="Q467" s="84"/>
      <c r="R467" s="81"/>
      <c r="S467" s="85"/>
      <c r="T467" s="86"/>
      <c r="U467" s="86"/>
      <c r="V467" s="87"/>
      <c r="W467" s="87"/>
      <c r="X467" s="87"/>
      <c r="Y467" s="87"/>
      <c r="Z467" s="87"/>
      <c r="AA467" s="87"/>
      <c r="AB467" s="29"/>
      <c r="AC467" s="94"/>
      <c r="AD467" s="94"/>
      <c r="AE467" s="89"/>
      <c r="AF467" s="89"/>
      <c r="AG467" s="89"/>
      <c r="AH467" s="89"/>
      <c r="AI467" s="90"/>
      <c r="AJ467" s="90"/>
      <c r="AK467" s="90"/>
      <c r="AL467" s="90"/>
      <c r="AM467" s="91"/>
      <c r="AN467" s="91"/>
      <c r="AO467" s="92"/>
      <c r="AP467" s="92"/>
      <c r="AQ467" s="92"/>
      <c r="AR467" s="92"/>
      <c r="AS467" s="93"/>
      <c r="AT467" s="93"/>
      <c r="AU467" s="93"/>
      <c r="AV467" s="93"/>
      <c r="AW467" s="93"/>
      <c r="AX467" s="92"/>
      <c r="AY467" s="92"/>
      <c r="AZ467" s="90"/>
      <c r="BA467" s="83"/>
      <c r="BB467" s="92"/>
      <c r="BC467" s="92"/>
      <c r="BD467" s="92"/>
      <c r="BE467" s="93"/>
      <c r="BF467" s="92"/>
      <c r="BG467" s="82"/>
      <c r="BH467" s="82"/>
      <c r="BI467" s="29"/>
      <c r="BJ467" s="29"/>
      <c r="BK467" s="29"/>
    </row>
    <row r="468" ht="15.75" hidden="1" customHeight="1">
      <c r="A468" s="75"/>
      <c r="B468" s="73"/>
      <c r="C468" s="76"/>
      <c r="D468" s="76"/>
      <c r="E468" s="76"/>
      <c r="F468" s="77"/>
      <c r="G468" s="78"/>
      <c r="H468" s="76"/>
      <c r="I468" s="76"/>
      <c r="J468" s="79"/>
      <c r="K468" s="80"/>
      <c r="L468" s="81"/>
      <c r="M468" s="81"/>
      <c r="N468" s="82"/>
      <c r="O468" s="83"/>
      <c r="P468" s="84"/>
      <c r="Q468" s="84"/>
      <c r="R468" s="81"/>
      <c r="S468" s="85"/>
      <c r="T468" s="86"/>
      <c r="U468" s="86"/>
      <c r="V468" s="87"/>
      <c r="W468" s="87"/>
      <c r="X468" s="87"/>
      <c r="Y468" s="87"/>
      <c r="Z468" s="87"/>
      <c r="AA468" s="87"/>
      <c r="AB468" s="29"/>
      <c r="AC468" s="94"/>
      <c r="AD468" s="94"/>
      <c r="AE468" s="89"/>
      <c r="AF468" s="89"/>
      <c r="AG468" s="89"/>
      <c r="AH468" s="89"/>
      <c r="AI468" s="90"/>
      <c r="AJ468" s="90"/>
      <c r="AK468" s="90"/>
      <c r="AL468" s="90"/>
      <c r="AM468" s="91"/>
      <c r="AN468" s="91"/>
      <c r="AO468" s="92"/>
      <c r="AP468" s="92"/>
      <c r="AQ468" s="92"/>
      <c r="AR468" s="92"/>
      <c r="AS468" s="93"/>
      <c r="AT468" s="93"/>
      <c r="AU468" s="93"/>
      <c r="AV468" s="93"/>
      <c r="AW468" s="93"/>
      <c r="AX468" s="92"/>
      <c r="AY468" s="92"/>
      <c r="AZ468" s="90"/>
      <c r="BA468" s="83"/>
      <c r="BB468" s="92"/>
      <c r="BC468" s="92"/>
      <c r="BD468" s="92"/>
      <c r="BE468" s="93"/>
      <c r="BF468" s="92"/>
      <c r="BG468" s="82"/>
      <c r="BH468" s="82"/>
      <c r="BI468" s="29"/>
      <c r="BJ468" s="29"/>
      <c r="BK468" s="29"/>
    </row>
    <row r="469" ht="15.75" hidden="1" customHeight="1">
      <c r="A469" s="75"/>
      <c r="B469" s="73"/>
      <c r="C469" s="76"/>
      <c r="D469" s="76"/>
      <c r="E469" s="76"/>
      <c r="F469" s="77"/>
      <c r="G469" s="78"/>
      <c r="H469" s="76"/>
      <c r="I469" s="76"/>
      <c r="J469" s="79"/>
      <c r="K469" s="80"/>
      <c r="L469" s="81"/>
      <c r="M469" s="81"/>
      <c r="N469" s="82"/>
      <c r="O469" s="83"/>
      <c r="P469" s="84"/>
      <c r="Q469" s="84"/>
      <c r="R469" s="81"/>
      <c r="S469" s="85"/>
      <c r="T469" s="86"/>
      <c r="U469" s="86"/>
      <c r="V469" s="87"/>
      <c r="W469" s="87"/>
      <c r="X469" s="87"/>
      <c r="Y469" s="87"/>
      <c r="Z469" s="87"/>
      <c r="AA469" s="87"/>
      <c r="AB469" s="29"/>
      <c r="AC469" s="94"/>
      <c r="AD469" s="94"/>
      <c r="AE469" s="89"/>
      <c r="AF469" s="89"/>
      <c r="AG469" s="89"/>
      <c r="AH469" s="89"/>
      <c r="AI469" s="90"/>
      <c r="AJ469" s="90"/>
      <c r="AK469" s="90"/>
      <c r="AL469" s="90"/>
      <c r="AM469" s="91"/>
      <c r="AN469" s="91"/>
      <c r="AO469" s="92"/>
      <c r="AP469" s="92"/>
      <c r="AQ469" s="92"/>
      <c r="AR469" s="92"/>
      <c r="AS469" s="93"/>
      <c r="AT469" s="93"/>
      <c r="AU469" s="93"/>
      <c r="AV469" s="93"/>
      <c r="AW469" s="93"/>
      <c r="AX469" s="92"/>
      <c r="AY469" s="92"/>
      <c r="AZ469" s="90"/>
      <c r="BA469" s="83"/>
      <c r="BB469" s="92"/>
      <c r="BC469" s="92"/>
      <c r="BD469" s="92"/>
      <c r="BE469" s="93"/>
      <c r="BF469" s="92"/>
      <c r="BG469" s="82"/>
      <c r="BH469" s="82"/>
      <c r="BI469" s="29"/>
      <c r="BJ469" s="29"/>
      <c r="BK469" s="29"/>
    </row>
    <row r="470" ht="15.75" hidden="1" customHeight="1">
      <c r="A470" s="75"/>
      <c r="B470" s="73"/>
      <c r="C470" s="76"/>
      <c r="D470" s="76"/>
      <c r="E470" s="76"/>
      <c r="F470" s="77"/>
      <c r="G470" s="78"/>
      <c r="H470" s="76"/>
      <c r="I470" s="76"/>
      <c r="J470" s="79"/>
      <c r="K470" s="80"/>
      <c r="L470" s="81"/>
      <c r="M470" s="81"/>
      <c r="N470" s="82"/>
      <c r="O470" s="83"/>
      <c r="P470" s="84"/>
      <c r="Q470" s="84"/>
      <c r="R470" s="81"/>
      <c r="S470" s="85"/>
      <c r="T470" s="86"/>
      <c r="U470" s="86"/>
      <c r="V470" s="87"/>
      <c r="W470" s="87"/>
      <c r="X470" s="87"/>
      <c r="Y470" s="87"/>
      <c r="Z470" s="87"/>
      <c r="AA470" s="87"/>
      <c r="AB470" s="29"/>
      <c r="AC470" s="94"/>
      <c r="AD470" s="94"/>
      <c r="AE470" s="89"/>
      <c r="AF470" s="89"/>
      <c r="AG470" s="89"/>
      <c r="AH470" s="89"/>
      <c r="AI470" s="90"/>
      <c r="AJ470" s="90"/>
      <c r="AK470" s="90"/>
      <c r="AL470" s="90"/>
      <c r="AM470" s="91"/>
      <c r="AN470" s="91"/>
      <c r="AO470" s="92"/>
      <c r="AP470" s="92"/>
      <c r="AQ470" s="92"/>
      <c r="AR470" s="92"/>
      <c r="AS470" s="93"/>
      <c r="AT470" s="93"/>
      <c r="AU470" s="93"/>
      <c r="AV470" s="93"/>
      <c r="AW470" s="93"/>
      <c r="AX470" s="92"/>
      <c r="AY470" s="92"/>
      <c r="AZ470" s="90"/>
      <c r="BA470" s="83"/>
      <c r="BB470" s="92"/>
      <c r="BC470" s="92"/>
      <c r="BD470" s="92"/>
      <c r="BE470" s="93"/>
      <c r="BF470" s="92"/>
      <c r="BG470" s="82"/>
      <c r="BH470" s="82"/>
      <c r="BI470" s="29"/>
      <c r="BJ470" s="29"/>
      <c r="BK470" s="29"/>
    </row>
    <row r="471" ht="15.75" hidden="1" customHeight="1">
      <c r="A471" s="75"/>
      <c r="B471" s="73"/>
      <c r="C471" s="76"/>
      <c r="D471" s="76"/>
      <c r="E471" s="76"/>
      <c r="F471" s="77"/>
      <c r="G471" s="78"/>
      <c r="H471" s="76"/>
      <c r="I471" s="76"/>
      <c r="J471" s="79"/>
      <c r="K471" s="80"/>
      <c r="L471" s="81"/>
      <c r="M471" s="81"/>
      <c r="N471" s="82"/>
      <c r="O471" s="83"/>
      <c r="P471" s="84"/>
      <c r="Q471" s="84"/>
      <c r="R471" s="81"/>
      <c r="S471" s="85"/>
      <c r="T471" s="86"/>
      <c r="U471" s="86"/>
      <c r="V471" s="87"/>
      <c r="W471" s="87"/>
      <c r="X471" s="87"/>
      <c r="Y471" s="87"/>
      <c r="Z471" s="87"/>
      <c r="AA471" s="87"/>
      <c r="AB471" s="29"/>
      <c r="AC471" s="94"/>
      <c r="AD471" s="94"/>
      <c r="AE471" s="89"/>
      <c r="AF471" s="89"/>
      <c r="AG471" s="89"/>
      <c r="AH471" s="89"/>
      <c r="AI471" s="90"/>
      <c r="AJ471" s="90"/>
      <c r="AK471" s="90"/>
      <c r="AL471" s="90"/>
      <c r="AM471" s="91"/>
      <c r="AN471" s="91"/>
      <c r="AO471" s="92"/>
      <c r="AP471" s="92"/>
      <c r="AQ471" s="92"/>
      <c r="AR471" s="92"/>
      <c r="AS471" s="93"/>
      <c r="AT471" s="93"/>
      <c r="AU471" s="93"/>
      <c r="AV471" s="93"/>
      <c r="AW471" s="93"/>
      <c r="AX471" s="92"/>
      <c r="AY471" s="92"/>
      <c r="AZ471" s="90"/>
      <c r="BA471" s="83"/>
      <c r="BB471" s="92"/>
      <c r="BC471" s="92"/>
      <c r="BD471" s="92"/>
      <c r="BE471" s="93"/>
      <c r="BF471" s="92"/>
      <c r="BG471" s="82"/>
      <c r="BH471" s="82"/>
      <c r="BI471" s="29"/>
      <c r="BJ471" s="29"/>
      <c r="BK471" s="29"/>
    </row>
    <row r="472" ht="15.75" hidden="1" customHeight="1">
      <c r="A472" s="75"/>
      <c r="B472" s="73"/>
      <c r="C472" s="76"/>
      <c r="D472" s="76"/>
      <c r="E472" s="76"/>
      <c r="F472" s="77"/>
      <c r="G472" s="78"/>
      <c r="H472" s="76"/>
      <c r="I472" s="76"/>
      <c r="J472" s="79"/>
      <c r="K472" s="80"/>
      <c r="L472" s="81"/>
      <c r="M472" s="81"/>
      <c r="N472" s="82"/>
      <c r="O472" s="83"/>
      <c r="P472" s="84"/>
      <c r="Q472" s="84"/>
      <c r="R472" s="81"/>
      <c r="S472" s="85"/>
      <c r="T472" s="86"/>
      <c r="U472" s="86"/>
      <c r="V472" s="87"/>
      <c r="W472" s="87"/>
      <c r="X472" s="87"/>
      <c r="Y472" s="87"/>
      <c r="Z472" s="87"/>
      <c r="AA472" s="87"/>
      <c r="AB472" s="29"/>
      <c r="AC472" s="94"/>
      <c r="AD472" s="94"/>
      <c r="AE472" s="89"/>
      <c r="AF472" s="89"/>
      <c r="AG472" s="89"/>
      <c r="AH472" s="89"/>
      <c r="AI472" s="90"/>
      <c r="AJ472" s="90"/>
      <c r="AK472" s="90"/>
      <c r="AL472" s="90"/>
      <c r="AM472" s="91"/>
      <c r="AN472" s="91"/>
      <c r="AO472" s="92"/>
      <c r="AP472" s="92"/>
      <c r="AQ472" s="92"/>
      <c r="AR472" s="92"/>
      <c r="AS472" s="93"/>
      <c r="AT472" s="93"/>
      <c r="AU472" s="93"/>
      <c r="AV472" s="93"/>
      <c r="AW472" s="93"/>
      <c r="AX472" s="92"/>
      <c r="AY472" s="92"/>
      <c r="AZ472" s="90"/>
      <c r="BA472" s="83"/>
      <c r="BB472" s="92"/>
      <c r="BC472" s="92"/>
      <c r="BD472" s="92"/>
      <c r="BE472" s="93"/>
      <c r="BF472" s="92"/>
      <c r="BG472" s="82"/>
      <c r="BH472" s="82"/>
      <c r="BI472" s="29"/>
      <c r="BJ472" s="29"/>
      <c r="BK472" s="29"/>
    </row>
    <row r="473" ht="15.75" hidden="1" customHeight="1">
      <c r="A473" s="75"/>
      <c r="B473" s="73"/>
      <c r="C473" s="76"/>
      <c r="D473" s="76"/>
      <c r="E473" s="76"/>
      <c r="F473" s="77"/>
      <c r="G473" s="78"/>
      <c r="H473" s="76"/>
      <c r="I473" s="76"/>
      <c r="J473" s="79"/>
      <c r="K473" s="80"/>
      <c r="L473" s="81"/>
      <c r="M473" s="81"/>
      <c r="N473" s="82"/>
      <c r="O473" s="83"/>
      <c r="P473" s="84"/>
      <c r="Q473" s="84"/>
      <c r="R473" s="81"/>
      <c r="S473" s="85"/>
      <c r="T473" s="86"/>
      <c r="U473" s="86"/>
      <c r="V473" s="87"/>
      <c r="W473" s="87"/>
      <c r="X473" s="87"/>
      <c r="Y473" s="87"/>
      <c r="Z473" s="87"/>
      <c r="AA473" s="87"/>
      <c r="AB473" s="29"/>
      <c r="AC473" s="94"/>
      <c r="AD473" s="94"/>
      <c r="AE473" s="89"/>
      <c r="AF473" s="89"/>
      <c r="AG473" s="89"/>
      <c r="AH473" s="89"/>
      <c r="AI473" s="90"/>
      <c r="AJ473" s="90"/>
      <c r="AK473" s="90"/>
      <c r="AL473" s="90"/>
      <c r="AM473" s="91"/>
      <c r="AN473" s="91"/>
      <c r="AO473" s="92"/>
      <c r="AP473" s="92"/>
      <c r="AQ473" s="92"/>
      <c r="AR473" s="92"/>
      <c r="AS473" s="93"/>
      <c r="AT473" s="93"/>
      <c r="AU473" s="93"/>
      <c r="AV473" s="93"/>
      <c r="AW473" s="93"/>
      <c r="AX473" s="92"/>
      <c r="AY473" s="92"/>
      <c r="AZ473" s="90"/>
      <c r="BA473" s="83"/>
      <c r="BB473" s="92"/>
      <c r="BC473" s="92"/>
      <c r="BD473" s="92"/>
      <c r="BE473" s="93"/>
      <c r="BF473" s="92"/>
      <c r="BG473" s="82"/>
      <c r="BH473" s="82"/>
      <c r="BI473" s="29"/>
      <c r="BJ473" s="29"/>
      <c r="BK473" s="29"/>
    </row>
    <row r="474" ht="15.75" hidden="1" customHeight="1">
      <c r="A474" s="75"/>
      <c r="B474" s="73"/>
      <c r="C474" s="76"/>
      <c r="D474" s="76"/>
      <c r="E474" s="76"/>
      <c r="F474" s="77"/>
      <c r="G474" s="78"/>
      <c r="H474" s="76"/>
      <c r="I474" s="76"/>
      <c r="J474" s="79"/>
      <c r="K474" s="80"/>
      <c r="L474" s="81"/>
      <c r="M474" s="81"/>
      <c r="N474" s="82"/>
      <c r="O474" s="83"/>
      <c r="P474" s="84"/>
      <c r="Q474" s="84"/>
      <c r="R474" s="81"/>
      <c r="S474" s="85"/>
      <c r="T474" s="86"/>
      <c r="U474" s="86"/>
      <c r="V474" s="87"/>
      <c r="W474" s="87"/>
      <c r="X474" s="87"/>
      <c r="Y474" s="87"/>
      <c r="Z474" s="87"/>
      <c r="AA474" s="87"/>
      <c r="AB474" s="29"/>
      <c r="AC474" s="94"/>
      <c r="AD474" s="94"/>
      <c r="AE474" s="89"/>
      <c r="AF474" s="89"/>
      <c r="AG474" s="89"/>
      <c r="AH474" s="89"/>
      <c r="AI474" s="90"/>
      <c r="AJ474" s="90"/>
      <c r="AK474" s="90"/>
      <c r="AL474" s="90"/>
      <c r="AM474" s="91"/>
      <c r="AN474" s="91"/>
      <c r="AO474" s="92"/>
      <c r="AP474" s="92"/>
      <c r="AQ474" s="92"/>
      <c r="AR474" s="92"/>
      <c r="AS474" s="93"/>
      <c r="AT474" s="93"/>
      <c r="AU474" s="93"/>
      <c r="AV474" s="93"/>
      <c r="AW474" s="93"/>
      <c r="AX474" s="92"/>
      <c r="AY474" s="92"/>
      <c r="AZ474" s="90"/>
      <c r="BA474" s="83"/>
      <c r="BB474" s="92"/>
      <c r="BC474" s="92"/>
      <c r="BD474" s="92"/>
      <c r="BE474" s="93"/>
      <c r="BF474" s="92"/>
      <c r="BG474" s="82"/>
      <c r="BH474" s="82"/>
      <c r="BI474" s="29"/>
      <c r="BJ474" s="29"/>
      <c r="BK474" s="29"/>
    </row>
    <row r="475" ht="15.75" hidden="1" customHeight="1">
      <c r="A475" s="75"/>
      <c r="B475" s="73"/>
      <c r="C475" s="76"/>
      <c r="D475" s="76"/>
      <c r="E475" s="76"/>
      <c r="F475" s="77"/>
      <c r="G475" s="78"/>
      <c r="H475" s="76"/>
      <c r="I475" s="76"/>
      <c r="J475" s="79"/>
      <c r="K475" s="80"/>
      <c r="L475" s="81"/>
      <c r="M475" s="81"/>
      <c r="N475" s="82"/>
      <c r="O475" s="83"/>
      <c r="P475" s="84"/>
      <c r="Q475" s="84"/>
      <c r="R475" s="81"/>
      <c r="S475" s="85"/>
      <c r="T475" s="86"/>
      <c r="U475" s="86"/>
      <c r="V475" s="87"/>
      <c r="W475" s="87"/>
      <c r="X475" s="87"/>
      <c r="Y475" s="87"/>
      <c r="Z475" s="87"/>
      <c r="AA475" s="87"/>
      <c r="AB475" s="29"/>
      <c r="AC475" s="94"/>
      <c r="AD475" s="94"/>
      <c r="AE475" s="89"/>
      <c r="AF475" s="89"/>
      <c r="AG475" s="89"/>
      <c r="AH475" s="89"/>
      <c r="AI475" s="90"/>
      <c r="AJ475" s="90"/>
      <c r="AK475" s="90"/>
      <c r="AL475" s="90"/>
      <c r="AM475" s="91"/>
      <c r="AN475" s="91"/>
      <c r="AO475" s="92"/>
      <c r="AP475" s="92"/>
      <c r="AQ475" s="92"/>
      <c r="AR475" s="92"/>
      <c r="AS475" s="93"/>
      <c r="AT475" s="93"/>
      <c r="AU475" s="93"/>
      <c r="AV475" s="93"/>
      <c r="AW475" s="93"/>
      <c r="AX475" s="92"/>
      <c r="AY475" s="92"/>
      <c r="AZ475" s="90"/>
      <c r="BA475" s="83"/>
      <c r="BB475" s="92"/>
      <c r="BC475" s="92"/>
      <c r="BD475" s="92"/>
      <c r="BE475" s="93"/>
      <c r="BF475" s="92"/>
      <c r="BG475" s="82"/>
      <c r="BH475" s="82"/>
      <c r="BI475" s="29"/>
      <c r="BJ475" s="29"/>
      <c r="BK475" s="29"/>
    </row>
    <row r="476" ht="15.75" hidden="1" customHeight="1">
      <c r="A476" s="75"/>
      <c r="B476" s="73"/>
      <c r="C476" s="76"/>
      <c r="D476" s="76"/>
      <c r="E476" s="76"/>
      <c r="F476" s="77"/>
      <c r="G476" s="78"/>
      <c r="H476" s="76"/>
      <c r="I476" s="76"/>
      <c r="J476" s="79"/>
      <c r="K476" s="80"/>
      <c r="L476" s="81"/>
      <c r="M476" s="81"/>
      <c r="N476" s="82"/>
      <c r="O476" s="83"/>
      <c r="P476" s="84"/>
      <c r="Q476" s="84"/>
      <c r="R476" s="81"/>
      <c r="S476" s="85"/>
      <c r="T476" s="86"/>
      <c r="U476" s="86"/>
      <c r="V476" s="87"/>
      <c r="W476" s="87"/>
      <c r="X476" s="87"/>
      <c r="Y476" s="87"/>
      <c r="Z476" s="87"/>
      <c r="AA476" s="87"/>
      <c r="AB476" s="29"/>
      <c r="AC476" s="94"/>
      <c r="AD476" s="94"/>
      <c r="AE476" s="89"/>
      <c r="AF476" s="89"/>
      <c r="AG476" s="89"/>
      <c r="AH476" s="89"/>
      <c r="AI476" s="90"/>
      <c r="AJ476" s="90"/>
      <c r="AK476" s="90"/>
      <c r="AL476" s="90"/>
      <c r="AM476" s="91"/>
      <c r="AN476" s="91"/>
      <c r="AO476" s="92"/>
      <c r="AP476" s="92"/>
      <c r="AQ476" s="92"/>
      <c r="AR476" s="92"/>
      <c r="AS476" s="93"/>
      <c r="AT476" s="93"/>
      <c r="AU476" s="93"/>
      <c r="AV476" s="93"/>
      <c r="AW476" s="93"/>
      <c r="AX476" s="92"/>
      <c r="AY476" s="92"/>
      <c r="AZ476" s="90"/>
      <c r="BA476" s="83"/>
      <c r="BB476" s="92"/>
      <c r="BC476" s="92"/>
      <c r="BD476" s="92"/>
      <c r="BE476" s="93"/>
      <c r="BF476" s="92"/>
      <c r="BG476" s="82"/>
      <c r="BH476" s="82"/>
      <c r="BI476" s="29"/>
      <c r="BJ476" s="29"/>
      <c r="BK476" s="29"/>
    </row>
    <row r="477" ht="15.75" hidden="1" customHeight="1">
      <c r="A477" s="75"/>
      <c r="B477" s="73"/>
      <c r="C477" s="76"/>
      <c r="D477" s="76"/>
      <c r="E477" s="76"/>
      <c r="F477" s="77"/>
      <c r="G477" s="78"/>
      <c r="H477" s="76"/>
      <c r="I477" s="76"/>
      <c r="J477" s="79"/>
      <c r="K477" s="80"/>
      <c r="L477" s="81"/>
      <c r="M477" s="81"/>
      <c r="N477" s="82"/>
      <c r="O477" s="83"/>
      <c r="P477" s="84"/>
      <c r="Q477" s="84"/>
      <c r="R477" s="81"/>
      <c r="S477" s="85"/>
      <c r="T477" s="86"/>
      <c r="U477" s="86"/>
      <c r="V477" s="87"/>
      <c r="W477" s="87"/>
      <c r="X477" s="87"/>
      <c r="Y477" s="87"/>
      <c r="Z477" s="87"/>
      <c r="AA477" s="87"/>
      <c r="AB477" s="29"/>
      <c r="AC477" s="94"/>
      <c r="AD477" s="94"/>
      <c r="AE477" s="89"/>
      <c r="AF477" s="89"/>
      <c r="AG477" s="89"/>
      <c r="AH477" s="89"/>
      <c r="AI477" s="90"/>
      <c r="AJ477" s="90"/>
      <c r="AK477" s="90"/>
      <c r="AL477" s="90"/>
      <c r="AM477" s="91"/>
      <c r="AN477" s="91"/>
      <c r="AO477" s="92"/>
      <c r="AP477" s="92"/>
      <c r="AQ477" s="92"/>
      <c r="AR477" s="92"/>
      <c r="AS477" s="93"/>
      <c r="AT477" s="93"/>
      <c r="AU477" s="93"/>
      <c r="AV477" s="93"/>
      <c r="AW477" s="93"/>
      <c r="AX477" s="92"/>
      <c r="AY477" s="92"/>
      <c r="AZ477" s="90"/>
      <c r="BA477" s="83"/>
      <c r="BB477" s="92"/>
      <c r="BC477" s="92"/>
      <c r="BD477" s="92"/>
      <c r="BE477" s="93"/>
      <c r="BF477" s="92"/>
      <c r="BG477" s="82"/>
      <c r="BH477" s="82"/>
      <c r="BI477" s="29"/>
      <c r="BJ477" s="29"/>
      <c r="BK477" s="29"/>
    </row>
    <row r="478" ht="15.75" hidden="1" customHeight="1">
      <c r="A478" s="75"/>
      <c r="B478" s="73"/>
      <c r="C478" s="76"/>
      <c r="D478" s="76"/>
      <c r="E478" s="76"/>
      <c r="F478" s="77"/>
      <c r="G478" s="78"/>
      <c r="H478" s="76"/>
      <c r="I478" s="76"/>
      <c r="J478" s="79"/>
      <c r="K478" s="80"/>
      <c r="L478" s="81"/>
      <c r="M478" s="81"/>
      <c r="N478" s="82"/>
      <c r="O478" s="83"/>
      <c r="P478" s="84"/>
      <c r="Q478" s="84"/>
      <c r="R478" s="81"/>
      <c r="S478" s="85"/>
      <c r="T478" s="86"/>
      <c r="U478" s="86"/>
      <c r="V478" s="87"/>
      <c r="W478" s="87"/>
      <c r="X478" s="87"/>
      <c r="Y478" s="87"/>
      <c r="Z478" s="87"/>
      <c r="AA478" s="87"/>
      <c r="AB478" s="29"/>
      <c r="AC478" s="94"/>
      <c r="AD478" s="94"/>
      <c r="AE478" s="89"/>
      <c r="AF478" s="89"/>
      <c r="AG478" s="89"/>
      <c r="AH478" s="89"/>
      <c r="AI478" s="90"/>
      <c r="AJ478" s="90"/>
      <c r="AK478" s="90"/>
      <c r="AL478" s="90"/>
      <c r="AM478" s="91"/>
      <c r="AN478" s="91"/>
      <c r="AO478" s="92"/>
      <c r="AP478" s="92"/>
      <c r="AQ478" s="92"/>
      <c r="AR478" s="92"/>
      <c r="AS478" s="93"/>
      <c r="AT478" s="93"/>
      <c r="AU478" s="93"/>
      <c r="AV478" s="93"/>
      <c r="AW478" s="93"/>
      <c r="AX478" s="92"/>
      <c r="AY478" s="92"/>
      <c r="AZ478" s="90"/>
      <c r="BA478" s="83"/>
      <c r="BB478" s="92"/>
      <c r="BC478" s="92"/>
      <c r="BD478" s="92"/>
      <c r="BE478" s="93"/>
      <c r="BF478" s="92"/>
      <c r="BG478" s="82"/>
      <c r="BH478" s="82"/>
      <c r="BI478" s="29"/>
      <c r="BJ478" s="29"/>
      <c r="BK478" s="29"/>
    </row>
    <row r="479" ht="15.75" hidden="1" customHeight="1">
      <c r="A479" s="75"/>
      <c r="B479" s="73"/>
      <c r="C479" s="76"/>
      <c r="D479" s="76"/>
      <c r="E479" s="76"/>
      <c r="F479" s="77"/>
      <c r="G479" s="78"/>
      <c r="H479" s="76"/>
      <c r="I479" s="76"/>
      <c r="J479" s="79"/>
      <c r="K479" s="80"/>
      <c r="L479" s="81"/>
      <c r="M479" s="81"/>
      <c r="N479" s="82"/>
      <c r="O479" s="83"/>
      <c r="P479" s="84"/>
      <c r="Q479" s="84"/>
      <c r="R479" s="81"/>
      <c r="S479" s="85"/>
      <c r="T479" s="86"/>
      <c r="U479" s="86"/>
      <c r="V479" s="87"/>
      <c r="W479" s="87"/>
      <c r="X479" s="87"/>
      <c r="Y479" s="87"/>
      <c r="Z479" s="87"/>
      <c r="AA479" s="87"/>
      <c r="AB479" s="29"/>
      <c r="AC479" s="94"/>
      <c r="AD479" s="94"/>
      <c r="AE479" s="89"/>
      <c r="AF479" s="89"/>
      <c r="AG479" s="89"/>
      <c r="AH479" s="89"/>
      <c r="AI479" s="90"/>
      <c r="AJ479" s="90"/>
      <c r="AK479" s="90"/>
      <c r="AL479" s="90"/>
      <c r="AM479" s="91"/>
      <c r="AN479" s="91"/>
      <c r="AO479" s="92"/>
      <c r="AP479" s="92"/>
      <c r="AQ479" s="92"/>
      <c r="AR479" s="92"/>
      <c r="AS479" s="93"/>
      <c r="AT479" s="93"/>
      <c r="AU479" s="93"/>
      <c r="AV479" s="93"/>
      <c r="AW479" s="93"/>
      <c r="AX479" s="92"/>
      <c r="AY479" s="92"/>
      <c r="AZ479" s="90"/>
      <c r="BA479" s="83"/>
      <c r="BB479" s="92"/>
      <c r="BC479" s="92"/>
      <c r="BD479" s="92"/>
      <c r="BE479" s="93"/>
      <c r="BF479" s="92"/>
      <c r="BG479" s="82"/>
      <c r="BH479" s="82"/>
      <c r="BI479" s="29"/>
      <c r="BJ479" s="29"/>
      <c r="BK479" s="29"/>
    </row>
    <row r="480" ht="15.75" hidden="1" customHeight="1">
      <c r="A480" s="75"/>
      <c r="B480" s="73"/>
      <c r="C480" s="76"/>
      <c r="D480" s="76"/>
      <c r="E480" s="76"/>
      <c r="F480" s="77"/>
      <c r="G480" s="78"/>
      <c r="H480" s="76"/>
      <c r="I480" s="76"/>
      <c r="J480" s="79"/>
      <c r="K480" s="80"/>
      <c r="L480" s="81"/>
      <c r="M480" s="81"/>
      <c r="N480" s="82"/>
      <c r="O480" s="83"/>
      <c r="P480" s="84"/>
      <c r="Q480" s="84"/>
      <c r="R480" s="81"/>
      <c r="S480" s="85"/>
      <c r="T480" s="86"/>
      <c r="U480" s="86"/>
      <c r="V480" s="87"/>
      <c r="W480" s="87"/>
      <c r="X480" s="87"/>
      <c r="Y480" s="87"/>
      <c r="Z480" s="87"/>
      <c r="AA480" s="87"/>
      <c r="AB480" s="29"/>
      <c r="AC480" s="94"/>
      <c r="AD480" s="94"/>
      <c r="AE480" s="89"/>
      <c r="AF480" s="89"/>
      <c r="AG480" s="89"/>
      <c r="AH480" s="89"/>
      <c r="AI480" s="90"/>
      <c r="AJ480" s="90"/>
      <c r="AK480" s="90"/>
      <c r="AL480" s="90"/>
      <c r="AM480" s="91"/>
      <c r="AN480" s="91"/>
      <c r="AO480" s="92"/>
      <c r="AP480" s="92"/>
      <c r="AQ480" s="92"/>
      <c r="AR480" s="92"/>
      <c r="AS480" s="93"/>
      <c r="AT480" s="93"/>
      <c r="AU480" s="93"/>
      <c r="AV480" s="93"/>
      <c r="AW480" s="93"/>
      <c r="AX480" s="92"/>
      <c r="AY480" s="92"/>
      <c r="AZ480" s="90"/>
      <c r="BA480" s="83"/>
      <c r="BB480" s="92"/>
      <c r="BC480" s="92"/>
      <c r="BD480" s="92"/>
      <c r="BE480" s="93"/>
      <c r="BF480" s="92"/>
      <c r="BG480" s="82"/>
      <c r="BH480" s="82"/>
      <c r="BI480" s="29"/>
      <c r="BJ480" s="29"/>
      <c r="BK480" s="29"/>
    </row>
    <row r="481" ht="15.75" hidden="1" customHeight="1">
      <c r="A481" s="75"/>
      <c r="B481" s="73"/>
      <c r="C481" s="76"/>
      <c r="D481" s="76"/>
      <c r="E481" s="76"/>
      <c r="F481" s="77"/>
      <c r="G481" s="78"/>
      <c r="H481" s="76"/>
      <c r="I481" s="76"/>
      <c r="J481" s="79"/>
      <c r="K481" s="80"/>
      <c r="L481" s="81"/>
      <c r="M481" s="81"/>
      <c r="N481" s="82"/>
      <c r="O481" s="83"/>
      <c r="P481" s="84"/>
      <c r="Q481" s="84"/>
      <c r="R481" s="81"/>
      <c r="S481" s="85"/>
      <c r="T481" s="86"/>
      <c r="U481" s="86"/>
      <c r="V481" s="87"/>
      <c r="W481" s="87"/>
      <c r="X481" s="87"/>
      <c r="Y481" s="87"/>
      <c r="Z481" s="87"/>
      <c r="AA481" s="87"/>
      <c r="AB481" s="29"/>
      <c r="AC481" s="94"/>
      <c r="AD481" s="94"/>
      <c r="AE481" s="89"/>
      <c r="AF481" s="89"/>
      <c r="AG481" s="89"/>
      <c r="AH481" s="89"/>
      <c r="AI481" s="90"/>
      <c r="AJ481" s="90"/>
      <c r="AK481" s="90"/>
      <c r="AL481" s="90"/>
      <c r="AM481" s="91"/>
      <c r="AN481" s="91"/>
      <c r="AO481" s="92"/>
      <c r="AP481" s="92"/>
      <c r="AQ481" s="92"/>
      <c r="AR481" s="92"/>
      <c r="AS481" s="93"/>
      <c r="AT481" s="93"/>
      <c r="AU481" s="93"/>
      <c r="AV481" s="93"/>
      <c r="AW481" s="93"/>
      <c r="AX481" s="92"/>
      <c r="AY481" s="92"/>
      <c r="AZ481" s="90"/>
      <c r="BA481" s="83"/>
      <c r="BB481" s="92"/>
      <c r="BC481" s="92"/>
      <c r="BD481" s="92"/>
      <c r="BE481" s="93"/>
      <c r="BF481" s="92"/>
      <c r="BG481" s="82"/>
      <c r="BH481" s="82"/>
      <c r="BI481" s="29"/>
      <c r="BJ481" s="29"/>
      <c r="BK481" s="29"/>
    </row>
    <row r="482" ht="15.75" hidden="1" customHeight="1">
      <c r="A482" s="75"/>
      <c r="B482" s="73"/>
      <c r="C482" s="76"/>
      <c r="D482" s="76"/>
      <c r="E482" s="76"/>
      <c r="F482" s="77"/>
      <c r="G482" s="78"/>
      <c r="H482" s="76"/>
      <c r="I482" s="76"/>
      <c r="J482" s="79"/>
      <c r="K482" s="80"/>
      <c r="L482" s="81"/>
      <c r="M482" s="81"/>
      <c r="N482" s="82"/>
      <c r="O482" s="83"/>
      <c r="P482" s="84"/>
      <c r="Q482" s="84"/>
      <c r="R482" s="81"/>
      <c r="S482" s="85"/>
      <c r="T482" s="86"/>
      <c r="U482" s="86"/>
      <c r="V482" s="87"/>
      <c r="W482" s="87"/>
      <c r="X482" s="87"/>
      <c r="Y482" s="87"/>
      <c r="Z482" s="87"/>
      <c r="AA482" s="87"/>
      <c r="AB482" s="29"/>
      <c r="AC482" s="94"/>
      <c r="AD482" s="94"/>
      <c r="AE482" s="89"/>
      <c r="AF482" s="89"/>
      <c r="AG482" s="89"/>
      <c r="AH482" s="89"/>
      <c r="AI482" s="90"/>
      <c r="AJ482" s="90"/>
      <c r="AK482" s="90"/>
      <c r="AL482" s="90"/>
      <c r="AM482" s="91"/>
      <c r="AN482" s="91"/>
      <c r="AO482" s="92"/>
      <c r="AP482" s="92"/>
      <c r="AQ482" s="92"/>
      <c r="AR482" s="92"/>
      <c r="AS482" s="93"/>
      <c r="AT482" s="93"/>
      <c r="AU482" s="93"/>
      <c r="AV482" s="93"/>
      <c r="AW482" s="93"/>
      <c r="AX482" s="92"/>
      <c r="AY482" s="92"/>
      <c r="AZ482" s="90"/>
      <c r="BA482" s="83"/>
      <c r="BB482" s="92"/>
      <c r="BC482" s="92"/>
      <c r="BD482" s="92"/>
      <c r="BE482" s="93"/>
      <c r="BF482" s="92"/>
      <c r="BG482" s="82"/>
      <c r="BH482" s="82"/>
      <c r="BI482" s="29"/>
      <c r="BJ482" s="29"/>
      <c r="BK482" s="29"/>
    </row>
    <row r="483" ht="15.75" hidden="1" customHeight="1">
      <c r="A483" s="75"/>
      <c r="B483" s="73"/>
      <c r="C483" s="76"/>
      <c r="D483" s="76"/>
      <c r="E483" s="76"/>
      <c r="F483" s="77"/>
      <c r="G483" s="78"/>
      <c r="H483" s="76"/>
      <c r="I483" s="76"/>
      <c r="J483" s="79"/>
      <c r="K483" s="80"/>
      <c r="L483" s="81"/>
      <c r="M483" s="81"/>
      <c r="N483" s="82"/>
      <c r="O483" s="83"/>
      <c r="P483" s="84"/>
      <c r="Q483" s="84"/>
      <c r="R483" s="81"/>
      <c r="S483" s="85"/>
      <c r="T483" s="86"/>
      <c r="U483" s="86"/>
      <c r="V483" s="87"/>
      <c r="W483" s="87"/>
      <c r="X483" s="87"/>
      <c r="Y483" s="87"/>
      <c r="Z483" s="87"/>
      <c r="AA483" s="87"/>
      <c r="AB483" s="29"/>
      <c r="AC483" s="94"/>
      <c r="AD483" s="94"/>
      <c r="AE483" s="89"/>
      <c r="AF483" s="89"/>
      <c r="AG483" s="89"/>
      <c r="AH483" s="89"/>
      <c r="AI483" s="90"/>
      <c r="AJ483" s="90"/>
      <c r="AK483" s="90"/>
      <c r="AL483" s="90"/>
      <c r="AM483" s="91"/>
      <c r="AN483" s="91"/>
      <c r="AO483" s="92"/>
      <c r="AP483" s="92"/>
      <c r="AQ483" s="92"/>
      <c r="AR483" s="92"/>
      <c r="AS483" s="93"/>
      <c r="AT483" s="93"/>
      <c r="AU483" s="93"/>
      <c r="AV483" s="93"/>
      <c r="AW483" s="93"/>
      <c r="AX483" s="92"/>
      <c r="AY483" s="92"/>
      <c r="AZ483" s="90"/>
      <c r="BA483" s="83"/>
      <c r="BB483" s="92"/>
      <c r="BC483" s="92"/>
      <c r="BD483" s="92"/>
      <c r="BE483" s="93"/>
      <c r="BF483" s="92"/>
      <c r="BG483" s="82"/>
      <c r="BH483" s="82"/>
      <c r="BI483" s="29"/>
      <c r="BJ483" s="29"/>
      <c r="BK483" s="29"/>
    </row>
    <row r="484" ht="15.75" hidden="1" customHeight="1">
      <c r="A484" s="75"/>
      <c r="B484" s="73"/>
      <c r="C484" s="76"/>
      <c r="D484" s="76"/>
      <c r="E484" s="76"/>
      <c r="F484" s="77"/>
      <c r="G484" s="78"/>
      <c r="H484" s="76"/>
      <c r="I484" s="76"/>
      <c r="J484" s="79"/>
      <c r="K484" s="80"/>
      <c r="L484" s="81"/>
      <c r="M484" s="81"/>
      <c r="N484" s="82"/>
      <c r="O484" s="83"/>
      <c r="P484" s="84"/>
      <c r="Q484" s="84"/>
      <c r="R484" s="81"/>
      <c r="S484" s="85"/>
      <c r="T484" s="86"/>
      <c r="U484" s="86"/>
      <c r="V484" s="87"/>
      <c r="W484" s="87"/>
      <c r="X484" s="87"/>
      <c r="Y484" s="87"/>
      <c r="Z484" s="87"/>
      <c r="AA484" s="87"/>
      <c r="AB484" s="29"/>
      <c r="AC484" s="94"/>
      <c r="AD484" s="94"/>
      <c r="AE484" s="89"/>
      <c r="AF484" s="89"/>
      <c r="AG484" s="89"/>
      <c r="AH484" s="89"/>
      <c r="AI484" s="90"/>
      <c r="AJ484" s="90"/>
      <c r="AK484" s="90"/>
      <c r="AL484" s="90"/>
      <c r="AM484" s="91"/>
      <c r="AN484" s="91"/>
      <c r="AO484" s="92"/>
      <c r="AP484" s="92"/>
      <c r="AQ484" s="92"/>
      <c r="AR484" s="92"/>
      <c r="AS484" s="93"/>
      <c r="AT484" s="93"/>
      <c r="AU484" s="93"/>
      <c r="AV484" s="93"/>
      <c r="AW484" s="93"/>
      <c r="AX484" s="92"/>
      <c r="AY484" s="92"/>
      <c r="AZ484" s="90"/>
      <c r="BA484" s="83"/>
      <c r="BB484" s="92"/>
      <c r="BC484" s="92"/>
      <c r="BD484" s="92"/>
      <c r="BE484" s="93"/>
      <c r="BF484" s="92"/>
      <c r="BG484" s="82"/>
      <c r="BH484" s="82"/>
      <c r="BI484" s="29"/>
      <c r="BJ484" s="29"/>
      <c r="BK484" s="29"/>
    </row>
    <row r="485" ht="15.75" hidden="1" customHeight="1">
      <c r="A485" s="75"/>
      <c r="B485" s="73"/>
      <c r="C485" s="76"/>
      <c r="D485" s="76"/>
      <c r="E485" s="76"/>
      <c r="F485" s="77"/>
      <c r="G485" s="78"/>
      <c r="H485" s="76"/>
      <c r="I485" s="76"/>
      <c r="J485" s="79"/>
      <c r="K485" s="80"/>
      <c r="L485" s="81"/>
      <c r="M485" s="81"/>
      <c r="N485" s="82"/>
      <c r="O485" s="83"/>
      <c r="P485" s="84"/>
      <c r="Q485" s="84"/>
      <c r="R485" s="81"/>
      <c r="S485" s="85"/>
      <c r="T485" s="86"/>
      <c r="U485" s="86"/>
      <c r="V485" s="87"/>
      <c r="W485" s="87"/>
      <c r="X485" s="87"/>
      <c r="Y485" s="87"/>
      <c r="Z485" s="87"/>
      <c r="AA485" s="87"/>
      <c r="AB485" s="29"/>
      <c r="AC485" s="94"/>
      <c r="AD485" s="94"/>
      <c r="AE485" s="89"/>
      <c r="AF485" s="89"/>
      <c r="AG485" s="89"/>
      <c r="AH485" s="89"/>
      <c r="AI485" s="90"/>
      <c r="AJ485" s="90"/>
      <c r="AK485" s="90"/>
      <c r="AL485" s="90"/>
      <c r="AM485" s="91"/>
      <c r="AN485" s="91"/>
      <c r="AO485" s="92"/>
      <c r="AP485" s="92"/>
      <c r="AQ485" s="92"/>
      <c r="AR485" s="92"/>
      <c r="AS485" s="93"/>
      <c r="AT485" s="93"/>
      <c r="AU485" s="93"/>
      <c r="AV485" s="93"/>
      <c r="AW485" s="93"/>
      <c r="AX485" s="92"/>
      <c r="AY485" s="92"/>
      <c r="AZ485" s="90"/>
      <c r="BA485" s="83"/>
      <c r="BB485" s="92"/>
      <c r="BC485" s="92"/>
      <c r="BD485" s="92"/>
      <c r="BE485" s="93"/>
      <c r="BF485" s="92"/>
      <c r="BG485" s="82"/>
      <c r="BH485" s="82"/>
      <c r="BI485" s="29"/>
      <c r="BJ485" s="29"/>
      <c r="BK485" s="29"/>
    </row>
    <row r="486" ht="15.75" hidden="1" customHeight="1">
      <c r="A486" s="75"/>
      <c r="B486" s="73"/>
      <c r="C486" s="76"/>
      <c r="D486" s="76"/>
      <c r="E486" s="76"/>
      <c r="F486" s="77"/>
      <c r="G486" s="78"/>
      <c r="H486" s="76"/>
      <c r="I486" s="76"/>
      <c r="J486" s="79"/>
      <c r="K486" s="80"/>
      <c r="L486" s="81"/>
      <c r="M486" s="81"/>
      <c r="N486" s="82"/>
      <c r="O486" s="83"/>
      <c r="P486" s="84"/>
      <c r="Q486" s="84"/>
      <c r="R486" s="81"/>
      <c r="S486" s="85"/>
      <c r="T486" s="86"/>
      <c r="U486" s="86"/>
      <c r="V486" s="87"/>
      <c r="W486" s="87"/>
      <c r="X486" s="87"/>
      <c r="Y486" s="87"/>
      <c r="Z486" s="87"/>
      <c r="AA486" s="87"/>
      <c r="AB486" s="29"/>
      <c r="AC486" s="94"/>
      <c r="AD486" s="94"/>
      <c r="AE486" s="89"/>
      <c r="AF486" s="89"/>
      <c r="AG486" s="89"/>
      <c r="AH486" s="89"/>
      <c r="AI486" s="90"/>
      <c r="AJ486" s="90"/>
      <c r="AK486" s="90"/>
      <c r="AL486" s="90"/>
      <c r="AM486" s="91"/>
      <c r="AN486" s="91"/>
      <c r="AO486" s="92"/>
      <c r="AP486" s="92"/>
      <c r="AQ486" s="92"/>
      <c r="AR486" s="92"/>
      <c r="AS486" s="93"/>
      <c r="AT486" s="93"/>
      <c r="AU486" s="93"/>
      <c r="AV486" s="93"/>
      <c r="AW486" s="93"/>
      <c r="AX486" s="92"/>
      <c r="AY486" s="92"/>
      <c r="AZ486" s="90"/>
      <c r="BA486" s="83"/>
      <c r="BB486" s="92"/>
      <c r="BC486" s="92"/>
      <c r="BD486" s="92"/>
      <c r="BE486" s="93"/>
      <c r="BF486" s="92"/>
      <c r="BG486" s="82"/>
      <c r="BH486" s="82"/>
      <c r="BI486" s="29"/>
      <c r="BJ486" s="29"/>
      <c r="BK486" s="29"/>
    </row>
    <row r="487" ht="15.75" hidden="1" customHeight="1">
      <c r="A487" s="75"/>
      <c r="B487" s="73"/>
      <c r="C487" s="76"/>
      <c r="D487" s="76"/>
      <c r="E487" s="76"/>
      <c r="F487" s="77"/>
      <c r="G487" s="78"/>
      <c r="H487" s="76"/>
      <c r="I487" s="76"/>
      <c r="J487" s="79"/>
      <c r="K487" s="80"/>
      <c r="L487" s="81"/>
      <c r="M487" s="81"/>
      <c r="N487" s="82"/>
      <c r="O487" s="83"/>
      <c r="P487" s="84"/>
      <c r="Q487" s="84"/>
      <c r="R487" s="81"/>
      <c r="S487" s="85"/>
      <c r="T487" s="86"/>
      <c r="U487" s="86"/>
      <c r="V487" s="87"/>
      <c r="W487" s="87"/>
      <c r="X487" s="87"/>
      <c r="Y487" s="87"/>
      <c r="Z487" s="87"/>
      <c r="AA487" s="87"/>
      <c r="AB487" s="29"/>
      <c r="AC487" s="94"/>
      <c r="AD487" s="94"/>
      <c r="AE487" s="89"/>
      <c r="AF487" s="89"/>
      <c r="AG487" s="89"/>
      <c r="AH487" s="89"/>
      <c r="AI487" s="90"/>
      <c r="AJ487" s="90"/>
      <c r="AK487" s="90"/>
      <c r="AL487" s="90"/>
      <c r="AM487" s="91"/>
      <c r="AN487" s="91"/>
      <c r="AO487" s="92"/>
      <c r="AP487" s="92"/>
      <c r="AQ487" s="92"/>
      <c r="AR487" s="92"/>
      <c r="AS487" s="93"/>
      <c r="AT487" s="93"/>
      <c r="AU487" s="93"/>
      <c r="AV487" s="93"/>
      <c r="AW487" s="93"/>
      <c r="AX487" s="92"/>
      <c r="AY487" s="92"/>
      <c r="AZ487" s="90"/>
      <c r="BA487" s="83"/>
      <c r="BB487" s="92"/>
      <c r="BC487" s="92"/>
      <c r="BD487" s="92"/>
      <c r="BE487" s="93"/>
      <c r="BF487" s="92"/>
      <c r="BG487" s="82"/>
      <c r="BH487" s="82"/>
      <c r="BI487" s="29"/>
      <c r="BJ487" s="29"/>
      <c r="BK487" s="29"/>
    </row>
    <row r="488" ht="15.75" hidden="1" customHeight="1">
      <c r="A488" s="75"/>
      <c r="B488" s="73"/>
      <c r="C488" s="76"/>
      <c r="D488" s="76"/>
      <c r="E488" s="76"/>
      <c r="F488" s="77"/>
      <c r="G488" s="78"/>
      <c r="H488" s="76"/>
      <c r="I488" s="76"/>
      <c r="J488" s="79"/>
      <c r="K488" s="80"/>
      <c r="L488" s="81"/>
      <c r="M488" s="81"/>
      <c r="N488" s="82"/>
      <c r="O488" s="83"/>
      <c r="P488" s="84"/>
      <c r="Q488" s="84"/>
      <c r="R488" s="81"/>
      <c r="S488" s="85"/>
      <c r="T488" s="86"/>
      <c r="U488" s="86"/>
      <c r="V488" s="87"/>
      <c r="W488" s="87"/>
      <c r="X488" s="87"/>
      <c r="Y488" s="87"/>
      <c r="Z488" s="87"/>
      <c r="AA488" s="87"/>
      <c r="AB488" s="29"/>
      <c r="AC488" s="94"/>
      <c r="AD488" s="94"/>
      <c r="AE488" s="89"/>
      <c r="AF488" s="89"/>
      <c r="AG488" s="89"/>
      <c r="AH488" s="89"/>
      <c r="AI488" s="90"/>
      <c r="AJ488" s="90"/>
      <c r="AK488" s="90"/>
      <c r="AL488" s="90"/>
      <c r="AM488" s="91"/>
      <c r="AN488" s="91"/>
      <c r="AO488" s="92"/>
      <c r="AP488" s="92"/>
      <c r="AQ488" s="92"/>
      <c r="AR488" s="92"/>
      <c r="AS488" s="93"/>
      <c r="AT488" s="93"/>
      <c r="AU488" s="93"/>
      <c r="AV488" s="93"/>
      <c r="AW488" s="93"/>
      <c r="AX488" s="92"/>
      <c r="AY488" s="92"/>
      <c r="AZ488" s="90"/>
      <c r="BA488" s="83"/>
      <c r="BB488" s="92"/>
      <c r="BC488" s="92"/>
      <c r="BD488" s="92"/>
      <c r="BE488" s="93"/>
      <c r="BF488" s="92"/>
      <c r="BG488" s="82"/>
      <c r="BH488" s="82"/>
      <c r="BI488" s="29"/>
      <c r="BJ488" s="29"/>
      <c r="BK488" s="29"/>
    </row>
    <row r="489" ht="15.75" hidden="1" customHeight="1">
      <c r="A489" s="75"/>
      <c r="B489" s="73"/>
      <c r="C489" s="76"/>
      <c r="D489" s="76"/>
      <c r="E489" s="76"/>
      <c r="F489" s="77"/>
      <c r="G489" s="78"/>
      <c r="H489" s="76"/>
      <c r="I489" s="76"/>
      <c r="J489" s="79"/>
      <c r="K489" s="80"/>
      <c r="L489" s="81"/>
      <c r="M489" s="81"/>
      <c r="N489" s="82"/>
      <c r="O489" s="83"/>
      <c r="P489" s="84"/>
      <c r="Q489" s="84"/>
      <c r="R489" s="81"/>
      <c r="S489" s="85"/>
      <c r="T489" s="86"/>
      <c r="U489" s="86"/>
      <c r="V489" s="87"/>
      <c r="W489" s="87"/>
      <c r="X489" s="87"/>
      <c r="Y489" s="87"/>
      <c r="Z489" s="87"/>
      <c r="AA489" s="87"/>
      <c r="AB489" s="29"/>
      <c r="AC489" s="94"/>
      <c r="AD489" s="94"/>
      <c r="AE489" s="89"/>
      <c r="AF489" s="89"/>
      <c r="AG489" s="89"/>
      <c r="AH489" s="89"/>
      <c r="AI489" s="90"/>
      <c r="AJ489" s="90"/>
      <c r="AK489" s="90"/>
      <c r="AL489" s="90"/>
      <c r="AM489" s="91"/>
      <c r="AN489" s="91"/>
      <c r="AO489" s="92"/>
      <c r="AP489" s="92"/>
      <c r="AQ489" s="92"/>
      <c r="AR489" s="92"/>
      <c r="AS489" s="93"/>
      <c r="AT489" s="93"/>
      <c r="AU489" s="93"/>
      <c r="AV489" s="93"/>
      <c r="AW489" s="93"/>
      <c r="AX489" s="92"/>
      <c r="AY489" s="92"/>
      <c r="AZ489" s="90"/>
      <c r="BA489" s="83"/>
      <c r="BB489" s="92"/>
      <c r="BC489" s="92"/>
      <c r="BD489" s="92"/>
      <c r="BE489" s="93"/>
      <c r="BF489" s="92"/>
      <c r="BG489" s="82"/>
      <c r="BH489" s="82"/>
      <c r="BI489" s="29"/>
      <c r="BJ489" s="29"/>
      <c r="BK489" s="29"/>
    </row>
    <row r="490" ht="15.75" hidden="1" customHeight="1">
      <c r="A490" s="75"/>
      <c r="B490" s="73"/>
      <c r="C490" s="76"/>
      <c r="D490" s="76"/>
      <c r="E490" s="76"/>
      <c r="F490" s="77"/>
      <c r="G490" s="78"/>
      <c r="H490" s="76"/>
      <c r="I490" s="76"/>
      <c r="J490" s="79"/>
      <c r="K490" s="80"/>
      <c r="L490" s="81"/>
      <c r="M490" s="81"/>
      <c r="N490" s="82"/>
      <c r="O490" s="83"/>
      <c r="P490" s="84"/>
      <c r="Q490" s="84"/>
      <c r="R490" s="81"/>
      <c r="S490" s="85"/>
      <c r="T490" s="86"/>
      <c r="U490" s="86"/>
      <c r="V490" s="87"/>
      <c r="W490" s="87"/>
      <c r="X490" s="87"/>
      <c r="Y490" s="87"/>
      <c r="Z490" s="87"/>
      <c r="AA490" s="87"/>
      <c r="AB490" s="29"/>
      <c r="AC490" s="94"/>
      <c r="AD490" s="94"/>
      <c r="AE490" s="89"/>
      <c r="AF490" s="89"/>
      <c r="AG490" s="89"/>
      <c r="AH490" s="89"/>
      <c r="AI490" s="90"/>
      <c r="AJ490" s="90"/>
      <c r="AK490" s="90"/>
      <c r="AL490" s="90"/>
      <c r="AM490" s="91"/>
      <c r="AN490" s="91"/>
      <c r="AO490" s="92"/>
      <c r="AP490" s="92"/>
      <c r="AQ490" s="92"/>
      <c r="AR490" s="92"/>
      <c r="AS490" s="93"/>
      <c r="AT490" s="93"/>
      <c r="AU490" s="93"/>
      <c r="AV490" s="93"/>
      <c r="AW490" s="93"/>
      <c r="AX490" s="92"/>
      <c r="AY490" s="92"/>
      <c r="AZ490" s="90"/>
      <c r="BA490" s="83"/>
      <c r="BB490" s="92"/>
      <c r="BC490" s="92"/>
      <c r="BD490" s="92"/>
      <c r="BE490" s="93"/>
      <c r="BF490" s="92"/>
      <c r="BG490" s="82"/>
      <c r="BH490" s="82"/>
      <c r="BI490" s="29"/>
      <c r="BJ490" s="29"/>
      <c r="BK490" s="29"/>
    </row>
    <row r="491" ht="15.75" hidden="1" customHeight="1">
      <c r="A491" s="75"/>
      <c r="B491" s="73"/>
      <c r="C491" s="76"/>
      <c r="D491" s="76"/>
      <c r="E491" s="76"/>
      <c r="F491" s="77"/>
      <c r="G491" s="78"/>
      <c r="H491" s="76"/>
      <c r="I491" s="76"/>
      <c r="J491" s="79"/>
      <c r="K491" s="80"/>
      <c r="L491" s="81"/>
      <c r="M491" s="81"/>
      <c r="N491" s="82"/>
      <c r="O491" s="83"/>
      <c r="P491" s="84"/>
      <c r="Q491" s="84"/>
      <c r="R491" s="81"/>
      <c r="S491" s="85"/>
      <c r="T491" s="86"/>
      <c r="U491" s="86"/>
      <c r="V491" s="87"/>
      <c r="W491" s="87"/>
      <c r="X491" s="87"/>
      <c r="Y491" s="87"/>
      <c r="Z491" s="87"/>
      <c r="AA491" s="87"/>
      <c r="AB491" s="29"/>
      <c r="AC491" s="94"/>
      <c r="AD491" s="94"/>
      <c r="AE491" s="89"/>
      <c r="AF491" s="89"/>
      <c r="AG491" s="89"/>
      <c r="AH491" s="89"/>
      <c r="AI491" s="90"/>
      <c r="AJ491" s="90"/>
      <c r="AK491" s="90"/>
      <c r="AL491" s="90"/>
      <c r="AM491" s="91"/>
      <c r="AN491" s="91"/>
      <c r="AO491" s="92"/>
      <c r="AP491" s="92"/>
      <c r="AQ491" s="92"/>
      <c r="AR491" s="92"/>
      <c r="AS491" s="93"/>
      <c r="AT491" s="93"/>
      <c r="AU491" s="93"/>
      <c r="AV491" s="93"/>
      <c r="AW491" s="93"/>
      <c r="AX491" s="92"/>
      <c r="AY491" s="92"/>
      <c r="AZ491" s="90"/>
      <c r="BA491" s="83"/>
      <c r="BB491" s="92"/>
      <c r="BC491" s="92"/>
      <c r="BD491" s="92"/>
      <c r="BE491" s="93"/>
      <c r="BF491" s="92"/>
      <c r="BG491" s="82"/>
      <c r="BH491" s="82"/>
      <c r="BI491" s="29"/>
      <c r="BJ491" s="29"/>
      <c r="BK491" s="29"/>
    </row>
    <row r="492" ht="15.75" hidden="1" customHeight="1">
      <c r="A492" s="75"/>
      <c r="B492" s="73"/>
      <c r="C492" s="76"/>
      <c r="D492" s="76"/>
      <c r="E492" s="76"/>
      <c r="F492" s="77"/>
      <c r="G492" s="78"/>
      <c r="H492" s="76"/>
      <c r="I492" s="76"/>
      <c r="J492" s="79"/>
      <c r="K492" s="80"/>
      <c r="L492" s="81"/>
      <c r="M492" s="81"/>
      <c r="N492" s="82"/>
      <c r="O492" s="83"/>
      <c r="P492" s="84"/>
      <c r="Q492" s="84"/>
      <c r="R492" s="81"/>
      <c r="S492" s="85"/>
      <c r="T492" s="86"/>
      <c r="U492" s="86"/>
      <c r="V492" s="87"/>
      <c r="W492" s="87"/>
      <c r="X492" s="87"/>
      <c r="Y492" s="87"/>
      <c r="Z492" s="87"/>
      <c r="AA492" s="87"/>
      <c r="AB492" s="29"/>
      <c r="AC492" s="94"/>
      <c r="AD492" s="94"/>
      <c r="AE492" s="89"/>
      <c r="AF492" s="89"/>
      <c r="AG492" s="89"/>
      <c r="AH492" s="89"/>
      <c r="AI492" s="90"/>
      <c r="AJ492" s="90"/>
      <c r="AK492" s="90"/>
      <c r="AL492" s="90"/>
      <c r="AM492" s="91"/>
      <c r="AN492" s="91"/>
      <c r="AO492" s="92"/>
      <c r="AP492" s="92"/>
      <c r="AQ492" s="92"/>
      <c r="AR492" s="92"/>
      <c r="AS492" s="93"/>
      <c r="AT492" s="93"/>
      <c r="AU492" s="93"/>
      <c r="AV492" s="93"/>
      <c r="AW492" s="93"/>
      <c r="AX492" s="92"/>
      <c r="AY492" s="92"/>
      <c r="AZ492" s="90"/>
      <c r="BA492" s="83"/>
      <c r="BB492" s="92"/>
      <c r="BC492" s="92"/>
      <c r="BD492" s="92"/>
      <c r="BE492" s="93"/>
      <c r="BF492" s="92"/>
      <c r="BG492" s="82"/>
      <c r="BH492" s="82"/>
      <c r="BI492" s="29"/>
      <c r="BJ492" s="29"/>
      <c r="BK492" s="29"/>
    </row>
    <row r="493" ht="15.75" hidden="1" customHeight="1">
      <c r="A493" s="75"/>
      <c r="B493" s="73"/>
      <c r="C493" s="76"/>
      <c r="D493" s="76"/>
      <c r="E493" s="76"/>
      <c r="F493" s="77"/>
      <c r="G493" s="78"/>
      <c r="H493" s="76"/>
      <c r="I493" s="76"/>
      <c r="J493" s="79"/>
      <c r="K493" s="80"/>
      <c r="L493" s="81"/>
      <c r="M493" s="81"/>
      <c r="N493" s="82"/>
      <c r="O493" s="83"/>
      <c r="P493" s="84"/>
      <c r="Q493" s="84"/>
      <c r="R493" s="81"/>
      <c r="S493" s="85"/>
      <c r="T493" s="86"/>
      <c r="U493" s="86"/>
      <c r="V493" s="87"/>
      <c r="W493" s="87"/>
      <c r="X493" s="87"/>
      <c r="Y493" s="87"/>
      <c r="Z493" s="87"/>
      <c r="AA493" s="87"/>
      <c r="AB493" s="29"/>
      <c r="AC493" s="94"/>
      <c r="AD493" s="94"/>
      <c r="AE493" s="89"/>
      <c r="AF493" s="89"/>
      <c r="AG493" s="89"/>
      <c r="AH493" s="89"/>
      <c r="AI493" s="90"/>
      <c r="AJ493" s="90"/>
      <c r="AK493" s="90"/>
      <c r="AL493" s="90"/>
      <c r="AM493" s="91"/>
      <c r="AN493" s="91"/>
      <c r="AO493" s="92"/>
      <c r="AP493" s="92"/>
      <c r="AQ493" s="92"/>
      <c r="AR493" s="92"/>
      <c r="AS493" s="93"/>
      <c r="AT493" s="93"/>
      <c r="AU493" s="93"/>
      <c r="AV493" s="93"/>
      <c r="AW493" s="93"/>
      <c r="AX493" s="92"/>
      <c r="AY493" s="92"/>
      <c r="AZ493" s="90"/>
      <c r="BA493" s="83"/>
      <c r="BB493" s="92"/>
      <c r="BC493" s="92"/>
      <c r="BD493" s="92"/>
      <c r="BE493" s="93"/>
      <c r="BF493" s="92"/>
      <c r="BG493" s="82"/>
      <c r="BH493" s="82"/>
      <c r="BI493" s="29"/>
      <c r="BJ493" s="29"/>
      <c r="BK493" s="29"/>
    </row>
    <row r="494" ht="15.75" hidden="1" customHeight="1">
      <c r="A494" s="75"/>
      <c r="B494" s="73"/>
      <c r="C494" s="76"/>
      <c r="D494" s="76"/>
      <c r="E494" s="76"/>
      <c r="F494" s="77"/>
      <c r="G494" s="78"/>
      <c r="H494" s="76"/>
      <c r="I494" s="76"/>
      <c r="J494" s="79"/>
      <c r="K494" s="80"/>
      <c r="L494" s="81"/>
      <c r="M494" s="81"/>
      <c r="N494" s="82"/>
      <c r="O494" s="83"/>
      <c r="P494" s="84"/>
      <c r="Q494" s="84"/>
      <c r="R494" s="81"/>
      <c r="S494" s="85"/>
      <c r="T494" s="86"/>
      <c r="U494" s="86"/>
      <c r="V494" s="87"/>
      <c r="W494" s="87"/>
      <c r="X494" s="87"/>
      <c r="Y494" s="87"/>
      <c r="Z494" s="87"/>
      <c r="AA494" s="87"/>
      <c r="AB494" s="29"/>
      <c r="AC494" s="94"/>
      <c r="AD494" s="94"/>
      <c r="AE494" s="89"/>
      <c r="AF494" s="89"/>
      <c r="AG494" s="89"/>
      <c r="AH494" s="89"/>
      <c r="AI494" s="90"/>
      <c r="AJ494" s="90"/>
      <c r="AK494" s="90"/>
      <c r="AL494" s="90"/>
      <c r="AM494" s="91"/>
      <c r="AN494" s="91"/>
      <c r="AO494" s="92"/>
      <c r="AP494" s="92"/>
      <c r="AQ494" s="92"/>
      <c r="AR494" s="92"/>
      <c r="AS494" s="93"/>
      <c r="AT494" s="93"/>
      <c r="AU494" s="93"/>
      <c r="AV494" s="93"/>
      <c r="AW494" s="93"/>
      <c r="AX494" s="92"/>
      <c r="AY494" s="92"/>
      <c r="AZ494" s="90"/>
      <c r="BA494" s="83"/>
      <c r="BB494" s="92"/>
      <c r="BC494" s="92"/>
      <c r="BD494" s="92"/>
      <c r="BE494" s="93"/>
      <c r="BF494" s="92"/>
      <c r="BG494" s="82"/>
      <c r="BH494" s="82"/>
      <c r="BI494" s="29"/>
      <c r="BJ494" s="29"/>
      <c r="BK494" s="29"/>
    </row>
    <row r="495" ht="15.75" hidden="1" customHeight="1">
      <c r="A495" s="75"/>
      <c r="B495" s="73"/>
      <c r="C495" s="76"/>
      <c r="D495" s="76"/>
      <c r="E495" s="76"/>
      <c r="F495" s="77"/>
      <c r="G495" s="78"/>
      <c r="H495" s="76"/>
      <c r="I495" s="76"/>
      <c r="J495" s="79"/>
      <c r="K495" s="80"/>
      <c r="L495" s="81"/>
      <c r="M495" s="81"/>
      <c r="N495" s="82"/>
      <c r="O495" s="83"/>
      <c r="P495" s="84"/>
      <c r="Q495" s="84"/>
      <c r="R495" s="81"/>
      <c r="S495" s="85"/>
      <c r="T495" s="86"/>
      <c r="U495" s="86"/>
      <c r="V495" s="87"/>
      <c r="W495" s="87"/>
      <c r="X495" s="87"/>
      <c r="Y495" s="87"/>
      <c r="Z495" s="87"/>
      <c r="AA495" s="87"/>
      <c r="AB495" s="29"/>
      <c r="AC495" s="94"/>
      <c r="AD495" s="94"/>
      <c r="AE495" s="89"/>
      <c r="AF495" s="89"/>
      <c r="AG495" s="89"/>
      <c r="AH495" s="89"/>
      <c r="AI495" s="90"/>
      <c r="AJ495" s="90"/>
      <c r="AK495" s="90"/>
      <c r="AL495" s="90"/>
      <c r="AM495" s="91"/>
      <c r="AN495" s="91"/>
      <c r="AO495" s="92"/>
      <c r="AP495" s="92"/>
      <c r="AQ495" s="92"/>
      <c r="AR495" s="92"/>
      <c r="AS495" s="93"/>
      <c r="AT495" s="93"/>
      <c r="AU495" s="93"/>
      <c r="AV495" s="93"/>
      <c r="AW495" s="93"/>
      <c r="AX495" s="92"/>
      <c r="AY495" s="92"/>
      <c r="AZ495" s="90"/>
      <c r="BA495" s="83"/>
      <c r="BB495" s="92"/>
      <c r="BC495" s="92"/>
      <c r="BD495" s="92"/>
      <c r="BE495" s="93"/>
      <c r="BF495" s="92"/>
      <c r="BG495" s="82"/>
      <c r="BH495" s="82"/>
      <c r="BI495" s="29"/>
      <c r="BJ495" s="29"/>
      <c r="BK495" s="29"/>
    </row>
    <row r="496" ht="15.75" hidden="1" customHeight="1">
      <c r="A496" s="75"/>
      <c r="B496" s="73"/>
      <c r="C496" s="76"/>
      <c r="D496" s="76"/>
      <c r="E496" s="76"/>
      <c r="F496" s="77"/>
      <c r="G496" s="78"/>
      <c r="H496" s="76"/>
      <c r="I496" s="76"/>
      <c r="J496" s="79"/>
      <c r="K496" s="80"/>
      <c r="L496" s="81"/>
      <c r="M496" s="81"/>
      <c r="N496" s="82"/>
      <c r="O496" s="83"/>
      <c r="P496" s="84"/>
      <c r="Q496" s="84"/>
      <c r="R496" s="81"/>
      <c r="S496" s="85"/>
      <c r="T496" s="86"/>
      <c r="U496" s="86"/>
      <c r="V496" s="87"/>
      <c r="W496" s="87"/>
      <c r="X496" s="87"/>
      <c r="Y496" s="87"/>
      <c r="Z496" s="87"/>
      <c r="AA496" s="87"/>
      <c r="AB496" s="29"/>
      <c r="AC496" s="94"/>
      <c r="AD496" s="94"/>
      <c r="AE496" s="89"/>
      <c r="AF496" s="89"/>
      <c r="AG496" s="89"/>
      <c r="AH496" s="89"/>
      <c r="AI496" s="90"/>
      <c r="AJ496" s="90"/>
      <c r="AK496" s="90"/>
      <c r="AL496" s="90"/>
      <c r="AM496" s="91"/>
      <c r="AN496" s="91"/>
      <c r="AO496" s="92"/>
      <c r="AP496" s="92"/>
      <c r="AQ496" s="92"/>
      <c r="AR496" s="92"/>
      <c r="AS496" s="93"/>
      <c r="AT496" s="93"/>
      <c r="AU496" s="93"/>
      <c r="AV496" s="93"/>
      <c r="AW496" s="93"/>
      <c r="AX496" s="92"/>
      <c r="AY496" s="92"/>
      <c r="AZ496" s="90"/>
      <c r="BA496" s="83"/>
      <c r="BB496" s="92"/>
      <c r="BC496" s="92"/>
      <c r="BD496" s="92"/>
      <c r="BE496" s="93"/>
      <c r="BF496" s="92"/>
      <c r="BG496" s="82"/>
      <c r="BH496" s="82"/>
      <c r="BI496" s="29"/>
      <c r="BJ496" s="29"/>
      <c r="BK496" s="29"/>
    </row>
    <row r="497" ht="15.75" hidden="1" customHeight="1">
      <c r="A497" s="75"/>
      <c r="B497" s="73"/>
      <c r="C497" s="76"/>
      <c r="D497" s="76"/>
      <c r="E497" s="76"/>
      <c r="F497" s="77"/>
      <c r="G497" s="78"/>
      <c r="H497" s="76"/>
      <c r="I497" s="76"/>
      <c r="J497" s="79"/>
      <c r="K497" s="80"/>
      <c r="L497" s="81"/>
      <c r="M497" s="81"/>
      <c r="N497" s="82"/>
      <c r="O497" s="83"/>
      <c r="P497" s="84"/>
      <c r="Q497" s="84"/>
      <c r="R497" s="81"/>
      <c r="S497" s="85"/>
      <c r="T497" s="86"/>
      <c r="U497" s="86"/>
      <c r="V497" s="87"/>
      <c r="W497" s="87"/>
      <c r="X497" s="87"/>
      <c r="Y497" s="87"/>
      <c r="Z497" s="87"/>
      <c r="AA497" s="87"/>
      <c r="AB497" s="29"/>
      <c r="AC497" s="94"/>
      <c r="AD497" s="94"/>
      <c r="AE497" s="89"/>
      <c r="AF497" s="89"/>
      <c r="AG497" s="89"/>
      <c r="AH497" s="89"/>
      <c r="AI497" s="90"/>
      <c r="AJ497" s="90"/>
      <c r="AK497" s="90"/>
      <c r="AL497" s="90"/>
      <c r="AM497" s="91"/>
      <c r="AN497" s="91"/>
      <c r="AO497" s="92"/>
      <c r="AP497" s="92"/>
      <c r="AQ497" s="92"/>
      <c r="AR497" s="92"/>
      <c r="AS497" s="93"/>
      <c r="AT497" s="93"/>
      <c r="AU497" s="93"/>
      <c r="AV497" s="93"/>
      <c r="AW497" s="93"/>
      <c r="AX497" s="92"/>
      <c r="AY497" s="92"/>
      <c r="AZ497" s="90"/>
      <c r="BA497" s="83"/>
      <c r="BB497" s="92"/>
      <c r="BC497" s="92"/>
      <c r="BD497" s="92"/>
      <c r="BE497" s="93"/>
      <c r="BF497" s="92"/>
      <c r="BG497" s="82"/>
      <c r="BH497" s="82"/>
      <c r="BI497" s="29"/>
      <c r="BJ497" s="29"/>
      <c r="BK497" s="29"/>
    </row>
    <row r="498" ht="15.75" hidden="1" customHeight="1">
      <c r="A498" s="75"/>
      <c r="B498" s="73"/>
      <c r="C498" s="76"/>
      <c r="D498" s="76"/>
      <c r="E498" s="76"/>
      <c r="F498" s="77"/>
      <c r="G498" s="78"/>
      <c r="H498" s="76"/>
      <c r="I498" s="76"/>
      <c r="J498" s="79"/>
      <c r="K498" s="80"/>
      <c r="L498" s="81"/>
      <c r="M498" s="81"/>
      <c r="N498" s="82"/>
      <c r="O498" s="83"/>
      <c r="P498" s="84"/>
      <c r="Q498" s="84"/>
      <c r="R498" s="81"/>
      <c r="S498" s="85"/>
      <c r="T498" s="86"/>
      <c r="U498" s="86"/>
      <c r="V498" s="87"/>
      <c r="W498" s="87"/>
      <c r="X498" s="87"/>
      <c r="Y498" s="87"/>
      <c r="Z498" s="87"/>
      <c r="AA498" s="87"/>
      <c r="AB498" s="29"/>
      <c r="AC498" s="94"/>
      <c r="AD498" s="94"/>
      <c r="AE498" s="89"/>
      <c r="AF498" s="89"/>
      <c r="AG498" s="89"/>
      <c r="AH498" s="89"/>
      <c r="AI498" s="90"/>
      <c r="AJ498" s="90"/>
      <c r="AK498" s="90"/>
      <c r="AL498" s="90"/>
      <c r="AM498" s="91"/>
      <c r="AN498" s="91"/>
      <c r="AO498" s="92"/>
      <c r="AP498" s="92"/>
      <c r="AQ498" s="92"/>
      <c r="AR498" s="92"/>
      <c r="AS498" s="93"/>
      <c r="AT498" s="93"/>
      <c r="AU498" s="93"/>
      <c r="AV498" s="93"/>
      <c r="AW498" s="93"/>
      <c r="AX498" s="92"/>
      <c r="AY498" s="92"/>
      <c r="AZ498" s="90"/>
      <c r="BA498" s="83"/>
      <c r="BB498" s="92"/>
      <c r="BC498" s="92"/>
      <c r="BD498" s="92"/>
      <c r="BE498" s="93"/>
      <c r="BF498" s="92"/>
      <c r="BG498" s="82"/>
      <c r="BH498" s="82"/>
      <c r="BI498" s="29"/>
      <c r="BJ498" s="29"/>
      <c r="BK498" s="29"/>
    </row>
    <row r="499" ht="15.75" hidden="1" customHeight="1">
      <c r="A499" s="75"/>
      <c r="B499" s="73"/>
      <c r="C499" s="76"/>
      <c r="D499" s="76"/>
      <c r="E499" s="76"/>
      <c r="F499" s="77"/>
      <c r="G499" s="78"/>
      <c r="H499" s="76"/>
      <c r="I499" s="76"/>
      <c r="J499" s="79"/>
      <c r="K499" s="80"/>
      <c r="L499" s="81"/>
      <c r="M499" s="81"/>
      <c r="N499" s="82"/>
      <c r="O499" s="83"/>
      <c r="P499" s="84"/>
      <c r="Q499" s="84"/>
      <c r="R499" s="81"/>
      <c r="S499" s="85"/>
      <c r="T499" s="86"/>
      <c r="U499" s="86"/>
      <c r="V499" s="87"/>
      <c r="W499" s="87"/>
      <c r="X499" s="87"/>
      <c r="Y499" s="87"/>
      <c r="Z499" s="87"/>
      <c r="AA499" s="87"/>
      <c r="AB499" s="29"/>
      <c r="AC499" s="94"/>
      <c r="AD499" s="94"/>
      <c r="AE499" s="89"/>
      <c r="AF499" s="89"/>
      <c r="AG499" s="89"/>
      <c r="AH499" s="89"/>
      <c r="AI499" s="90"/>
      <c r="AJ499" s="90"/>
      <c r="AK499" s="90"/>
      <c r="AL499" s="90"/>
      <c r="AM499" s="91"/>
      <c r="AN499" s="91"/>
      <c r="AO499" s="92"/>
      <c r="AP499" s="92"/>
      <c r="AQ499" s="92"/>
      <c r="AR499" s="92"/>
      <c r="AS499" s="93"/>
      <c r="AT499" s="93"/>
      <c r="AU499" s="93"/>
      <c r="AV499" s="93"/>
      <c r="AW499" s="93"/>
      <c r="AX499" s="92"/>
      <c r="AY499" s="92"/>
      <c r="AZ499" s="90"/>
      <c r="BA499" s="83"/>
      <c r="BB499" s="92"/>
      <c r="BC499" s="92"/>
      <c r="BD499" s="92"/>
      <c r="BE499" s="93"/>
      <c r="BF499" s="92"/>
      <c r="BG499" s="82"/>
      <c r="BH499" s="82"/>
      <c r="BI499" s="29"/>
      <c r="BJ499" s="29"/>
      <c r="BK499" s="29"/>
    </row>
    <row r="500" ht="15.75" hidden="1" customHeight="1">
      <c r="A500" s="75"/>
      <c r="B500" s="73"/>
      <c r="C500" s="76"/>
      <c r="D500" s="76"/>
      <c r="E500" s="76"/>
      <c r="F500" s="77"/>
      <c r="G500" s="78"/>
      <c r="H500" s="76"/>
      <c r="I500" s="76"/>
      <c r="J500" s="79"/>
      <c r="K500" s="80"/>
      <c r="L500" s="81"/>
      <c r="M500" s="81"/>
      <c r="N500" s="82"/>
      <c r="O500" s="83"/>
      <c r="P500" s="84"/>
      <c r="Q500" s="84"/>
      <c r="R500" s="81"/>
      <c r="S500" s="85"/>
      <c r="T500" s="86"/>
      <c r="U500" s="86"/>
      <c r="V500" s="87"/>
      <c r="W500" s="87"/>
      <c r="X500" s="87"/>
      <c r="Y500" s="87"/>
      <c r="Z500" s="87"/>
      <c r="AA500" s="87"/>
      <c r="AB500" s="29"/>
      <c r="AC500" s="94"/>
      <c r="AD500" s="94"/>
      <c r="AE500" s="89"/>
      <c r="AF500" s="89"/>
      <c r="AG500" s="89"/>
      <c r="AH500" s="89"/>
      <c r="AI500" s="90"/>
      <c r="AJ500" s="90"/>
      <c r="AK500" s="90"/>
      <c r="AL500" s="90"/>
      <c r="AM500" s="91"/>
      <c r="AN500" s="91"/>
      <c r="AO500" s="92"/>
      <c r="AP500" s="92"/>
      <c r="AQ500" s="92"/>
      <c r="AR500" s="92"/>
      <c r="AS500" s="93"/>
      <c r="AT500" s="93"/>
      <c r="AU500" s="93"/>
      <c r="AV500" s="93"/>
      <c r="AW500" s="93"/>
      <c r="AX500" s="92"/>
      <c r="AY500" s="92"/>
      <c r="AZ500" s="90"/>
      <c r="BA500" s="83"/>
      <c r="BB500" s="92"/>
      <c r="BC500" s="92"/>
      <c r="BD500" s="92"/>
      <c r="BE500" s="93"/>
      <c r="BF500" s="92"/>
      <c r="BG500" s="82"/>
      <c r="BH500" s="82"/>
      <c r="BI500" s="29"/>
      <c r="BJ500" s="29"/>
      <c r="BK500" s="29"/>
    </row>
    <row r="501" ht="15.75" hidden="1" customHeight="1">
      <c r="A501" s="75"/>
      <c r="B501" s="73"/>
      <c r="C501" s="76"/>
      <c r="D501" s="76"/>
      <c r="E501" s="76"/>
      <c r="F501" s="77"/>
      <c r="G501" s="78"/>
      <c r="H501" s="76"/>
      <c r="I501" s="76"/>
      <c r="J501" s="79"/>
      <c r="K501" s="80"/>
      <c r="L501" s="81"/>
      <c r="M501" s="81"/>
      <c r="N501" s="82"/>
      <c r="O501" s="83"/>
      <c r="P501" s="84"/>
      <c r="Q501" s="84"/>
      <c r="R501" s="81"/>
      <c r="S501" s="85"/>
      <c r="T501" s="86"/>
      <c r="U501" s="86"/>
      <c r="V501" s="87"/>
      <c r="W501" s="87"/>
      <c r="X501" s="87"/>
      <c r="Y501" s="87"/>
      <c r="Z501" s="87"/>
      <c r="AA501" s="87"/>
      <c r="AB501" s="29"/>
      <c r="AC501" s="94"/>
      <c r="AD501" s="94"/>
      <c r="AE501" s="89"/>
      <c r="AF501" s="89"/>
      <c r="AG501" s="89"/>
      <c r="AH501" s="89"/>
      <c r="AI501" s="90"/>
      <c r="AJ501" s="90"/>
      <c r="AK501" s="90"/>
      <c r="AL501" s="90"/>
      <c r="AM501" s="91"/>
      <c r="AN501" s="91"/>
      <c r="AO501" s="92"/>
      <c r="AP501" s="92"/>
      <c r="AQ501" s="92"/>
      <c r="AR501" s="92"/>
      <c r="AS501" s="93"/>
      <c r="AT501" s="93"/>
      <c r="AU501" s="93"/>
      <c r="AV501" s="93"/>
      <c r="AW501" s="93"/>
      <c r="AX501" s="92"/>
      <c r="AY501" s="92"/>
      <c r="AZ501" s="90"/>
      <c r="BA501" s="83"/>
      <c r="BB501" s="92"/>
      <c r="BC501" s="92"/>
      <c r="BD501" s="92"/>
      <c r="BE501" s="93"/>
      <c r="BF501" s="92"/>
      <c r="BG501" s="82"/>
      <c r="BH501" s="82"/>
      <c r="BI501" s="29"/>
      <c r="BJ501" s="29"/>
      <c r="BK501" s="29"/>
    </row>
    <row r="502" ht="15.75" hidden="1" customHeight="1">
      <c r="A502" s="75"/>
      <c r="B502" s="73"/>
      <c r="C502" s="76"/>
      <c r="D502" s="76"/>
      <c r="E502" s="76"/>
      <c r="F502" s="77"/>
      <c r="G502" s="78"/>
      <c r="H502" s="76"/>
      <c r="I502" s="76"/>
      <c r="J502" s="79"/>
      <c r="K502" s="80"/>
      <c r="L502" s="81"/>
      <c r="M502" s="81"/>
      <c r="N502" s="82"/>
      <c r="O502" s="83"/>
      <c r="P502" s="84"/>
      <c r="Q502" s="84"/>
      <c r="R502" s="81"/>
      <c r="S502" s="85"/>
      <c r="T502" s="86"/>
      <c r="U502" s="86"/>
      <c r="V502" s="87"/>
      <c r="W502" s="87"/>
      <c r="X502" s="87"/>
      <c r="Y502" s="87"/>
      <c r="Z502" s="87"/>
      <c r="AA502" s="87"/>
      <c r="AB502" s="29"/>
      <c r="AC502" s="94"/>
      <c r="AD502" s="94"/>
      <c r="AE502" s="89"/>
      <c r="AF502" s="89"/>
      <c r="AG502" s="89"/>
      <c r="AH502" s="89"/>
      <c r="AI502" s="90"/>
      <c r="AJ502" s="90"/>
      <c r="AK502" s="90"/>
      <c r="AL502" s="90"/>
      <c r="AM502" s="91"/>
      <c r="AN502" s="91"/>
      <c r="AO502" s="92"/>
      <c r="AP502" s="92"/>
      <c r="AQ502" s="92"/>
      <c r="AR502" s="92"/>
      <c r="AS502" s="93"/>
      <c r="AT502" s="93"/>
      <c r="AU502" s="93"/>
      <c r="AV502" s="93"/>
      <c r="AW502" s="93"/>
      <c r="AX502" s="92"/>
      <c r="AY502" s="92"/>
      <c r="AZ502" s="90"/>
      <c r="BA502" s="83"/>
      <c r="BB502" s="92"/>
      <c r="BC502" s="92"/>
      <c r="BD502" s="92"/>
      <c r="BE502" s="93"/>
      <c r="BF502" s="92"/>
      <c r="BG502" s="82"/>
      <c r="BH502" s="82"/>
      <c r="BI502" s="29"/>
      <c r="BJ502" s="29"/>
      <c r="BK502" s="29"/>
    </row>
    <row r="503" ht="15.75" hidden="1" customHeight="1">
      <c r="A503" s="75"/>
      <c r="B503" s="73"/>
      <c r="C503" s="76"/>
      <c r="D503" s="76"/>
      <c r="E503" s="76"/>
      <c r="F503" s="77"/>
      <c r="G503" s="78"/>
      <c r="H503" s="76"/>
      <c r="I503" s="76"/>
      <c r="J503" s="79"/>
      <c r="K503" s="80"/>
      <c r="L503" s="81"/>
      <c r="M503" s="81"/>
      <c r="N503" s="82"/>
      <c r="O503" s="83"/>
      <c r="P503" s="84"/>
      <c r="Q503" s="84"/>
      <c r="R503" s="81"/>
      <c r="S503" s="85"/>
      <c r="T503" s="86"/>
      <c r="U503" s="86"/>
      <c r="V503" s="87"/>
      <c r="W503" s="87"/>
      <c r="X503" s="87"/>
      <c r="Y503" s="87"/>
      <c r="Z503" s="87"/>
      <c r="AA503" s="87"/>
      <c r="AB503" s="29"/>
      <c r="AC503" s="94"/>
      <c r="AD503" s="94"/>
      <c r="AE503" s="89"/>
      <c r="AF503" s="89"/>
      <c r="AG503" s="89"/>
      <c r="AH503" s="89"/>
      <c r="AI503" s="90"/>
      <c r="AJ503" s="90"/>
      <c r="AK503" s="90"/>
      <c r="AL503" s="90"/>
      <c r="AM503" s="91"/>
      <c r="AN503" s="91"/>
      <c r="AO503" s="92"/>
      <c r="AP503" s="92"/>
      <c r="AQ503" s="92"/>
      <c r="AR503" s="92"/>
      <c r="AS503" s="93"/>
      <c r="AT503" s="93"/>
      <c r="AU503" s="93"/>
      <c r="AV503" s="93"/>
      <c r="AW503" s="93"/>
      <c r="AX503" s="92"/>
      <c r="AY503" s="92"/>
      <c r="AZ503" s="90"/>
      <c r="BA503" s="83"/>
      <c r="BB503" s="92"/>
      <c r="BC503" s="92"/>
      <c r="BD503" s="92"/>
      <c r="BE503" s="93"/>
      <c r="BF503" s="92"/>
      <c r="BG503" s="82"/>
      <c r="BH503" s="82"/>
      <c r="BI503" s="29"/>
      <c r="BJ503" s="29"/>
      <c r="BK503" s="29"/>
    </row>
    <row r="504" ht="15.75" hidden="1" customHeight="1">
      <c r="A504" s="75"/>
      <c r="B504" s="73"/>
      <c r="C504" s="76"/>
      <c r="D504" s="76"/>
      <c r="E504" s="76"/>
      <c r="F504" s="77"/>
      <c r="G504" s="78"/>
      <c r="H504" s="76"/>
      <c r="I504" s="76"/>
      <c r="J504" s="79"/>
      <c r="K504" s="80"/>
      <c r="L504" s="81"/>
      <c r="M504" s="81"/>
      <c r="N504" s="82"/>
      <c r="O504" s="83"/>
      <c r="P504" s="84"/>
      <c r="Q504" s="84"/>
      <c r="R504" s="81"/>
      <c r="S504" s="85"/>
      <c r="T504" s="86"/>
      <c r="U504" s="86"/>
      <c r="V504" s="87"/>
      <c r="W504" s="87"/>
      <c r="X504" s="87"/>
      <c r="Y504" s="87"/>
      <c r="Z504" s="87"/>
      <c r="AA504" s="87"/>
      <c r="AB504" s="29"/>
      <c r="AC504" s="94"/>
      <c r="AD504" s="94"/>
      <c r="AE504" s="89"/>
      <c r="AF504" s="89"/>
      <c r="AG504" s="89"/>
      <c r="AH504" s="89"/>
      <c r="AI504" s="90"/>
      <c r="AJ504" s="90"/>
      <c r="AK504" s="90"/>
      <c r="AL504" s="90"/>
      <c r="AM504" s="91"/>
      <c r="AN504" s="91"/>
      <c r="AO504" s="92"/>
      <c r="AP504" s="92"/>
      <c r="AQ504" s="92"/>
      <c r="AR504" s="92"/>
      <c r="AS504" s="93"/>
      <c r="AT504" s="93"/>
      <c r="AU504" s="93"/>
      <c r="AV504" s="93"/>
      <c r="AW504" s="93"/>
      <c r="AX504" s="92"/>
      <c r="AY504" s="92"/>
      <c r="AZ504" s="90"/>
      <c r="BA504" s="83"/>
      <c r="BB504" s="92"/>
      <c r="BC504" s="92"/>
      <c r="BD504" s="92"/>
      <c r="BE504" s="93"/>
      <c r="BF504" s="92"/>
      <c r="BG504" s="82"/>
      <c r="BH504" s="82"/>
      <c r="BI504" s="29"/>
      <c r="BJ504" s="29"/>
      <c r="BK504" s="29"/>
    </row>
    <row r="505" ht="15.75" hidden="1" customHeight="1">
      <c r="A505" s="75"/>
      <c r="B505" s="73"/>
      <c r="C505" s="76"/>
      <c r="D505" s="76"/>
      <c r="E505" s="76"/>
      <c r="F505" s="77"/>
      <c r="G505" s="78"/>
      <c r="H505" s="76"/>
      <c r="I505" s="76"/>
      <c r="J505" s="79"/>
      <c r="K505" s="80"/>
      <c r="L505" s="81"/>
      <c r="M505" s="81"/>
      <c r="N505" s="82"/>
      <c r="O505" s="83"/>
      <c r="P505" s="84"/>
      <c r="Q505" s="84"/>
      <c r="R505" s="81"/>
      <c r="S505" s="85"/>
      <c r="T505" s="86"/>
      <c r="U505" s="86"/>
      <c r="V505" s="87"/>
      <c r="W505" s="87"/>
      <c r="X505" s="87"/>
      <c r="Y505" s="87"/>
      <c r="Z505" s="87"/>
      <c r="AA505" s="87"/>
      <c r="AB505" s="29"/>
      <c r="AC505" s="94"/>
      <c r="AD505" s="94"/>
      <c r="AE505" s="89"/>
      <c r="AF505" s="89"/>
      <c r="AG505" s="89"/>
      <c r="AH505" s="89"/>
      <c r="AI505" s="90"/>
      <c r="AJ505" s="90"/>
      <c r="AK505" s="90"/>
      <c r="AL505" s="90"/>
      <c r="AM505" s="91"/>
      <c r="AN505" s="91"/>
      <c r="AO505" s="92"/>
      <c r="AP505" s="92"/>
      <c r="AQ505" s="92"/>
      <c r="AR505" s="92"/>
      <c r="AS505" s="93"/>
      <c r="AT505" s="93"/>
      <c r="AU505" s="93"/>
      <c r="AV505" s="93"/>
      <c r="AW505" s="93"/>
      <c r="AX505" s="92"/>
      <c r="AY505" s="92"/>
      <c r="AZ505" s="90"/>
      <c r="BA505" s="83"/>
      <c r="BB505" s="92"/>
      <c r="BC505" s="92"/>
      <c r="BD505" s="92"/>
      <c r="BE505" s="93"/>
      <c r="BF505" s="92"/>
      <c r="BG505" s="82"/>
      <c r="BH505" s="82"/>
      <c r="BI505" s="29"/>
      <c r="BJ505" s="29"/>
      <c r="BK505" s="29"/>
    </row>
    <row r="506" ht="15.75" hidden="1" customHeight="1">
      <c r="A506" s="75"/>
      <c r="B506" s="73"/>
      <c r="C506" s="76"/>
      <c r="D506" s="76"/>
      <c r="E506" s="76"/>
      <c r="F506" s="77"/>
      <c r="G506" s="78"/>
      <c r="H506" s="76"/>
      <c r="I506" s="76"/>
      <c r="J506" s="79"/>
      <c r="K506" s="80"/>
      <c r="L506" s="81"/>
      <c r="M506" s="81"/>
      <c r="N506" s="82"/>
      <c r="O506" s="83"/>
      <c r="P506" s="84"/>
      <c r="Q506" s="84"/>
      <c r="R506" s="81"/>
      <c r="S506" s="85"/>
      <c r="T506" s="86"/>
      <c r="U506" s="86"/>
      <c r="V506" s="87"/>
      <c r="W506" s="87"/>
      <c r="X506" s="87"/>
      <c r="Y506" s="87"/>
      <c r="Z506" s="87"/>
      <c r="AA506" s="87"/>
      <c r="AB506" s="29"/>
      <c r="AC506" s="94"/>
      <c r="AD506" s="94"/>
      <c r="AE506" s="89"/>
      <c r="AF506" s="89"/>
      <c r="AG506" s="89"/>
      <c r="AH506" s="89"/>
      <c r="AI506" s="90"/>
      <c r="AJ506" s="90"/>
      <c r="AK506" s="90"/>
      <c r="AL506" s="90"/>
      <c r="AM506" s="91"/>
      <c r="AN506" s="91"/>
      <c r="AO506" s="92"/>
      <c r="AP506" s="92"/>
      <c r="AQ506" s="92"/>
      <c r="AR506" s="92"/>
      <c r="AS506" s="93"/>
      <c r="AT506" s="93"/>
      <c r="AU506" s="93"/>
      <c r="AV506" s="93"/>
      <c r="AW506" s="93"/>
      <c r="AX506" s="92"/>
      <c r="AY506" s="92"/>
      <c r="AZ506" s="90"/>
      <c r="BA506" s="83"/>
      <c r="BB506" s="92"/>
      <c r="BC506" s="92"/>
      <c r="BD506" s="92"/>
      <c r="BE506" s="93"/>
      <c r="BF506" s="92"/>
      <c r="BG506" s="82"/>
      <c r="BH506" s="82"/>
      <c r="BI506" s="29"/>
      <c r="BJ506" s="29"/>
      <c r="BK506" s="29"/>
    </row>
    <row r="507" ht="15.75" hidden="1" customHeight="1">
      <c r="A507" s="75"/>
      <c r="B507" s="73"/>
      <c r="C507" s="76"/>
      <c r="D507" s="76"/>
      <c r="E507" s="76"/>
      <c r="F507" s="77"/>
      <c r="G507" s="78"/>
      <c r="H507" s="76"/>
      <c r="I507" s="76"/>
      <c r="J507" s="79"/>
      <c r="K507" s="80"/>
      <c r="L507" s="81"/>
      <c r="M507" s="81"/>
      <c r="N507" s="82"/>
      <c r="O507" s="83"/>
      <c r="P507" s="84"/>
      <c r="Q507" s="84"/>
      <c r="R507" s="81"/>
      <c r="S507" s="85"/>
      <c r="T507" s="86"/>
      <c r="U507" s="86"/>
      <c r="V507" s="87"/>
      <c r="W507" s="87"/>
      <c r="X507" s="87"/>
      <c r="Y507" s="87"/>
      <c r="Z507" s="87"/>
      <c r="AA507" s="87"/>
      <c r="AB507" s="29"/>
      <c r="AC507" s="94"/>
      <c r="AD507" s="94"/>
      <c r="AE507" s="89"/>
      <c r="AF507" s="89"/>
      <c r="AG507" s="89"/>
      <c r="AH507" s="89"/>
      <c r="AI507" s="90"/>
      <c r="AJ507" s="90"/>
      <c r="AK507" s="90"/>
      <c r="AL507" s="90"/>
      <c r="AM507" s="91"/>
      <c r="AN507" s="91"/>
      <c r="AO507" s="92"/>
      <c r="AP507" s="92"/>
      <c r="AQ507" s="92"/>
      <c r="AR507" s="92"/>
      <c r="AS507" s="93"/>
      <c r="AT507" s="93"/>
      <c r="AU507" s="93"/>
      <c r="AV507" s="93"/>
      <c r="AW507" s="93"/>
      <c r="AX507" s="92"/>
      <c r="AY507" s="92"/>
      <c r="AZ507" s="90"/>
      <c r="BA507" s="83"/>
      <c r="BB507" s="92"/>
      <c r="BC507" s="92"/>
      <c r="BD507" s="92"/>
      <c r="BE507" s="93"/>
      <c r="BF507" s="92"/>
      <c r="BG507" s="82"/>
      <c r="BH507" s="82"/>
      <c r="BI507" s="29"/>
      <c r="BJ507" s="29"/>
      <c r="BK507" s="29"/>
    </row>
    <row r="508" ht="15.75" hidden="1" customHeight="1">
      <c r="A508" s="75"/>
      <c r="B508" s="73"/>
      <c r="C508" s="76"/>
      <c r="D508" s="76"/>
      <c r="E508" s="76"/>
      <c r="F508" s="77"/>
      <c r="G508" s="78"/>
      <c r="H508" s="76"/>
      <c r="I508" s="76"/>
      <c r="J508" s="79"/>
      <c r="K508" s="80"/>
      <c r="L508" s="81"/>
      <c r="M508" s="81"/>
      <c r="N508" s="82"/>
      <c r="O508" s="83"/>
      <c r="P508" s="84"/>
      <c r="Q508" s="84"/>
      <c r="R508" s="81"/>
      <c r="S508" s="85"/>
      <c r="T508" s="86"/>
      <c r="U508" s="86"/>
      <c r="V508" s="87"/>
      <c r="W508" s="87"/>
      <c r="X508" s="87"/>
      <c r="Y508" s="87"/>
      <c r="Z508" s="87"/>
      <c r="AA508" s="87"/>
      <c r="AB508" s="29"/>
      <c r="AC508" s="94"/>
      <c r="AD508" s="94"/>
      <c r="AE508" s="89"/>
      <c r="AF508" s="89"/>
      <c r="AG508" s="89"/>
      <c r="AH508" s="89"/>
      <c r="AI508" s="90"/>
      <c r="AJ508" s="90"/>
      <c r="AK508" s="90"/>
      <c r="AL508" s="90"/>
      <c r="AM508" s="91"/>
      <c r="AN508" s="91"/>
      <c r="AO508" s="92"/>
      <c r="AP508" s="92"/>
      <c r="AQ508" s="92"/>
      <c r="AR508" s="92"/>
      <c r="AS508" s="93"/>
      <c r="AT508" s="93"/>
      <c r="AU508" s="93"/>
      <c r="AV508" s="93"/>
      <c r="AW508" s="93"/>
      <c r="AX508" s="92"/>
      <c r="AY508" s="92"/>
      <c r="AZ508" s="90"/>
      <c r="BA508" s="83"/>
      <c r="BB508" s="92"/>
      <c r="BC508" s="92"/>
      <c r="BD508" s="92"/>
      <c r="BE508" s="93"/>
      <c r="BF508" s="92"/>
      <c r="BG508" s="82"/>
      <c r="BH508" s="82"/>
      <c r="BI508" s="29"/>
      <c r="BJ508" s="29"/>
      <c r="BK508" s="29"/>
    </row>
    <row r="509" ht="15.75" hidden="1" customHeight="1">
      <c r="A509" s="75"/>
      <c r="B509" s="73"/>
      <c r="C509" s="76"/>
      <c r="D509" s="76"/>
      <c r="E509" s="76"/>
      <c r="F509" s="77"/>
      <c r="G509" s="78"/>
      <c r="H509" s="76"/>
      <c r="I509" s="76"/>
      <c r="J509" s="79"/>
      <c r="K509" s="80"/>
      <c r="L509" s="81"/>
      <c r="M509" s="81"/>
      <c r="N509" s="82"/>
      <c r="O509" s="83"/>
      <c r="P509" s="84"/>
      <c r="Q509" s="84"/>
      <c r="R509" s="81"/>
      <c r="S509" s="85"/>
      <c r="T509" s="86"/>
      <c r="U509" s="86"/>
      <c r="V509" s="87"/>
      <c r="W509" s="87"/>
      <c r="X509" s="87"/>
      <c r="Y509" s="87"/>
      <c r="Z509" s="87"/>
      <c r="AA509" s="87"/>
      <c r="AB509" s="29"/>
      <c r="AC509" s="94"/>
      <c r="AD509" s="94"/>
      <c r="AE509" s="89"/>
      <c r="AF509" s="89"/>
      <c r="AG509" s="89"/>
      <c r="AH509" s="89"/>
      <c r="AI509" s="90"/>
      <c r="AJ509" s="90"/>
      <c r="AK509" s="90"/>
      <c r="AL509" s="90"/>
      <c r="AM509" s="91"/>
      <c r="AN509" s="91"/>
      <c r="AO509" s="92"/>
      <c r="AP509" s="92"/>
      <c r="AQ509" s="92"/>
      <c r="AR509" s="92"/>
      <c r="AS509" s="93"/>
      <c r="AT509" s="93"/>
      <c r="AU509" s="93"/>
      <c r="AV509" s="93"/>
      <c r="AW509" s="93"/>
      <c r="AX509" s="92"/>
      <c r="AY509" s="92"/>
      <c r="AZ509" s="90"/>
      <c r="BA509" s="83"/>
      <c r="BB509" s="92"/>
      <c r="BC509" s="92"/>
      <c r="BD509" s="92"/>
      <c r="BE509" s="93"/>
      <c r="BF509" s="92"/>
      <c r="BG509" s="82"/>
      <c r="BH509" s="82"/>
      <c r="BI509" s="29"/>
      <c r="BJ509" s="29"/>
      <c r="BK509" s="29"/>
    </row>
    <row r="510" ht="15.75" hidden="1" customHeight="1">
      <c r="A510" s="75"/>
      <c r="B510" s="73"/>
      <c r="C510" s="76"/>
      <c r="D510" s="76"/>
      <c r="E510" s="76"/>
      <c r="F510" s="77"/>
      <c r="G510" s="78"/>
      <c r="H510" s="76"/>
      <c r="I510" s="76"/>
      <c r="J510" s="79"/>
      <c r="K510" s="80"/>
      <c r="L510" s="81"/>
      <c r="M510" s="81"/>
      <c r="N510" s="82"/>
      <c r="O510" s="83"/>
      <c r="P510" s="84"/>
      <c r="Q510" s="84"/>
      <c r="R510" s="81"/>
      <c r="S510" s="85"/>
      <c r="T510" s="86"/>
      <c r="U510" s="86"/>
      <c r="V510" s="87"/>
      <c r="W510" s="87"/>
      <c r="X510" s="87"/>
      <c r="Y510" s="87"/>
      <c r="Z510" s="87"/>
      <c r="AA510" s="87"/>
      <c r="AB510" s="29"/>
      <c r="AC510" s="94"/>
      <c r="AD510" s="94"/>
      <c r="AE510" s="89"/>
      <c r="AF510" s="89"/>
      <c r="AG510" s="89"/>
      <c r="AH510" s="89"/>
      <c r="AI510" s="90"/>
      <c r="AJ510" s="90"/>
      <c r="AK510" s="90"/>
      <c r="AL510" s="90"/>
      <c r="AM510" s="91"/>
      <c r="AN510" s="91"/>
      <c r="AO510" s="92"/>
      <c r="AP510" s="92"/>
      <c r="AQ510" s="92"/>
      <c r="AR510" s="92"/>
      <c r="AS510" s="93"/>
      <c r="AT510" s="93"/>
      <c r="AU510" s="93"/>
      <c r="AV510" s="93"/>
      <c r="AW510" s="93"/>
      <c r="AX510" s="92"/>
      <c r="AY510" s="92"/>
      <c r="AZ510" s="90"/>
      <c r="BA510" s="83"/>
      <c r="BB510" s="92"/>
      <c r="BC510" s="92"/>
      <c r="BD510" s="92"/>
      <c r="BE510" s="93"/>
      <c r="BF510" s="92"/>
      <c r="BG510" s="82"/>
      <c r="BH510" s="82"/>
      <c r="BI510" s="29"/>
      <c r="BJ510" s="29"/>
      <c r="BK510" s="29"/>
    </row>
    <row r="511" ht="15.75" hidden="1" customHeight="1">
      <c r="A511" s="75"/>
      <c r="B511" s="73"/>
      <c r="C511" s="76"/>
      <c r="D511" s="76"/>
      <c r="E511" s="76"/>
      <c r="F511" s="77"/>
      <c r="G511" s="78"/>
      <c r="H511" s="76"/>
      <c r="I511" s="76"/>
      <c r="J511" s="79"/>
      <c r="K511" s="80"/>
      <c r="L511" s="81"/>
      <c r="M511" s="81"/>
      <c r="N511" s="82"/>
      <c r="O511" s="83"/>
      <c r="P511" s="84"/>
      <c r="Q511" s="84"/>
      <c r="R511" s="81"/>
      <c r="S511" s="85"/>
      <c r="T511" s="86"/>
      <c r="U511" s="86"/>
      <c r="V511" s="87"/>
      <c r="W511" s="87"/>
      <c r="X511" s="87"/>
      <c r="Y511" s="87"/>
      <c r="Z511" s="87"/>
      <c r="AA511" s="87"/>
      <c r="AB511" s="29"/>
      <c r="AC511" s="94"/>
      <c r="AD511" s="94"/>
      <c r="AE511" s="89"/>
      <c r="AF511" s="89"/>
      <c r="AG511" s="89"/>
      <c r="AH511" s="89"/>
      <c r="AI511" s="90"/>
      <c r="AJ511" s="90"/>
      <c r="AK511" s="90"/>
      <c r="AL511" s="90"/>
      <c r="AM511" s="91"/>
      <c r="AN511" s="91"/>
      <c r="AO511" s="92"/>
      <c r="AP511" s="92"/>
      <c r="AQ511" s="92"/>
      <c r="AR511" s="92"/>
      <c r="AS511" s="93"/>
      <c r="AT511" s="93"/>
      <c r="AU511" s="93"/>
      <c r="AV511" s="93"/>
      <c r="AW511" s="93"/>
      <c r="AX511" s="92"/>
      <c r="AY511" s="92"/>
      <c r="AZ511" s="90"/>
      <c r="BA511" s="83"/>
      <c r="BB511" s="92"/>
      <c r="BC511" s="92"/>
      <c r="BD511" s="92"/>
      <c r="BE511" s="93"/>
      <c r="BF511" s="92"/>
      <c r="BG511" s="82"/>
      <c r="BH511" s="82"/>
      <c r="BI511" s="29"/>
      <c r="BJ511" s="29"/>
      <c r="BK511" s="29"/>
    </row>
    <row r="512" ht="15.75" hidden="1" customHeight="1">
      <c r="A512" s="75"/>
      <c r="B512" s="73"/>
      <c r="C512" s="76"/>
      <c r="D512" s="76"/>
      <c r="E512" s="76"/>
      <c r="F512" s="77"/>
      <c r="G512" s="78"/>
      <c r="H512" s="76"/>
      <c r="I512" s="76"/>
      <c r="J512" s="79"/>
      <c r="K512" s="80"/>
      <c r="L512" s="81"/>
      <c r="M512" s="81"/>
      <c r="N512" s="82"/>
      <c r="O512" s="83"/>
      <c r="P512" s="84"/>
      <c r="Q512" s="84"/>
      <c r="R512" s="81"/>
      <c r="S512" s="85"/>
      <c r="T512" s="86"/>
      <c r="U512" s="86"/>
      <c r="V512" s="87"/>
      <c r="W512" s="87"/>
      <c r="X512" s="87"/>
      <c r="Y512" s="87"/>
      <c r="Z512" s="87"/>
      <c r="AA512" s="87"/>
      <c r="AB512" s="29"/>
      <c r="AC512" s="94"/>
      <c r="AD512" s="94"/>
      <c r="AE512" s="89"/>
      <c r="AF512" s="89"/>
      <c r="AG512" s="89"/>
      <c r="AH512" s="89"/>
      <c r="AI512" s="90"/>
      <c r="AJ512" s="90"/>
      <c r="AK512" s="90"/>
      <c r="AL512" s="90"/>
      <c r="AM512" s="91"/>
      <c r="AN512" s="91"/>
      <c r="AO512" s="92"/>
      <c r="AP512" s="92"/>
      <c r="AQ512" s="92"/>
      <c r="AR512" s="92"/>
      <c r="AS512" s="93"/>
      <c r="AT512" s="93"/>
      <c r="AU512" s="93"/>
      <c r="AV512" s="93"/>
      <c r="AW512" s="93"/>
      <c r="AX512" s="92"/>
      <c r="AY512" s="92"/>
      <c r="AZ512" s="90"/>
      <c r="BA512" s="83"/>
      <c r="BB512" s="92"/>
      <c r="BC512" s="92"/>
      <c r="BD512" s="92"/>
      <c r="BE512" s="93"/>
      <c r="BF512" s="92"/>
      <c r="BG512" s="82"/>
      <c r="BH512" s="82"/>
      <c r="BI512" s="29"/>
      <c r="BJ512" s="29"/>
      <c r="BK512" s="29"/>
    </row>
    <row r="513" ht="15.75" hidden="1" customHeight="1">
      <c r="A513" s="75"/>
      <c r="B513" s="73"/>
      <c r="C513" s="76"/>
      <c r="D513" s="76"/>
      <c r="E513" s="76"/>
      <c r="F513" s="77"/>
      <c r="G513" s="78"/>
      <c r="H513" s="76"/>
      <c r="I513" s="76"/>
      <c r="J513" s="79"/>
      <c r="K513" s="80"/>
      <c r="L513" s="81"/>
      <c r="M513" s="81"/>
      <c r="N513" s="82"/>
      <c r="O513" s="83"/>
      <c r="P513" s="84"/>
      <c r="Q513" s="84"/>
      <c r="R513" s="81"/>
      <c r="S513" s="85"/>
      <c r="T513" s="86"/>
      <c r="U513" s="86"/>
      <c r="V513" s="87"/>
      <c r="W513" s="87"/>
      <c r="X513" s="87"/>
      <c r="Y513" s="87"/>
      <c r="Z513" s="87"/>
      <c r="AA513" s="87"/>
      <c r="AB513" s="29"/>
      <c r="AC513" s="94"/>
      <c r="AD513" s="94"/>
      <c r="AE513" s="89"/>
      <c r="AF513" s="89"/>
      <c r="AG513" s="89"/>
      <c r="AH513" s="89"/>
      <c r="AI513" s="90"/>
      <c r="AJ513" s="90"/>
      <c r="AK513" s="90"/>
      <c r="AL513" s="90"/>
      <c r="AM513" s="91"/>
      <c r="AN513" s="91"/>
      <c r="AO513" s="92"/>
      <c r="AP513" s="92"/>
      <c r="AQ513" s="92"/>
      <c r="AR513" s="92"/>
      <c r="AS513" s="93"/>
      <c r="AT513" s="93"/>
      <c r="AU513" s="93"/>
      <c r="AV513" s="93"/>
      <c r="AW513" s="93"/>
      <c r="AX513" s="92"/>
      <c r="AY513" s="92"/>
      <c r="AZ513" s="90"/>
      <c r="BA513" s="83"/>
      <c r="BB513" s="92"/>
      <c r="BC513" s="92"/>
      <c r="BD513" s="92"/>
      <c r="BE513" s="93"/>
      <c r="BF513" s="92"/>
      <c r="BG513" s="82"/>
      <c r="BH513" s="82"/>
      <c r="BI513" s="29"/>
      <c r="BJ513" s="29"/>
      <c r="BK513" s="29"/>
    </row>
    <row r="514" ht="15.75" hidden="1" customHeight="1">
      <c r="A514" s="75"/>
      <c r="B514" s="73"/>
      <c r="C514" s="76"/>
      <c r="D514" s="76"/>
      <c r="E514" s="76"/>
      <c r="F514" s="77"/>
      <c r="G514" s="78"/>
      <c r="H514" s="76"/>
      <c r="I514" s="76"/>
      <c r="J514" s="79"/>
      <c r="K514" s="80"/>
      <c r="L514" s="81"/>
      <c r="M514" s="81"/>
      <c r="N514" s="82"/>
      <c r="O514" s="83"/>
      <c r="P514" s="84"/>
      <c r="Q514" s="84"/>
      <c r="R514" s="81"/>
      <c r="S514" s="85"/>
      <c r="T514" s="86"/>
      <c r="U514" s="86"/>
      <c r="V514" s="87"/>
      <c r="W514" s="87"/>
      <c r="X514" s="87"/>
      <c r="Y514" s="87"/>
      <c r="Z514" s="87"/>
      <c r="AA514" s="87"/>
      <c r="AB514" s="29"/>
      <c r="AC514" s="94"/>
      <c r="AD514" s="94"/>
      <c r="AE514" s="89"/>
      <c r="AF514" s="89"/>
      <c r="AG514" s="89"/>
      <c r="AH514" s="89"/>
      <c r="AI514" s="90"/>
      <c r="AJ514" s="90"/>
      <c r="AK514" s="90"/>
      <c r="AL514" s="90"/>
      <c r="AM514" s="91"/>
      <c r="AN514" s="91"/>
      <c r="AO514" s="92"/>
      <c r="AP514" s="92"/>
      <c r="AQ514" s="92"/>
      <c r="AR514" s="92"/>
      <c r="AS514" s="93"/>
      <c r="AT514" s="93"/>
      <c r="AU514" s="93"/>
      <c r="AV514" s="93"/>
      <c r="AW514" s="93"/>
      <c r="AX514" s="92"/>
      <c r="AY514" s="92"/>
      <c r="AZ514" s="90"/>
      <c r="BA514" s="83"/>
      <c r="BB514" s="92"/>
      <c r="BC514" s="92"/>
      <c r="BD514" s="92"/>
      <c r="BE514" s="93"/>
      <c r="BF514" s="92"/>
      <c r="BG514" s="82"/>
      <c r="BH514" s="82"/>
      <c r="BI514" s="29"/>
      <c r="BJ514" s="29"/>
      <c r="BK514" s="29"/>
    </row>
    <row r="515" ht="15.75" hidden="1" customHeight="1">
      <c r="A515" s="75"/>
      <c r="B515" s="73"/>
      <c r="C515" s="76"/>
      <c r="D515" s="76"/>
      <c r="E515" s="76"/>
      <c r="F515" s="77"/>
      <c r="G515" s="78"/>
      <c r="H515" s="76"/>
      <c r="I515" s="76"/>
      <c r="J515" s="79"/>
      <c r="K515" s="80"/>
      <c r="L515" s="81"/>
      <c r="M515" s="81"/>
      <c r="N515" s="82"/>
      <c r="O515" s="83"/>
      <c r="P515" s="84"/>
      <c r="Q515" s="84"/>
      <c r="R515" s="81"/>
      <c r="S515" s="85"/>
      <c r="T515" s="86"/>
      <c r="U515" s="86"/>
      <c r="V515" s="87"/>
      <c r="W515" s="87"/>
      <c r="X515" s="87"/>
      <c r="Y515" s="87"/>
      <c r="Z515" s="87"/>
      <c r="AA515" s="87"/>
      <c r="AB515" s="29"/>
      <c r="AC515" s="94"/>
      <c r="AD515" s="94"/>
      <c r="AE515" s="89"/>
      <c r="AF515" s="89"/>
      <c r="AG515" s="89"/>
      <c r="AH515" s="89"/>
      <c r="AI515" s="90"/>
      <c r="AJ515" s="90"/>
      <c r="AK515" s="90"/>
      <c r="AL515" s="90"/>
      <c r="AM515" s="91"/>
      <c r="AN515" s="91"/>
      <c r="AO515" s="92"/>
      <c r="AP515" s="92"/>
      <c r="AQ515" s="92"/>
      <c r="AR515" s="92"/>
      <c r="AS515" s="93"/>
      <c r="AT515" s="93"/>
      <c r="AU515" s="93"/>
      <c r="AV515" s="93"/>
      <c r="AW515" s="93"/>
      <c r="AX515" s="92"/>
      <c r="AY515" s="92"/>
      <c r="AZ515" s="90"/>
      <c r="BA515" s="83"/>
      <c r="BB515" s="92"/>
      <c r="BC515" s="92"/>
      <c r="BD515" s="92"/>
      <c r="BE515" s="93"/>
      <c r="BF515" s="92"/>
      <c r="BG515" s="82"/>
      <c r="BH515" s="82"/>
      <c r="BI515" s="29"/>
      <c r="BJ515" s="29"/>
      <c r="BK515" s="29"/>
    </row>
    <row r="516" ht="15.75" hidden="1" customHeight="1">
      <c r="A516" s="75"/>
      <c r="B516" s="73"/>
      <c r="C516" s="76"/>
      <c r="D516" s="76"/>
      <c r="E516" s="76"/>
      <c r="F516" s="77"/>
      <c r="G516" s="78"/>
      <c r="H516" s="76"/>
      <c r="I516" s="76"/>
      <c r="J516" s="79"/>
      <c r="K516" s="80"/>
      <c r="L516" s="81"/>
      <c r="M516" s="81"/>
      <c r="N516" s="82"/>
      <c r="O516" s="83"/>
      <c r="P516" s="84"/>
      <c r="Q516" s="84"/>
      <c r="R516" s="81"/>
      <c r="S516" s="85"/>
      <c r="T516" s="86"/>
      <c r="U516" s="86"/>
      <c r="V516" s="87"/>
      <c r="W516" s="87"/>
      <c r="X516" s="87"/>
      <c r="Y516" s="87"/>
      <c r="Z516" s="87"/>
      <c r="AA516" s="87"/>
      <c r="AB516" s="29"/>
      <c r="AC516" s="94"/>
      <c r="AD516" s="94"/>
      <c r="AE516" s="89"/>
      <c r="AF516" s="89"/>
      <c r="AG516" s="89"/>
      <c r="AH516" s="89"/>
      <c r="AI516" s="90"/>
      <c r="AJ516" s="90"/>
      <c r="AK516" s="90"/>
      <c r="AL516" s="90"/>
      <c r="AM516" s="91"/>
      <c r="AN516" s="91"/>
      <c r="AO516" s="92"/>
      <c r="AP516" s="92"/>
      <c r="AQ516" s="92"/>
      <c r="AR516" s="92"/>
      <c r="AS516" s="93"/>
      <c r="AT516" s="93"/>
      <c r="AU516" s="93"/>
      <c r="AV516" s="93"/>
      <c r="AW516" s="93"/>
      <c r="AX516" s="92"/>
      <c r="AY516" s="92"/>
      <c r="AZ516" s="90"/>
      <c r="BA516" s="83"/>
      <c r="BB516" s="92"/>
      <c r="BC516" s="92"/>
      <c r="BD516" s="92"/>
      <c r="BE516" s="93"/>
      <c r="BF516" s="92"/>
      <c r="BG516" s="82"/>
      <c r="BH516" s="82"/>
      <c r="BI516" s="29"/>
      <c r="BJ516" s="29"/>
      <c r="BK516" s="29"/>
    </row>
    <row r="517" ht="15.75" hidden="1" customHeight="1">
      <c r="A517" s="75"/>
      <c r="B517" s="73"/>
      <c r="C517" s="76"/>
      <c r="D517" s="76"/>
      <c r="E517" s="76"/>
      <c r="F517" s="77"/>
      <c r="G517" s="78"/>
      <c r="H517" s="76"/>
      <c r="I517" s="76"/>
      <c r="J517" s="79"/>
      <c r="K517" s="80"/>
      <c r="L517" s="81"/>
      <c r="M517" s="81"/>
      <c r="N517" s="82"/>
      <c r="O517" s="83"/>
      <c r="P517" s="84"/>
      <c r="Q517" s="84"/>
      <c r="R517" s="81"/>
      <c r="S517" s="85"/>
      <c r="T517" s="86"/>
      <c r="U517" s="86"/>
      <c r="V517" s="87"/>
      <c r="W517" s="87"/>
      <c r="X517" s="87"/>
      <c r="Y517" s="87"/>
      <c r="Z517" s="87"/>
      <c r="AA517" s="87"/>
      <c r="AB517" s="29"/>
      <c r="AC517" s="94"/>
      <c r="AD517" s="94"/>
      <c r="AE517" s="89"/>
      <c r="AF517" s="89"/>
      <c r="AG517" s="89"/>
      <c r="AH517" s="89"/>
      <c r="AI517" s="90"/>
      <c r="AJ517" s="90"/>
      <c r="AK517" s="90"/>
      <c r="AL517" s="90"/>
      <c r="AM517" s="91"/>
      <c r="AN517" s="91"/>
      <c r="AO517" s="92"/>
      <c r="AP517" s="92"/>
      <c r="AQ517" s="92"/>
      <c r="AR517" s="92"/>
      <c r="AS517" s="93"/>
      <c r="AT517" s="93"/>
      <c r="AU517" s="93"/>
      <c r="AV517" s="93"/>
      <c r="AW517" s="93"/>
      <c r="AX517" s="92"/>
      <c r="AY517" s="92"/>
      <c r="AZ517" s="90"/>
      <c r="BA517" s="83"/>
      <c r="BB517" s="92"/>
      <c r="BC517" s="92"/>
      <c r="BD517" s="92"/>
      <c r="BE517" s="93"/>
      <c r="BF517" s="92"/>
      <c r="BG517" s="82"/>
      <c r="BH517" s="82"/>
      <c r="BI517" s="29"/>
      <c r="BJ517" s="29"/>
      <c r="BK517" s="29"/>
    </row>
    <row r="518" ht="15.75" hidden="1" customHeight="1">
      <c r="A518" s="75"/>
      <c r="B518" s="73"/>
      <c r="C518" s="76"/>
      <c r="D518" s="76"/>
      <c r="E518" s="76"/>
      <c r="F518" s="77"/>
      <c r="G518" s="78"/>
      <c r="H518" s="76"/>
      <c r="I518" s="76"/>
      <c r="J518" s="79"/>
      <c r="K518" s="80"/>
      <c r="L518" s="81"/>
      <c r="M518" s="81"/>
      <c r="N518" s="82"/>
      <c r="O518" s="83"/>
      <c r="P518" s="84"/>
      <c r="Q518" s="84"/>
      <c r="R518" s="81"/>
      <c r="S518" s="85"/>
      <c r="T518" s="86"/>
      <c r="U518" s="86"/>
      <c r="V518" s="87"/>
      <c r="W518" s="87"/>
      <c r="X518" s="87"/>
      <c r="Y518" s="87"/>
      <c r="Z518" s="87"/>
      <c r="AA518" s="87"/>
      <c r="AB518" s="29"/>
      <c r="AC518" s="94"/>
      <c r="AD518" s="94"/>
      <c r="AE518" s="89"/>
      <c r="AF518" s="89"/>
      <c r="AG518" s="89"/>
      <c r="AH518" s="89"/>
      <c r="AI518" s="90"/>
      <c r="AJ518" s="90"/>
      <c r="AK518" s="90"/>
      <c r="AL518" s="90"/>
      <c r="AM518" s="91"/>
      <c r="AN518" s="91"/>
      <c r="AO518" s="92"/>
      <c r="AP518" s="92"/>
      <c r="AQ518" s="92"/>
      <c r="AR518" s="92"/>
      <c r="AS518" s="93"/>
      <c r="AT518" s="93"/>
      <c r="AU518" s="93"/>
      <c r="AV518" s="93"/>
      <c r="AW518" s="93"/>
      <c r="AX518" s="92"/>
      <c r="AY518" s="92"/>
      <c r="AZ518" s="90"/>
      <c r="BA518" s="83"/>
      <c r="BB518" s="92"/>
      <c r="BC518" s="92"/>
      <c r="BD518" s="92"/>
      <c r="BE518" s="93"/>
      <c r="BF518" s="92"/>
      <c r="BG518" s="82"/>
      <c r="BH518" s="82"/>
      <c r="BI518" s="29"/>
      <c r="BJ518" s="29"/>
      <c r="BK518" s="29"/>
    </row>
    <row r="519" ht="15.75" hidden="1" customHeight="1">
      <c r="A519" s="75"/>
      <c r="B519" s="73"/>
      <c r="C519" s="76"/>
      <c r="D519" s="76"/>
      <c r="E519" s="76"/>
      <c r="F519" s="77"/>
      <c r="G519" s="78"/>
      <c r="H519" s="76"/>
      <c r="I519" s="76"/>
      <c r="J519" s="79"/>
      <c r="K519" s="80"/>
      <c r="L519" s="81"/>
      <c r="M519" s="81"/>
      <c r="N519" s="82"/>
      <c r="O519" s="83"/>
      <c r="P519" s="84"/>
      <c r="Q519" s="84"/>
      <c r="R519" s="81"/>
      <c r="S519" s="85"/>
      <c r="T519" s="86"/>
      <c r="U519" s="86"/>
      <c r="V519" s="87"/>
      <c r="W519" s="87"/>
      <c r="X519" s="87"/>
      <c r="Y519" s="87"/>
      <c r="Z519" s="87"/>
      <c r="AA519" s="87"/>
      <c r="AB519" s="29"/>
      <c r="AC519" s="94"/>
      <c r="AD519" s="94"/>
      <c r="AE519" s="89"/>
      <c r="AF519" s="89"/>
      <c r="AG519" s="89"/>
      <c r="AH519" s="89"/>
      <c r="AI519" s="90"/>
      <c r="AJ519" s="90"/>
      <c r="AK519" s="90"/>
      <c r="AL519" s="90"/>
      <c r="AM519" s="91"/>
      <c r="AN519" s="91"/>
      <c r="AO519" s="92"/>
      <c r="AP519" s="92"/>
      <c r="AQ519" s="92"/>
      <c r="AR519" s="92"/>
      <c r="AS519" s="93"/>
      <c r="AT519" s="93"/>
      <c r="AU519" s="93"/>
      <c r="AV519" s="93"/>
      <c r="AW519" s="93"/>
      <c r="AX519" s="92"/>
      <c r="AY519" s="92"/>
      <c r="AZ519" s="90"/>
      <c r="BA519" s="83"/>
      <c r="BB519" s="92"/>
      <c r="BC519" s="92"/>
      <c r="BD519" s="92"/>
      <c r="BE519" s="93"/>
      <c r="BF519" s="92"/>
      <c r="BG519" s="82"/>
      <c r="BH519" s="82"/>
      <c r="BI519" s="29"/>
      <c r="BJ519" s="29"/>
      <c r="BK519" s="29"/>
    </row>
    <row r="520" ht="15.75" hidden="1" customHeight="1">
      <c r="A520" s="75"/>
      <c r="B520" s="73"/>
      <c r="C520" s="76"/>
      <c r="D520" s="76"/>
      <c r="E520" s="76"/>
      <c r="F520" s="77"/>
      <c r="G520" s="78"/>
      <c r="H520" s="76"/>
      <c r="I520" s="76"/>
      <c r="J520" s="79"/>
      <c r="K520" s="80"/>
      <c r="L520" s="81"/>
      <c r="M520" s="81"/>
      <c r="N520" s="82"/>
      <c r="O520" s="83"/>
      <c r="P520" s="84"/>
      <c r="Q520" s="84"/>
      <c r="R520" s="81"/>
      <c r="S520" s="85"/>
      <c r="T520" s="86"/>
      <c r="U520" s="86"/>
      <c r="V520" s="87"/>
      <c r="W520" s="87"/>
      <c r="X520" s="87"/>
      <c r="Y520" s="87"/>
      <c r="Z520" s="87"/>
      <c r="AA520" s="87"/>
      <c r="AB520" s="29"/>
      <c r="AC520" s="94"/>
      <c r="AD520" s="94"/>
      <c r="AE520" s="89"/>
      <c r="AF520" s="89"/>
      <c r="AG520" s="89"/>
      <c r="AH520" s="89"/>
      <c r="AI520" s="90"/>
      <c r="AJ520" s="90"/>
      <c r="AK520" s="90"/>
      <c r="AL520" s="90"/>
      <c r="AM520" s="91"/>
      <c r="AN520" s="91"/>
      <c r="AO520" s="92"/>
      <c r="AP520" s="92"/>
      <c r="AQ520" s="92"/>
      <c r="AR520" s="92"/>
      <c r="AS520" s="93"/>
      <c r="AT520" s="93"/>
      <c r="AU520" s="93"/>
      <c r="AV520" s="93"/>
      <c r="AW520" s="93"/>
      <c r="AX520" s="92"/>
      <c r="AY520" s="92"/>
      <c r="AZ520" s="90"/>
      <c r="BA520" s="83"/>
      <c r="BB520" s="92"/>
      <c r="BC520" s="92"/>
      <c r="BD520" s="92"/>
      <c r="BE520" s="93"/>
      <c r="BF520" s="92"/>
      <c r="BG520" s="82"/>
      <c r="BH520" s="82"/>
      <c r="BI520" s="29"/>
      <c r="BJ520" s="29"/>
      <c r="BK520" s="29"/>
    </row>
    <row r="521" ht="15.75" hidden="1" customHeight="1">
      <c r="A521" s="75"/>
      <c r="B521" s="73"/>
      <c r="C521" s="76"/>
      <c r="D521" s="76"/>
      <c r="E521" s="76"/>
      <c r="F521" s="77"/>
      <c r="G521" s="78"/>
      <c r="H521" s="76"/>
      <c r="I521" s="76"/>
      <c r="J521" s="79"/>
      <c r="K521" s="80"/>
      <c r="L521" s="81"/>
      <c r="M521" s="81"/>
      <c r="N521" s="82"/>
      <c r="O521" s="83"/>
      <c r="P521" s="84"/>
      <c r="Q521" s="84"/>
      <c r="R521" s="81"/>
      <c r="S521" s="85"/>
      <c r="T521" s="86"/>
      <c r="U521" s="86"/>
      <c r="V521" s="87"/>
      <c r="W521" s="87"/>
      <c r="X521" s="87"/>
      <c r="Y521" s="87"/>
      <c r="Z521" s="87"/>
      <c r="AA521" s="87"/>
      <c r="AB521" s="29"/>
      <c r="AC521" s="94"/>
      <c r="AD521" s="94"/>
      <c r="AE521" s="89"/>
      <c r="AF521" s="89"/>
      <c r="AG521" s="89"/>
      <c r="AH521" s="89"/>
      <c r="AI521" s="90"/>
      <c r="AJ521" s="90"/>
      <c r="AK521" s="90"/>
      <c r="AL521" s="90"/>
      <c r="AM521" s="91"/>
      <c r="AN521" s="91"/>
      <c r="AO521" s="92"/>
      <c r="AP521" s="92"/>
      <c r="AQ521" s="92"/>
      <c r="AR521" s="92"/>
      <c r="AS521" s="93"/>
      <c r="AT521" s="93"/>
      <c r="AU521" s="93"/>
      <c r="AV521" s="93"/>
      <c r="AW521" s="93"/>
      <c r="AX521" s="92"/>
      <c r="AY521" s="92"/>
      <c r="AZ521" s="90"/>
      <c r="BA521" s="83"/>
      <c r="BB521" s="92"/>
      <c r="BC521" s="92"/>
      <c r="BD521" s="92"/>
      <c r="BE521" s="93"/>
      <c r="BF521" s="92"/>
      <c r="BG521" s="82"/>
      <c r="BH521" s="82"/>
      <c r="BI521" s="29"/>
      <c r="BJ521" s="29"/>
      <c r="BK521" s="29"/>
    </row>
    <row r="522" ht="15.75" hidden="1" customHeight="1">
      <c r="A522" s="75"/>
      <c r="B522" s="73"/>
      <c r="C522" s="76"/>
      <c r="D522" s="76"/>
      <c r="E522" s="76"/>
      <c r="F522" s="77"/>
      <c r="G522" s="78"/>
      <c r="H522" s="76"/>
      <c r="I522" s="76"/>
      <c r="J522" s="79"/>
      <c r="K522" s="80"/>
      <c r="L522" s="81"/>
      <c r="M522" s="81"/>
      <c r="N522" s="82"/>
      <c r="O522" s="83"/>
      <c r="P522" s="84"/>
      <c r="Q522" s="84"/>
      <c r="R522" s="81"/>
      <c r="S522" s="85"/>
      <c r="T522" s="86"/>
      <c r="U522" s="86"/>
      <c r="V522" s="87"/>
      <c r="W522" s="87"/>
      <c r="X522" s="87"/>
      <c r="Y522" s="87"/>
      <c r="Z522" s="87"/>
      <c r="AA522" s="87"/>
      <c r="AB522" s="29"/>
      <c r="AC522" s="94"/>
      <c r="AD522" s="94"/>
      <c r="AE522" s="89"/>
      <c r="AF522" s="89"/>
      <c r="AG522" s="89"/>
      <c r="AH522" s="89"/>
      <c r="AI522" s="90"/>
      <c r="AJ522" s="90"/>
      <c r="AK522" s="90"/>
      <c r="AL522" s="90"/>
      <c r="AM522" s="91"/>
      <c r="AN522" s="91"/>
      <c r="AO522" s="92"/>
      <c r="AP522" s="92"/>
      <c r="AQ522" s="92"/>
      <c r="AR522" s="92"/>
      <c r="AS522" s="93"/>
      <c r="AT522" s="93"/>
      <c r="AU522" s="93"/>
      <c r="AV522" s="93"/>
      <c r="AW522" s="93"/>
      <c r="AX522" s="92"/>
      <c r="AY522" s="92"/>
      <c r="AZ522" s="90"/>
      <c r="BA522" s="83"/>
      <c r="BB522" s="92"/>
      <c r="BC522" s="92"/>
      <c r="BD522" s="92"/>
      <c r="BE522" s="93"/>
      <c r="BF522" s="92"/>
      <c r="BG522" s="82"/>
      <c r="BH522" s="82"/>
      <c r="BI522" s="29"/>
      <c r="BJ522" s="29"/>
      <c r="BK522" s="29"/>
    </row>
    <row r="523" ht="15.75" hidden="1" customHeight="1">
      <c r="A523" s="75"/>
      <c r="B523" s="73"/>
      <c r="C523" s="76"/>
      <c r="D523" s="76"/>
      <c r="E523" s="76"/>
      <c r="F523" s="77"/>
      <c r="G523" s="78"/>
      <c r="H523" s="76"/>
      <c r="I523" s="76"/>
      <c r="J523" s="79"/>
      <c r="K523" s="80"/>
      <c r="L523" s="81"/>
      <c r="M523" s="81"/>
      <c r="N523" s="82"/>
      <c r="O523" s="83"/>
      <c r="P523" s="84"/>
      <c r="Q523" s="84"/>
      <c r="R523" s="81"/>
      <c r="S523" s="85"/>
      <c r="T523" s="86"/>
      <c r="U523" s="86"/>
      <c r="V523" s="87"/>
      <c r="W523" s="87"/>
      <c r="X523" s="87"/>
      <c r="Y523" s="87"/>
      <c r="Z523" s="87"/>
      <c r="AA523" s="87"/>
      <c r="AB523" s="29"/>
      <c r="AC523" s="94"/>
      <c r="AD523" s="94"/>
      <c r="AE523" s="89"/>
      <c r="AF523" s="89"/>
      <c r="AG523" s="89"/>
      <c r="AH523" s="89"/>
      <c r="AI523" s="90"/>
      <c r="AJ523" s="90"/>
      <c r="AK523" s="90"/>
      <c r="AL523" s="90"/>
      <c r="AM523" s="91"/>
      <c r="AN523" s="91"/>
      <c r="AO523" s="92"/>
      <c r="AP523" s="92"/>
      <c r="AQ523" s="92"/>
      <c r="AR523" s="92"/>
      <c r="AS523" s="93"/>
      <c r="AT523" s="93"/>
      <c r="AU523" s="93"/>
      <c r="AV523" s="93"/>
      <c r="AW523" s="93"/>
      <c r="AX523" s="92"/>
      <c r="AY523" s="92"/>
      <c r="AZ523" s="90"/>
      <c r="BA523" s="83"/>
      <c r="BB523" s="92"/>
      <c r="BC523" s="92"/>
      <c r="BD523" s="92"/>
      <c r="BE523" s="93"/>
      <c r="BF523" s="92"/>
      <c r="BG523" s="82"/>
      <c r="BH523" s="82"/>
      <c r="BI523" s="29"/>
      <c r="BJ523" s="29"/>
      <c r="BK523" s="29"/>
    </row>
    <row r="524" ht="15.75" hidden="1" customHeight="1">
      <c r="A524" s="75"/>
      <c r="B524" s="73"/>
      <c r="C524" s="76"/>
      <c r="D524" s="76"/>
      <c r="E524" s="76"/>
      <c r="F524" s="77"/>
      <c r="G524" s="78"/>
      <c r="H524" s="76"/>
      <c r="I524" s="76"/>
      <c r="J524" s="79"/>
      <c r="K524" s="80"/>
      <c r="L524" s="81"/>
      <c r="M524" s="81"/>
      <c r="N524" s="82"/>
      <c r="O524" s="83"/>
      <c r="P524" s="84"/>
      <c r="Q524" s="84"/>
      <c r="R524" s="81"/>
      <c r="S524" s="85"/>
      <c r="T524" s="86"/>
      <c r="U524" s="86"/>
      <c r="V524" s="87"/>
      <c r="W524" s="87"/>
      <c r="X524" s="87"/>
      <c r="Y524" s="87"/>
      <c r="Z524" s="87"/>
      <c r="AA524" s="87"/>
      <c r="AB524" s="29"/>
      <c r="AC524" s="94"/>
      <c r="AD524" s="94"/>
      <c r="AE524" s="89"/>
      <c r="AF524" s="89"/>
      <c r="AG524" s="89"/>
      <c r="AH524" s="89"/>
      <c r="AI524" s="90"/>
      <c r="AJ524" s="90"/>
      <c r="AK524" s="90"/>
      <c r="AL524" s="90"/>
      <c r="AM524" s="91"/>
      <c r="AN524" s="91"/>
      <c r="AO524" s="92"/>
      <c r="AP524" s="92"/>
      <c r="AQ524" s="92"/>
      <c r="AR524" s="92"/>
      <c r="AS524" s="93"/>
      <c r="AT524" s="93"/>
      <c r="AU524" s="93"/>
      <c r="AV524" s="93"/>
      <c r="AW524" s="93"/>
      <c r="AX524" s="92"/>
      <c r="AY524" s="92"/>
      <c r="AZ524" s="90"/>
      <c r="BA524" s="83"/>
      <c r="BB524" s="92"/>
      <c r="BC524" s="92"/>
      <c r="BD524" s="92"/>
      <c r="BE524" s="93"/>
      <c r="BF524" s="92"/>
      <c r="BG524" s="82"/>
      <c r="BH524" s="82"/>
      <c r="BI524" s="29"/>
      <c r="BJ524" s="29"/>
      <c r="BK524" s="29"/>
    </row>
    <row r="525" ht="15.75" hidden="1" customHeight="1">
      <c r="A525" s="75"/>
      <c r="B525" s="73"/>
      <c r="C525" s="76"/>
      <c r="D525" s="76"/>
      <c r="E525" s="76"/>
      <c r="F525" s="77"/>
      <c r="G525" s="78"/>
      <c r="H525" s="76"/>
      <c r="I525" s="76"/>
      <c r="J525" s="79"/>
      <c r="K525" s="80"/>
      <c r="L525" s="81"/>
      <c r="M525" s="81"/>
      <c r="N525" s="82"/>
      <c r="O525" s="83"/>
      <c r="P525" s="84"/>
      <c r="Q525" s="84"/>
      <c r="R525" s="81"/>
      <c r="S525" s="85"/>
      <c r="T525" s="86"/>
      <c r="U525" s="86"/>
      <c r="V525" s="87"/>
      <c r="W525" s="87"/>
      <c r="X525" s="87"/>
      <c r="Y525" s="87"/>
      <c r="Z525" s="87"/>
      <c r="AA525" s="87"/>
      <c r="AB525" s="29"/>
      <c r="AC525" s="94"/>
      <c r="AD525" s="94"/>
      <c r="AE525" s="89"/>
      <c r="AF525" s="89"/>
      <c r="AG525" s="89"/>
      <c r="AH525" s="89"/>
      <c r="AI525" s="90"/>
      <c r="AJ525" s="90"/>
      <c r="AK525" s="90"/>
      <c r="AL525" s="90"/>
      <c r="AM525" s="91"/>
      <c r="AN525" s="91"/>
      <c r="AO525" s="92"/>
      <c r="AP525" s="92"/>
      <c r="AQ525" s="92"/>
      <c r="AR525" s="92"/>
      <c r="AS525" s="93"/>
      <c r="AT525" s="93"/>
      <c r="AU525" s="93"/>
      <c r="AV525" s="93"/>
      <c r="AW525" s="93"/>
      <c r="AX525" s="92"/>
      <c r="AY525" s="92"/>
      <c r="AZ525" s="90"/>
      <c r="BA525" s="83"/>
      <c r="BB525" s="92"/>
      <c r="BC525" s="92"/>
      <c r="BD525" s="92"/>
      <c r="BE525" s="93"/>
      <c r="BF525" s="92"/>
      <c r="BG525" s="82"/>
      <c r="BH525" s="82"/>
      <c r="BI525" s="29"/>
      <c r="BJ525" s="29"/>
      <c r="BK525" s="29"/>
    </row>
    <row r="526" ht="15.75" hidden="1" customHeight="1">
      <c r="A526" s="75"/>
      <c r="B526" s="73"/>
      <c r="C526" s="76"/>
      <c r="D526" s="76"/>
      <c r="E526" s="76"/>
      <c r="F526" s="77"/>
      <c r="G526" s="78"/>
      <c r="H526" s="76"/>
      <c r="I526" s="76"/>
      <c r="J526" s="79"/>
      <c r="K526" s="80"/>
      <c r="L526" s="81"/>
      <c r="M526" s="81"/>
      <c r="N526" s="82"/>
      <c r="O526" s="83"/>
      <c r="P526" s="84"/>
      <c r="Q526" s="84"/>
      <c r="R526" s="81"/>
      <c r="S526" s="85"/>
      <c r="T526" s="86"/>
      <c r="U526" s="86"/>
      <c r="V526" s="87"/>
      <c r="W526" s="87"/>
      <c r="X526" s="87"/>
      <c r="Y526" s="87"/>
      <c r="Z526" s="87"/>
      <c r="AA526" s="87"/>
      <c r="AB526" s="29"/>
      <c r="AC526" s="94"/>
      <c r="AD526" s="94"/>
      <c r="AE526" s="89"/>
      <c r="AF526" s="89"/>
      <c r="AG526" s="89"/>
      <c r="AH526" s="89"/>
      <c r="AI526" s="90"/>
      <c r="AJ526" s="90"/>
      <c r="AK526" s="90"/>
      <c r="AL526" s="90"/>
      <c r="AM526" s="91"/>
      <c r="AN526" s="91"/>
      <c r="AO526" s="92"/>
      <c r="AP526" s="92"/>
      <c r="AQ526" s="92"/>
      <c r="AR526" s="92"/>
      <c r="AS526" s="93"/>
      <c r="AT526" s="93"/>
      <c r="AU526" s="93"/>
      <c r="AV526" s="93"/>
      <c r="AW526" s="93"/>
      <c r="AX526" s="92"/>
      <c r="AY526" s="92"/>
      <c r="AZ526" s="90"/>
      <c r="BA526" s="83"/>
      <c r="BB526" s="92"/>
      <c r="BC526" s="92"/>
      <c r="BD526" s="92"/>
      <c r="BE526" s="93"/>
      <c r="BF526" s="92"/>
      <c r="BG526" s="82"/>
      <c r="BH526" s="82"/>
      <c r="BI526" s="29"/>
      <c r="BJ526" s="29"/>
      <c r="BK526" s="29"/>
    </row>
    <row r="527" ht="15.75" hidden="1" customHeight="1">
      <c r="A527" s="75"/>
      <c r="B527" s="73"/>
      <c r="C527" s="76"/>
      <c r="D527" s="76"/>
      <c r="E527" s="76"/>
      <c r="F527" s="77"/>
      <c r="G527" s="78"/>
      <c r="H527" s="76"/>
      <c r="I527" s="76"/>
      <c r="J527" s="79"/>
      <c r="K527" s="80"/>
      <c r="L527" s="81"/>
      <c r="M527" s="81"/>
      <c r="N527" s="82"/>
      <c r="O527" s="83"/>
      <c r="P527" s="84"/>
      <c r="Q527" s="84"/>
      <c r="R527" s="81"/>
      <c r="S527" s="85"/>
      <c r="T527" s="86"/>
      <c r="U527" s="86"/>
      <c r="V527" s="87"/>
      <c r="W527" s="87"/>
      <c r="X527" s="87"/>
      <c r="Y527" s="87"/>
      <c r="Z527" s="87"/>
      <c r="AA527" s="87"/>
      <c r="AB527" s="29"/>
      <c r="AC527" s="94"/>
      <c r="AD527" s="94"/>
      <c r="AE527" s="89"/>
      <c r="AF527" s="89"/>
      <c r="AG527" s="89"/>
      <c r="AH527" s="89"/>
      <c r="AI527" s="90"/>
      <c r="AJ527" s="90"/>
      <c r="AK527" s="90"/>
      <c r="AL527" s="90"/>
      <c r="AM527" s="91"/>
      <c r="AN527" s="91"/>
      <c r="AO527" s="92"/>
      <c r="AP527" s="92"/>
      <c r="AQ527" s="92"/>
      <c r="AR527" s="92"/>
      <c r="AS527" s="93"/>
      <c r="AT527" s="93"/>
      <c r="AU527" s="93"/>
      <c r="AV527" s="93"/>
      <c r="AW527" s="93"/>
      <c r="AX527" s="92"/>
      <c r="AY527" s="92"/>
      <c r="AZ527" s="90"/>
      <c r="BA527" s="83"/>
      <c r="BB527" s="92"/>
      <c r="BC527" s="92"/>
      <c r="BD527" s="92"/>
      <c r="BE527" s="93"/>
      <c r="BF527" s="92"/>
      <c r="BG527" s="82"/>
      <c r="BH527" s="82"/>
      <c r="BI527" s="29"/>
      <c r="BJ527" s="29"/>
      <c r="BK527" s="29"/>
    </row>
    <row r="528" ht="15.75" hidden="1" customHeight="1">
      <c r="A528" s="75"/>
      <c r="B528" s="73"/>
      <c r="C528" s="76"/>
      <c r="D528" s="76"/>
      <c r="E528" s="76"/>
      <c r="F528" s="77"/>
      <c r="G528" s="78"/>
      <c r="H528" s="76"/>
      <c r="I528" s="76"/>
      <c r="J528" s="79"/>
      <c r="K528" s="80"/>
      <c r="L528" s="81"/>
      <c r="M528" s="81"/>
      <c r="N528" s="82"/>
      <c r="O528" s="83"/>
      <c r="P528" s="84"/>
      <c r="Q528" s="84"/>
      <c r="R528" s="81"/>
      <c r="S528" s="85"/>
      <c r="T528" s="86"/>
      <c r="U528" s="86"/>
      <c r="V528" s="87"/>
      <c r="W528" s="87"/>
      <c r="X528" s="87"/>
      <c r="Y528" s="87"/>
      <c r="Z528" s="87"/>
      <c r="AA528" s="87"/>
      <c r="AB528" s="29"/>
      <c r="AC528" s="94"/>
      <c r="AD528" s="94"/>
      <c r="AE528" s="89"/>
      <c r="AF528" s="89"/>
      <c r="AG528" s="89"/>
      <c r="AH528" s="89"/>
      <c r="AI528" s="90"/>
      <c r="AJ528" s="90"/>
      <c r="AK528" s="90"/>
      <c r="AL528" s="90"/>
      <c r="AM528" s="91"/>
      <c r="AN528" s="91"/>
      <c r="AO528" s="92"/>
      <c r="AP528" s="92"/>
      <c r="AQ528" s="92"/>
      <c r="AR528" s="92"/>
      <c r="AS528" s="93"/>
      <c r="AT528" s="93"/>
      <c r="AU528" s="93"/>
      <c r="AV528" s="93"/>
      <c r="AW528" s="93"/>
      <c r="AX528" s="92"/>
      <c r="AY528" s="92"/>
      <c r="AZ528" s="90"/>
      <c r="BA528" s="83"/>
      <c r="BB528" s="92"/>
      <c r="BC528" s="92"/>
      <c r="BD528" s="92"/>
      <c r="BE528" s="93"/>
      <c r="BF528" s="92"/>
      <c r="BG528" s="82"/>
      <c r="BH528" s="82"/>
      <c r="BI528" s="29"/>
      <c r="BJ528" s="29"/>
      <c r="BK528" s="29"/>
    </row>
    <row r="529" ht="15.75" hidden="1" customHeight="1">
      <c r="A529" s="75"/>
      <c r="B529" s="73"/>
      <c r="C529" s="76"/>
      <c r="D529" s="76"/>
      <c r="E529" s="76"/>
      <c r="F529" s="77"/>
      <c r="G529" s="78"/>
      <c r="H529" s="76"/>
      <c r="I529" s="76"/>
      <c r="J529" s="79"/>
      <c r="K529" s="80"/>
      <c r="L529" s="81"/>
      <c r="M529" s="81"/>
      <c r="N529" s="82"/>
      <c r="O529" s="83"/>
      <c r="P529" s="84"/>
      <c r="Q529" s="84"/>
      <c r="R529" s="81"/>
      <c r="S529" s="85"/>
      <c r="T529" s="86"/>
      <c r="U529" s="86"/>
      <c r="V529" s="87"/>
      <c r="W529" s="87"/>
      <c r="X529" s="87"/>
      <c r="Y529" s="87"/>
      <c r="Z529" s="87"/>
      <c r="AA529" s="87"/>
      <c r="AB529" s="29"/>
      <c r="AC529" s="94"/>
      <c r="AD529" s="94"/>
      <c r="AE529" s="89"/>
      <c r="AF529" s="89"/>
      <c r="AG529" s="89"/>
      <c r="AH529" s="89"/>
      <c r="AI529" s="90"/>
      <c r="AJ529" s="90"/>
      <c r="AK529" s="90"/>
      <c r="AL529" s="90"/>
      <c r="AM529" s="91"/>
      <c r="AN529" s="91"/>
      <c r="AO529" s="92"/>
      <c r="AP529" s="92"/>
      <c r="AQ529" s="92"/>
      <c r="AR529" s="92"/>
      <c r="AS529" s="93"/>
      <c r="AT529" s="93"/>
      <c r="AU529" s="93"/>
      <c r="AV529" s="93"/>
      <c r="AW529" s="93"/>
      <c r="AX529" s="92"/>
      <c r="AY529" s="92"/>
      <c r="AZ529" s="90"/>
      <c r="BA529" s="83"/>
      <c r="BB529" s="92"/>
      <c r="BC529" s="92"/>
      <c r="BD529" s="92"/>
      <c r="BE529" s="93"/>
      <c r="BF529" s="92"/>
      <c r="BG529" s="82"/>
      <c r="BH529" s="82"/>
      <c r="BI529" s="29"/>
      <c r="BJ529" s="29"/>
      <c r="BK529" s="29"/>
    </row>
    <row r="530" ht="15.75" hidden="1" customHeight="1">
      <c r="A530" s="75"/>
      <c r="B530" s="73"/>
      <c r="C530" s="76"/>
      <c r="D530" s="76"/>
      <c r="E530" s="76"/>
      <c r="F530" s="77"/>
      <c r="G530" s="78"/>
      <c r="H530" s="76"/>
      <c r="I530" s="76"/>
      <c r="J530" s="79"/>
      <c r="K530" s="80"/>
      <c r="L530" s="81"/>
      <c r="M530" s="81"/>
      <c r="N530" s="82"/>
      <c r="O530" s="83"/>
      <c r="P530" s="84"/>
      <c r="Q530" s="84"/>
      <c r="R530" s="81"/>
      <c r="S530" s="85"/>
      <c r="T530" s="86"/>
      <c r="U530" s="86"/>
      <c r="V530" s="87"/>
      <c r="W530" s="87"/>
      <c r="X530" s="87"/>
      <c r="Y530" s="87"/>
      <c r="Z530" s="87"/>
      <c r="AA530" s="87"/>
      <c r="AB530" s="29"/>
      <c r="AC530" s="94"/>
      <c r="AD530" s="94"/>
      <c r="AE530" s="89"/>
      <c r="AF530" s="89"/>
      <c r="AG530" s="89"/>
      <c r="AH530" s="89"/>
      <c r="AI530" s="90"/>
      <c r="AJ530" s="90"/>
      <c r="AK530" s="90"/>
      <c r="AL530" s="90"/>
      <c r="AM530" s="91"/>
      <c r="AN530" s="91"/>
      <c r="AO530" s="92"/>
      <c r="AP530" s="92"/>
      <c r="AQ530" s="92"/>
      <c r="AR530" s="92"/>
      <c r="AS530" s="93"/>
      <c r="AT530" s="93"/>
      <c r="AU530" s="93"/>
      <c r="AV530" s="93"/>
      <c r="AW530" s="93"/>
      <c r="AX530" s="92"/>
      <c r="AY530" s="92"/>
      <c r="AZ530" s="90"/>
      <c r="BA530" s="83"/>
      <c r="BB530" s="92"/>
      <c r="BC530" s="92"/>
      <c r="BD530" s="92"/>
      <c r="BE530" s="93"/>
      <c r="BF530" s="92"/>
      <c r="BG530" s="82"/>
      <c r="BH530" s="82"/>
      <c r="BI530" s="29"/>
      <c r="BJ530" s="29"/>
      <c r="BK530" s="29"/>
    </row>
    <row r="531" ht="15.75" hidden="1" customHeight="1">
      <c r="A531" s="75"/>
      <c r="B531" s="73"/>
      <c r="C531" s="76"/>
      <c r="D531" s="76"/>
      <c r="E531" s="76"/>
      <c r="F531" s="77"/>
      <c r="G531" s="78"/>
      <c r="H531" s="76"/>
      <c r="I531" s="76"/>
      <c r="J531" s="79"/>
      <c r="K531" s="80"/>
      <c r="L531" s="81"/>
      <c r="M531" s="81"/>
      <c r="N531" s="82"/>
      <c r="O531" s="83"/>
      <c r="P531" s="84"/>
      <c r="Q531" s="84"/>
      <c r="R531" s="81"/>
      <c r="S531" s="85"/>
      <c r="T531" s="86"/>
      <c r="U531" s="86"/>
      <c r="V531" s="87"/>
      <c r="W531" s="87"/>
      <c r="X531" s="87"/>
      <c r="Y531" s="87"/>
      <c r="Z531" s="87"/>
      <c r="AA531" s="87"/>
      <c r="AB531" s="29"/>
      <c r="AC531" s="94"/>
      <c r="AD531" s="94"/>
      <c r="AE531" s="89"/>
      <c r="AF531" s="89"/>
      <c r="AG531" s="89"/>
      <c r="AH531" s="89"/>
      <c r="AI531" s="90"/>
      <c r="AJ531" s="90"/>
      <c r="AK531" s="90"/>
      <c r="AL531" s="90"/>
      <c r="AM531" s="91"/>
      <c r="AN531" s="91"/>
      <c r="AO531" s="92"/>
      <c r="AP531" s="92"/>
      <c r="AQ531" s="92"/>
      <c r="AR531" s="92"/>
      <c r="AS531" s="93"/>
      <c r="AT531" s="93"/>
      <c r="AU531" s="93"/>
      <c r="AV531" s="93"/>
      <c r="AW531" s="93"/>
      <c r="AX531" s="92"/>
      <c r="AY531" s="92"/>
      <c r="AZ531" s="90"/>
      <c r="BA531" s="83"/>
      <c r="BB531" s="92"/>
      <c r="BC531" s="92"/>
      <c r="BD531" s="92"/>
      <c r="BE531" s="93"/>
      <c r="BF531" s="92"/>
      <c r="BG531" s="82"/>
      <c r="BH531" s="82"/>
      <c r="BI531" s="29"/>
      <c r="BJ531" s="29"/>
      <c r="BK531" s="29"/>
    </row>
    <row r="532" ht="15.75" hidden="1" customHeight="1">
      <c r="A532" s="75"/>
      <c r="B532" s="73"/>
      <c r="C532" s="76"/>
      <c r="D532" s="76"/>
      <c r="E532" s="76"/>
      <c r="F532" s="77"/>
      <c r="G532" s="78"/>
      <c r="H532" s="76"/>
      <c r="I532" s="76"/>
      <c r="J532" s="79"/>
      <c r="K532" s="80"/>
      <c r="L532" s="81"/>
      <c r="M532" s="81"/>
      <c r="N532" s="82"/>
      <c r="O532" s="83"/>
      <c r="P532" s="84"/>
      <c r="Q532" s="84"/>
      <c r="R532" s="81"/>
      <c r="S532" s="85"/>
      <c r="T532" s="86"/>
      <c r="U532" s="86"/>
      <c r="V532" s="87"/>
      <c r="W532" s="87"/>
      <c r="X532" s="87"/>
      <c r="Y532" s="87"/>
      <c r="Z532" s="87"/>
      <c r="AA532" s="87"/>
      <c r="AB532" s="29"/>
      <c r="AC532" s="94"/>
      <c r="AD532" s="94"/>
      <c r="AE532" s="89"/>
      <c r="AF532" s="89"/>
      <c r="AG532" s="89"/>
      <c r="AH532" s="89"/>
      <c r="AI532" s="90"/>
      <c r="AJ532" s="90"/>
      <c r="AK532" s="90"/>
      <c r="AL532" s="90"/>
      <c r="AM532" s="91"/>
      <c r="AN532" s="91"/>
      <c r="AO532" s="92"/>
      <c r="AP532" s="92"/>
      <c r="AQ532" s="92"/>
      <c r="AR532" s="92"/>
      <c r="AS532" s="93"/>
      <c r="AT532" s="93"/>
      <c r="AU532" s="93"/>
      <c r="AV532" s="93"/>
      <c r="AW532" s="93"/>
      <c r="AX532" s="92"/>
      <c r="AY532" s="92"/>
      <c r="AZ532" s="90"/>
      <c r="BA532" s="83"/>
      <c r="BB532" s="92"/>
      <c r="BC532" s="92"/>
      <c r="BD532" s="92"/>
      <c r="BE532" s="93"/>
      <c r="BF532" s="92"/>
      <c r="BG532" s="82"/>
      <c r="BH532" s="82"/>
      <c r="BI532" s="29"/>
      <c r="BJ532" s="29"/>
      <c r="BK532" s="29"/>
    </row>
    <row r="533" ht="15.75" hidden="1" customHeight="1">
      <c r="A533" s="75"/>
      <c r="B533" s="73"/>
      <c r="C533" s="76"/>
      <c r="D533" s="76"/>
      <c r="E533" s="76"/>
      <c r="F533" s="77"/>
      <c r="G533" s="78"/>
      <c r="H533" s="76"/>
      <c r="I533" s="76"/>
      <c r="J533" s="79"/>
      <c r="K533" s="80"/>
      <c r="L533" s="81"/>
      <c r="M533" s="81"/>
      <c r="N533" s="82"/>
      <c r="O533" s="83"/>
      <c r="P533" s="84"/>
      <c r="Q533" s="84"/>
      <c r="R533" s="81"/>
      <c r="S533" s="85"/>
      <c r="T533" s="86"/>
      <c r="U533" s="86"/>
      <c r="V533" s="87"/>
      <c r="W533" s="87"/>
      <c r="X533" s="87"/>
      <c r="Y533" s="87"/>
      <c r="Z533" s="87"/>
      <c r="AA533" s="87"/>
      <c r="AB533" s="29"/>
      <c r="AC533" s="94"/>
      <c r="AD533" s="94"/>
      <c r="AE533" s="89"/>
      <c r="AF533" s="89"/>
      <c r="AG533" s="89"/>
      <c r="AH533" s="89"/>
      <c r="AI533" s="90"/>
      <c r="AJ533" s="90"/>
      <c r="AK533" s="90"/>
      <c r="AL533" s="90"/>
      <c r="AM533" s="91"/>
      <c r="AN533" s="91"/>
      <c r="AO533" s="92"/>
      <c r="AP533" s="92"/>
      <c r="AQ533" s="92"/>
      <c r="AR533" s="92"/>
      <c r="AS533" s="93"/>
      <c r="AT533" s="93"/>
      <c r="AU533" s="93"/>
      <c r="AV533" s="93"/>
      <c r="AW533" s="93"/>
      <c r="AX533" s="92"/>
      <c r="AY533" s="92"/>
      <c r="AZ533" s="90"/>
      <c r="BA533" s="83"/>
      <c r="BB533" s="92"/>
      <c r="BC533" s="92"/>
      <c r="BD533" s="92"/>
      <c r="BE533" s="93"/>
      <c r="BF533" s="92"/>
      <c r="BG533" s="82"/>
      <c r="BH533" s="82"/>
      <c r="BI533" s="29"/>
      <c r="BJ533" s="29"/>
      <c r="BK533" s="29"/>
    </row>
    <row r="534" ht="15.75" hidden="1" customHeight="1">
      <c r="A534" s="75"/>
      <c r="B534" s="73"/>
      <c r="C534" s="76"/>
      <c r="D534" s="76"/>
      <c r="E534" s="76"/>
      <c r="F534" s="77"/>
      <c r="G534" s="78"/>
      <c r="H534" s="76"/>
      <c r="I534" s="76"/>
      <c r="J534" s="79"/>
      <c r="K534" s="80"/>
      <c r="L534" s="81"/>
      <c r="M534" s="81"/>
      <c r="N534" s="82"/>
      <c r="O534" s="83"/>
      <c r="P534" s="84"/>
      <c r="Q534" s="84"/>
      <c r="R534" s="81"/>
      <c r="S534" s="85"/>
      <c r="T534" s="86"/>
      <c r="U534" s="86"/>
      <c r="V534" s="87"/>
      <c r="W534" s="87"/>
      <c r="X534" s="87"/>
      <c r="Y534" s="87"/>
      <c r="Z534" s="87"/>
      <c r="AA534" s="87"/>
      <c r="AB534" s="29"/>
      <c r="AC534" s="94"/>
      <c r="AD534" s="94"/>
      <c r="AE534" s="89"/>
      <c r="AF534" s="89"/>
      <c r="AG534" s="89"/>
      <c r="AH534" s="89"/>
      <c r="AI534" s="90"/>
      <c r="AJ534" s="90"/>
      <c r="AK534" s="90"/>
      <c r="AL534" s="90"/>
      <c r="AM534" s="91"/>
      <c r="AN534" s="91"/>
      <c r="AO534" s="92"/>
      <c r="AP534" s="92"/>
      <c r="AQ534" s="92"/>
      <c r="AR534" s="92"/>
      <c r="AS534" s="93"/>
      <c r="AT534" s="93"/>
      <c r="AU534" s="93"/>
      <c r="AV534" s="93"/>
      <c r="AW534" s="93"/>
      <c r="AX534" s="92"/>
      <c r="AY534" s="92"/>
      <c r="AZ534" s="90"/>
      <c r="BA534" s="83"/>
      <c r="BB534" s="92"/>
      <c r="BC534" s="92"/>
      <c r="BD534" s="92"/>
      <c r="BE534" s="93"/>
      <c r="BF534" s="92"/>
      <c r="BG534" s="82"/>
      <c r="BH534" s="82"/>
      <c r="BI534" s="29"/>
      <c r="BJ534" s="29"/>
      <c r="BK534" s="29"/>
    </row>
    <row r="535" ht="15.75" hidden="1" customHeight="1">
      <c r="A535" s="75"/>
      <c r="B535" s="73"/>
      <c r="C535" s="76"/>
      <c r="D535" s="76"/>
      <c r="E535" s="76"/>
      <c r="F535" s="77"/>
      <c r="G535" s="78"/>
      <c r="H535" s="76"/>
      <c r="I535" s="76"/>
      <c r="J535" s="79"/>
      <c r="K535" s="80"/>
      <c r="L535" s="81"/>
      <c r="M535" s="81"/>
      <c r="N535" s="82"/>
      <c r="O535" s="83"/>
      <c r="P535" s="84"/>
      <c r="Q535" s="84"/>
      <c r="R535" s="81"/>
      <c r="S535" s="85"/>
      <c r="T535" s="86"/>
      <c r="U535" s="86"/>
      <c r="V535" s="87"/>
      <c r="W535" s="87"/>
      <c r="X535" s="87"/>
      <c r="Y535" s="87"/>
      <c r="Z535" s="87"/>
      <c r="AA535" s="87"/>
      <c r="AB535" s="29"/>
      <c r="AC535" s="94"/>
      <c r="AD535" s="94"/>
      <c r="AE535" s="89"/>
      <c r="AF535" s="89"/>
      <c r="AG535" s="89"/>
      <c r="AH535" s="89"/>
      <c r="AI535" s="90"/>
      <c r="AJ535" s="90"/>
      <c r="AK535" s="90"/>
      <c r="AL535" s="90"/>
      <c r="AM535" s="91"/>
      <c r="AN535" s="91"/>
      <c r="AO535" s="92"/>
      <c r="AP535" s="92"/>
      <c r="AQ535" s="92"/>
      <c r="AR535" s="92"/>
      <c r="AS535" s="93"/>
      <c r="AT535" s="93"/>
      <c r="AU535" s="93"/>
      <c r="AV535" s="93"/>
      <c r="AW535" s="93"/>
      <c r="AX535" s="92"/>
      <c r="AY535" s="92"/>
      <c r="AZ535" s="90"/>
      <c r="BA535" s="83"/>
      <c r="BB535" s="92"/>
      <c r="BC535" s="92"/>
      <c r="BD535" s="92"/>
      <c r="BE535" s="93"/>
      <c r="BF535" s="92"/>
      <c r="BG535" s="82"/>
      <c r="BH535" s="82"/>
      <c r="BI535" s="29"/>
      <c r="BJ535" s="29"/>
      <c r="BK535" s="29"/>
    </row>
    <row r="536" ht="15.75" hidden="1" customHeight="1">
      <c r="A536" s="75"/>
      <c r="B536" s="73"/>
      <c r="C536" s="76"/>
      <c r="D536" s="76"/>
      <c r="E536" s="76"/>
      <c r="F536" s="77"/>
      <c r="G536" s="78"/>
      <c r="H536" s="76"/>
      <c r="I536" s="76"/>
      <c r="J536" s="79"/>
      <c r="K536" s="80"/>
      <c r="L536" s="81"/>
      <c r="M536" s="81"/>
      <c r="N536" s="82"/>
      <c r="O536" s="83"/>
      <c r="P536" s="84"/>
      <c r="Q536" s="84"/>
      <c r="R536" s="81"/>
      <c r="S536" s="85"/>
      <c r="T536" s="86"/>
      <c r="U536" s="86"/>
      <c r="V536" s="87"/>
      <c r="W536" s="87"/>
      <c r="X536" s="87"/>
      <c r="Y536" s="87"/>
      <c r="Z536" s="87"/>
      <c r="AA536" s="87"/>
      <c r="AB536" s="29"/>
      <c r="AC536" s="94"/>
      <c r="AD536" s="94"/>
      <c r="AE536" s="89"/>
      <c r="AF536" s="89"/>
      <c r="AG536" s="89"/>
      <c r="AH536" s="89"/>
      <c r="AI536" s="90"/>
      <c r="AJ536" s="90"/>
      <c r="AK536" s="90"/>
      <c r="AL536" s="90"/>
      <c r="AM536" s="91"/>
      <c r="AN536" s="91"/>
      <c r="AO536" s="92"/>
      <c r="AP536" s="92"/>
      <c r="AQ536" s="92"/>
      <c r="AR536" s="92"/>
      <c r="AS536" s="93"/>
      <c r="AT536" s="93"/>
      <c r="AU536" s="93"/>
      <c r="AV536" s="93"/>
      <c r="AW536" s="93"/>
      <c r="AX536" s="92"/>
      <c r="AY536" s="92"/>
      <c r="AZ536" s="90"/>
      <c r="BA536" s="83"/>
      <c r="BB536" s="92"/>
      <c r="BC536" s="92"/>
      <c r="BD536" s="92"/>
      <c r="BE536" s="93"/>
      <c r="BF536" s="92"/>
      <c r="BG536" s="82"/>
      <c r="BH536" s="82"/>
      <c r="BI536" s="29"/>
      <c r="BJ536" s="29"/>
      <c r="BK536" s="29"/>
    </row>
    <row r="537" ht="15.75" hidden="1" customHeight="1">
      <c r="A537" s="75"/>
      <c r="B537" s="73"/>
      <c r="C537" s="76"/>
      <c r="D537" s="76"/>
      <c r="E537" s="76"/>
      <c r="F537" s="77"/>
      <c r="G537" s="78"/>
      <c r="H537" s="76"/>
      <c r="I537" s="76"/>
      <c r="J537" s="79"/>
      <c r="K537" s="80"/>
      <c r="L537" s="81"/>
      <c r="M537" s="81"/>
      <c r="N537" s="82"/>
      <c r="O537" s="83"/>
      <c r="P537" s="84"/>
      <c r="Q537" s="84"/>
      <c r="R537" s="81"/>
      <c r="S537" s="85"/>
      <c r="T537" s="86"/>
      <c r="U537" s="86"/>
      <c r="V537" s="87"/>
      <c r="W537" s="87"/>
      <c r="X537" s="87"/>
      <c r="Y537" s="87"/>
      <c r="Z537" s="87"/>
      <c r="AA537" s="87"/>
      <c r="AB537" s="29"/>
      <c r="AC537" s="94"/>
      <c r="AD537" s="94"/>
      <c r="AE537" s="89"/>
      <c r="AF537" s="89"/>
      <c r="AG537" s="89"/>
      <c r="AH537" s="89"/>
      <c r="AI537" s="90"/>
      <c r="AJ537" s="90"/>
      <c r="AK537" s="90"/>
      <c r="AL537" s="90"/>
      <c r="AM537" s="91"/>
      <c r="AN537" s="91"/>
      <c r="AO537" s="92"/>
      <c r="AP537" s="92"/>
      <c r="AQ537" s="92"/>
      <c r="AR537" s="92"/>
      <c r="AS537" s="93"/>
      <c r="AT537" s="93"/>
      <c r="AU537" s="93"/>
      <c r="AV537" s="93"/>
      <c r="AW537" s="93"/>
      <c r="AX537" s="92"/>
      <c r="AY537" s="92"/>
      <c r="AZ537" s="90"/>
      <c r="BA537" s="83"/>
      <c r="BB537" s="92"/>
      <c r="BC537" s="92"/>
      <c r="BD537" s="92"/>
      <c r="BE537" s="93"/>
      <c r="BF537" s="92"/>
      <c r="BG537" s="82"/>
      <c r="BH537" s="82"/>
      <c r="BI537" s="29"/>
      <c r="BJ537" s="29"/>
      <c r="BK537" s="29"/>
    </row>
    <row r="538" ht="15.75" hidden="1" customHeight="1">
      <c r="A538" s="75"/>
      <c r="B538" s="73"/>
      <c r="C538" s="76"/>
      <c r="D538" s="76"/>
      <c r="E538" s="76"/>
      <c r="F538" s="77"/>
      <c r="G538" s="78"/>
      <c r="H538" s="76"/>
      <c r="I538" s="76"/>
      <c r="J538" s="79"/>
      <c r="K538" s="80"/>
      <c r="L538" s="81"/>
      <c r="M538" s="81"/>
      <c r="N538" s="82"/>
      <c r="O538" s="83"/>
      <c r="P538" s="84"/>
      <c r="Q538" s="84"/>
      <c r="R538" s="81"/>
      <c r="S538" s="85"/>
      <c r="T538" s="86"/>
      <c r="U538" s="86"/>
      <c r="V538" s="87"/>
      <c r="W538" s="87"/>
      <c r="X538" s="87"/>
      <c r="Y538" s="87"/>
      <c r="Z538" s="87"/>
      <c r="AA538" s="87"/>
      <c r="AB538" s="29"/>
      <c r="AC538" s="94"/>
      <c r="AD538" s="94"/>
      <c r="AE538" s="89"/>
      <c r="AF538" s="89"/>
      <c r="AG538" s="89"/>
      <c r="AH538" s="89"/>
      <c r="AI538" s="90"/>
      <c r="AJ538" s="90"/>
      <c r="AK538" s="90"/>
      <c r="AL538" s="90"/>
      <c r="AM538" s="91"/>
      <c r="AN538" s="91"/>
      <c r="AO538" s="92"/>
      <c r="AP538" s="92"/>
      <c r="AQ538" s="92"/>
      <c r="AR538" s="92"/>
      <c r="AS538" s="93"/>
      <c r="AT538" s="93"/>
      <c r="AU538" s="93"/>
      <c r="AV538" s="93"/>
      <c r="AW538" s="93"/>
      <c r="AX538" s="92"/>
      <c r="AY538" s="92"/>
      <c r="AZ538" s="90"/>
      <c r="BA538" s="83"/>
      <c r="BB538" s="92"/>
      <c r="BC538" s="92"/>
      <c r="BD538" s="92"/>
      <c r="BE538" s="93"/>
      <c r="BF538" s="92"/>
      <c r="BG538" s="82"/>
      <c r="BH538" s="82"/>
      <c r="BI538" s="29"/>
      <c r="BJ538" s="29"/>
      <c r="BK538" s="29"/>
    </row>
    <row r="539" ht="15.75" hidden="1" customHeight="1">
      <c r="A539" s="75"/>
      <c r="B539" s="73"/>
      <c r="C539" s="76"/>
      <c r="D539" s="76"/>
      <c r="E539" s="76"/>
      <c r="F539" s="77"/>
      <c r="G539" s="78"/>
      <c r="H539" s="76"/>
      <c r="I539" s="76"/>
      <c r="J539" s="79"/>
      <c r="K539" s="80"/>
      <c r="L539" s="81"/>
      <c r="M539" s="81"/>
      <c r="N539" s="82"/>
      <c r="O539" s="83"/>
      <c r="P539" s="84"/>
      <c r="Q539" s="84"/>
      <c r="R539" s="81"/>
      <c r="S539" s="85"/>
      <c r="T539" s="86"/>
      <c r="U539" s="86"/>
      <c r="V539" s="87"/>
      <c r="W539" s="87"/>
      <c r="X539" s="87"/>
      <c r="Y539" s="87"/>
      <c r="Z539" s="87"/>
      <c r="AA539" s="87"/>
      <c r="AB539" s="29"/>
      <c r="AC539" s="94"/>
      <c r="AD539" s="94"/>
      <c r="AE539" s="89"/>
      <c r="AF539" s="89"/>
      <c r="AG539" s="89"/>
      <c r="AH539" s="89"/>
      <c r="AI539" s="90"/>
      <c r="AJ539" s="90"/>
      <c r="AK539" s="90"/>
      <c r="AL539" s="90"/>
      <c r="AM539" s="91"/>
      <c r="AN539" s="91"/>
      <c r="AO539" s="92"/>
      <c r="AP539" s="92"/>
      <c r="AQ539" s="92"/>
      <c r="AR539" s="92"/>
      <c r="AS539" s="93"/>
      <c r="AT539" s="93"/>
      <c r="AU539" s="93"/>
      <c r="AV539" s="93"/>
      <c r="AW539" s="93"/>
      <c r="AX539" s="92"/>
      <c r="AY539" s="92"/>
      <c r="AZ539" s="90"/>
      <c r="BA539" s="83"/>
      <c r="BB539" s="92"/>
      <c r="BC539" s="92"/>
      <c r="BD539" s="92"/>
      <c r="BE539" s="93"/>
      <c r="BF539" s="92"/>
      <c r="BG539" s="82"/>
      <c r="BH539" s="82"/>
      <c r="BI539" s="29"/>
      <c r="BJ539" s="29"/>
      <c r="BK539" s="29"/>
    </row>
    <row r="540" ht="15.75" hidden="1" customHeight="1">
      <c r="A540" s="75"/>
      <c r="B540" s="73"/>
      <c r="C540" s="76"/>
      <c r="D540" s="76"/>
      <c r="E540" s="76"/>
      <c r="F540" s="77"/>
      <c r="G540" s="78"/>
      <c r="H540" s="76"/>
      <c r="I540" s="76"/>
      <c r="J540" s="79"/>
      <c r="K540" s="80"/>
      <c r="L540" s="81"/>
      <c r="M540" s="81"/>
      <c r="N540" s="82"/>
      <c r="O540" s="83"/>
      <c r="P540" s="84"/>
      <c r="Q540" s="84"/>
      <c r="R540" s="81"/>
      <c r="S540" s="85"/>
      <c r="T540" s="86"/>
      <c r="U540" s="86"/>
      <c r="V540" s="87"/>
      <c r="W540" s="87"/>
      <c r="X540" s="87"/>
      <c r="Y540" s="87"/>
      <c r="Z540" s="87"/>
      <c r="AA540" s="87"/>
      <c r="AB540" s="29"/>
      <c r="AC540" s="94"/>
      <c r="AD540" s="94"/>
      <c r="AE540" s="89"/>
      <c r="AF540" s="89"/>
      <c r="AG540" s="89"/>
      <c r="AH540" s="89"/>
      <c r="AI540" s="90"/>
      <c r="AJ540" s="90"/>
      <c r="AK540" s="90"/>
      <c r="AL540" s="90"/>
      <c r="AM540" s="91"/>
      <c r="AN540" s="91"/>
      <c r="AO540" s="92"/>
      <c r="AP540" s="92"/>
      <c r="AQ540" s="92"/>
      <c r="AR540" s="92"/>
      <c r="AS540" s="93"/>
      <c r="AT540" s="93"/>
      <c r="AU540" s="93"/>
      <c r="AV540" s="93"/>
      <c r="AW540" s="93"/>
      <c r="AX540" s="92"/>
      <c r="AY540" s="92"/>
      <c r="AZ540" s="90"/>
      <c r="BA540" s="83"/>
      <c r="BB540" s="92"/>
      <c r="BC540" s="92"/>
      <c r="BD540" s="92"/>
      <c r="BE540" s="93"/>
      <c r="BF540" s="92"/>
      <c r="BG540" s="82"/>
      <c r="BH540" s="82"/>
      <c r="BI540" s="29"/>
      <c r="BJ540" s="29"/>
      <c r="BK540" s="29"/>
    </row>
    <row r="541" ht="15.75" hidden="1" customHeight="1">
      <c r="A541" s="75"/>
      <c r="B541" s="73"/>
      <c r="C541" s="76"/>
      <c r="D541" s="76"/>
      <c r="E541" s="76"/>
      <c r="F541" s="77"/>
      <c r="G541" s="78"/>
      <c r="H541" s="76"/>
      <c r="I541" s="76"/>
      <c r="J541" s="79"/>
      <c r="K541" s="80"/>
      <c r="L541" s="81"/>
      <c r="M541" s="81"/>
      <c r="N541" s="82"/>
      <c r="O541" s="83"/>
      <c r="P541" s="84"/>
      <c r="Q541" s="84"/>
      <c r="R541" s="81"/>
      <c r="S541" s="85"/>
      <c r="T541" s="86"/>
      <c r="U541" s="86"/>
      <c r="V541" s="87"/>
      <c r="W541" s="87"/>
      <c r="X541" s="87"/>
      <c r="Y541" s="87"/>
      <c r="Z541" s="87"/>
      <c r="AA541" s="87"/>
      <c r="AB541" s="29"/>
      <c r="AC541" s="94"/>
      <c r="AD541" s="94"/>
      <c r="AE541" s="89"/>
      <c r="AF541" s="89"/>
      <c r="AG541" s="89"/>
      <c r="AH541" s="89"/>
      <c r="AI541" s="90"/>
      <c r="AJ541" s="90"/>
      <c r="AK541" s="90"/>
      <c r="AL541" s="90"/>
      <c r="AM541" s="91"/>
      <c r="AN541" s="91"/>
      <c r="AO541" s="92"/>
      <c r="AP541" s="92"/>
      <c r="AQ541" s="92"/>
      <c r="AR541" s="92"/>
      <c r="AS541" s="93"/>
      <c r="AT541" s="93"/>
      <c r="AU541" s="93"/>
      <c r="AV541" s="93"/>
      <c r="AW541" s="93"/>
      <c r="AX541" s="92"/>
      <c r="AY541" s="92"/>
      <c r="AZ541" s="90"/>
      <c r="BA541" s="83"/>
      <c r="BB541" s="92"/>
      <c r="BC541" s="92"/>
      <c r="BD541" s="92"/>
      <c r="BE541" s="93"/>
      <c r="BF541" s="92"/>
      <c r="BG541" s="82"/>
      <c r="BH541" s="82"/>
      <c r="BI541" s="29"/>
      <c r="BJ541" s="29"/>
      <c r="BK541" s="29"/>
    </row>
    <row r="542" ht="15.75" hidden="1" customHeight="1">
      <c r="A542" s="75"/>
      <c r="B542" s="73"/>
      <c r="C542" s="76"/>
      <c r="D542" s="76"/>
      <c r="E542" s="76"/>
      <c r="F542" s="77"/>
      <c r="G542" s="78"/>
      <c r="H542" s="76"/>
      <c r="I542" s="76"/>
      <c r="J542" s="79"/>
      <c r="K542" s="80"/>
      <c r="L542" s="81"/>
      <c r="M542" s="81"/>
      <c r="N542" s="82"/>
      <c r="O542" s="83"/>
      <c r="P542" s="84"/>
      <c r="Q542" s="84"/>
      <c r="R542" s="81"/>
      <c r="S542" s="85"/>
      <c r="T542" s="86"/>
      <c r="U542" s="86"/>
      <c r="V542" s="87"/>
      <c r="W542" s="87"/>
      <c r="X542" s="87"/>
      <c r="Y542" s="87"/>
      <c r="Z542" s="87"/>
      <c r="AA542" s="87"/>
      <c r="AB542" s="29"/>
      <c r="AC542" s="94"/>
      <c r="AD542" s="94"/>
      <c r="AE542" s="89"/>
      <c r="AF542" s="89"/>
      <c r="AG542" s="89"/>
      <c r="AH542" s="89"/>
      <c r="AI542" s="90"/>
      <c r="AJ542" s="90"/>
      <c r="AK542" s="90"/>
      <c r="AL542" s="90"/>
      <c r="AM542" s="91"/>
      <c r="AN542" s="91"/>
      <c r="AO542" s="92"/>
      <c r="AP542" s="92"/>
      <c r="AQ542" s="92"/>
      <c r="AR542" s="92"/>
      <c r="AS542" s="93"/>
      <c r="AT542" s="93"/>
      <c r="AU542" s="93"/>
      <c r="AV542" s="93"/>
      <c r="AW542" s="93"/>
      <c r="AX542" s="92"/>
      <c r="AY542" s="92"/>
      <c r="AZ542" s="90"/>
      <c r="BA542" s="83"/>
      <c r="BB542" s="92"/>
      <c r="BC542" s="92"/>
      <c r="BD542" s="92"/>
      <c r="BE542" s="93"/>
      <c r="BF542" s="92"/>
      <c r="BG542" s="82"/>
      <c r="BH542" s="82"/>
      <c r="BI542" s="29"/>
      <c r="BJ542" s="29"/>
      <c r="BK542" s="29"/>
    </row>
    <row r="543" ht="15.75" hidden="1" customHeight="1">
      <c r="A543" s="75"/>
      <c r="B543" s="73"/>
      <c r="C543" s="76"/>
      <c r="D543" s="76"/>
      <c r="E543" s="76"/>
      <c r="F543" s="77"/>
      <c r="G543" s="78"/>
      <c r="H543" s="76"/>
      <c r="I543" s="76"/>
      <c r="J543" s="79"/>
      <c r="K543" s="80"/>
      <c r="L543" s="81"/>
      <c r="M543" s="81"/>
      <c r="N543" s="82"/>
      <c r="O543" s="83"/>
      <c r="P543" s="84"/>
      <c r="Q543" s="84"/>
      <c r="R543" s="81"/>
      <c r="S543" s="85"/>
      <c r="T543" s="86"/>
      <c r="U543" s="86"/>
      <c r="V543" s="87"/>
      <c r="W543" s="87"/>
      <c r="X543" s="87"/>
      <c r="Y543" s="87"/>
      <c r="Z543" s="87"/>
      <c r="AA543" s="87"/>
      <c r="AB543" s="29"/>
      <c r="AC543" s="94"/>
      <c r="AD543" s="94"/>
      <c r="AE543" s="89"/>
      <c r="AF543" s="89"/>
      <c r="AG543" s="89"/>
      <c r="AH543" s="89"/>
      <c r="AI543" s="90"/>
      <c r="AJ543" s="90"/>
      <c r="AK543" s="90"/>
      <c r="AL543" s="90"/>
      <c r="AM543" s="91"/>
      <c r="AN543" s="91"/>
      <c r="AO543" s="92"/>
      <c r="AP543" s="92"/>
      <c r="AQ543" s="92"/>
      <c r="AR543" s="92"/>
      <c r="AS543" s="93"/>
      <c r="AT543" s="93"/>
      <c r="AU543" s="93"/>
      <c r="AV543" s="93"/>
      <c r="AW543" s="93"/>
      <c r="AX543" s="92"/>
      <c r="AY543" s="92"/>
      <c r="AZ543" s="90"/>
      <c r="BA543" s="83"/>
      <c r="BB543" s="92"/>
      <c r="BC543" s="92"/>
      <c r="BD543" s="92"/>
      <c r="BE543" s="93"/>
      <c r="BF543" s="92"/>
      <c r="BG543" s="82"/>
      <c r="BH543" s="82"/>
      <c r="BI543" s="29"/>
      <c r="BJ543" s="29"/>
      <c r="BK543" s="29"/>
    </row>
    <row r="544" ht="15.75" hidden="1" customHeight="1">
      <c r="A544" s="75"/>
      <c r="B544" s="73"/>
      <c r="C544" s="76"/>
      <c r="D544" s="76"/>
      <c r="E544" s="76"/>
      <c r="F544" s="77"/>
      <c r="G544" s="78"/>
      <c r="H544" s="76"/>
      <c r="I544" s="76"/>
      <c r="J544" s="79"/>
      <c r="K544" s="80"/>
      <c r="L544" s="81"/>
      <c r="M544" s="81"/>
      <c r="N544" s="82"/>
      <c r="O544" s="83"/>
      <c r="P544" s="84"/>
      <c r="Q544" s="84"/>
      <c r="R544" s="81"/>
      <c r="S544" s="85"/>
      <c r="T544" s="86"/>
      <c r="U544" s="86"/>
      <c r="V544" s="87"/>
      <c r="W544" s="87"/>
      <c r="X544" s="87"/>
      <c r="Y544" s="87"/>
      <c r="Z544" s="87"/>
      <c r="AA544" s="87"/>
      <c r="AB544" s="29"/>
      <c r="AC544" s="94"/>
      <c r="AD544" s="94"/>
      <c r="AE544" s="89"/>
      <c r="AF544" s="89"/>
      <c r="AG544" s="89"/>
      <c r="AH544" s="89"/>
      <c r="AI544" s="90"/>
      <c r="AJ544" s="90"/>
      <c r="AK544" s="90"/>
      <c r="AL544" s="90"/>
      <c r="AM544" s="91"/>
      <c r="AN544" s="91"/>
      <c r="AO544" s="92"/>
      <c r="AP544" s="92"/>
      <c r="AQ544" s="92"/>
      <c r="AR544" s="92"/>
      <c r="AS544" s="93"/>
      <c r="AT544" s="93"/>
      <c r="AU544" s="93"/>
      <c r="AV544" s="93"/>
      <c r="AW544" s="93"/>
      <c r="AX544" s="92"/>
      <c r="AY544" s="92"/>
      <c r="AZ544" s="90"/>
      <c r="BA544" s="83"/>
      <c r="BB544" s="92"/>
      <c r="BC544" s="92"/>
      <c r="BD544" s="92"/>
      <c r="BE544" s="93"/>
      <c r="BF544" s="92"/>
      <c r="BG544" s="82"/>
      <c r="BH544" s="82"/>
      <c r="BI544" s="29"/>
      <c r="BJ544" s="29"/>
      <c r="BK544" s="29"/>
    </row>
    <row r="545" ht="15.75" hidden="1" customHeight="1">
      <c r="A545" s="75"/>
      <c r="B545" s="73"/>
      <c r="C545" s="76"/>
      <c r="D545" s="76"/>
      <c r="E545" s="76"/>
      <c r="F545" s="77"/>
      <c r="G545" s="78"/>
      <c r="H545" s="76"/>
      <c r="I545" s="76"/>
      <c r="J545" s="79"/>
      <c r="K545" s="80"/>
      <c r="L545" s="81"/>
      <c r="M545" s="81"/>
      <c r="N545" s="82"/>
      <c r="O545" s="83"/>
      <c r="P545" s="84"/>
      <c r="Q545" s="84"/>
      <c r="R545" s="81"/>
      <c r="S545" s="85"/>
      <c r="T545" s="86"/>
      <c r="U545" s="86"/>
      <c r="V545" s="87"/>
      <c r="W545" s="87"/>
      <c r="X545" s="87"/>
      <c r="Y545" s="87"/>
      <c r="Z545" s="87"/>
      <c r="AA545" s="87"/>
      <c r="AB545" s="29"/>
      <c r="AC545" s="94"/>
      <c r="AD545" s="94"/>
      <c r="AE545" s="89"/>
      <c r="AF545" s="89"/>
      <c r="AG545" s="89"/>
      <c r="AH545" s="89"/>
      <c r="AI545" s="90"/>
      <c r="AJ545" s="90"/>
      <c r="AK545" s="90"/>
      <c r="AL545" s="90"/>
      <c r="AM545" s="91"/>
      <c r="AN545" s="91"/>
      <c r="AO545" s="92"/>
      <c r="AP545" s="92"/>
      <c r="AQ545" s="92"/>
      <c r="AR545" s="92"/>
      <c r="AS545" s="93"/>
      <c r="AT545" s="93"/>
      <c r="AU545" s="93"/>
      <c r="AV545" s="93"/>
      <c r="AW545" s="93"/>
      <c r="AX545" s="92"/>
      <c r="AY545" s="92"/>
      <c r="AZ545" s="90"/>
      <c r="BA545" s="83"/>
      <c r="BB545" s="92"/>
      <c r="BC545" s="92"/>
      <c r="BD545" s="92"/>
      <c r="BE545" s="93"/>
      <c r="BF545" s="92"/>
      <c r="BG545" s="82"/>
      <c r="BH545" s="82"/>
      <c r="BI545" s="29"/>
      <c r="BJ545" s="29"/>
      <c r="BK545" s="29"/>
    </row>
    <row r="546" ht="15.75" hidden="1" customHeight="1">
      <c r="A546" s="75"/>
      <c r="B546" s="73"/>
      <c r="C546" s="76"/>
      <c r="D546" s="76"/>
      <c r="E546" s="76"/>
      <c r="F546" s="77"/>
      <c r="G546" s="78"/>
      <c r="H546" s="76"/>
      <c r="I546" s="76"/>
      <c r="J546" s="79"/>
      <c r="K546" s="80"/>
      <c r="L546" s="81"/>
      <c r="M546" s="81"/>
      <c r="N546" s="82"/>
      <c r="O546" s="83"/>
      <c r="P546" s="84"/>
      <c r="Q546" s="84"/>
      <c r="R546" s="81"/>
      <c r="S546" s="85"/>
      <c r="T546" s="86"/>
      <c r="U546" s="86"/>
      <c r="V546" s="87"/>
      <c r="W546" s="87"/>
      <c r="X546" s="87"/>
      <c r="Y546" s="87"/>
      <c r="Z546" s="87"/>
      <c r="AA546" s="87"/>
      <c r="AB546" s="29"/>
      <c r="AC546" s="94"/>
      <c r="AD546" s="94"/>
      <c r="AE546" s="89"/>
      <c r="AF546" s="89"/>
      <c r="AG546" s="89"/>
      <c r="AH546" s="89"/>
      <c r="AI546" s="90"/>
      <c r="AJ546" s="90"/>
      <c r="AK546" s="90"/>
      <c r="AL546" s="90"/>
      <c r="AM546" s="91"/>
      <c r="AN546" s="91"/>
      <c r="AO546" s="92"/>
      <c r="AP546" s="92"/>
      <c r="AQ546" s="92"/>
      <c r="AR546" s="92"/>
      <c r="AS546" s="93"/>
      <c r="AT546" s="93"/>
      <c r="AU546" s="93"/>
      <c r="AV546" s="93"/>
      <c r="AW546" s="93"/>
      <c r="AX546" s="92"/>
      <c r="AY546" s="92"/>
      <c r="AZ546" s="90"/>
      <c r="BA546" s="83"/>
      <c r="BB546" s="92"/>
      <c r="BC546" s="92"/>
      <c r="BD546" s="92"/>
      <c r="BE546" s="93"/>
      <c r="BF546" s="92"/>
      <c r="BG546" s="82"/>
      <c r="BH546" s="82"/>
      <c r="BI546" s="29"/>
      <c r="BJ546" s="29"/>
      <c r="BK546" s="29"/>
    </row>
    <row r="547" ht="15.75" hidden="1" customHeight="1">
      <c r="A547" s="75"/>
      <c r="B547" s="73"/>
      <c r="C547" s="76"/>
      <c r="D547" s="76"/>
      <c r="E547" s="76"/>
      <c r="F547" s="77"/>
      <c r="G547" s="78"/>
      <c r="H547" s="76"/>
      <c r="I547" s="76"/>
      <c r="J547" s="79"/>
      <c r="K547" s="80"/>
      <c r="L547" s="81"/>
      <c r="M547" s="81"/>
      <c r="N547" s="82"/>
      <c r="O547" s="83"/>
      <c r="P547" s="84"/>
      <c r="Q547" s="84"/>
      <c r="R547" s="81"/>
      <c r="S547" s="85"/>
      <c r="T547" s="86"/>
      <c r="U547" s="86"/>
      <c r="V547" s="87"/>
      <c r="W547" s="87"/>
      <c r="X547" s="87"/>
      <c r="Y547" s="87"/>
      <c r="Z547" s="87"/>
      <c r="AA547" s="87"/>
      <c r="AB547" s="29"/>
      <c r="AC547" s="94"/>
      <c r="AD547" s="94"/>
      <c r="AE547" s="89"/>
      <c r="AF547" s="89"/>
      <c r="AG547" s="89"/>
      <c r="AH547" s="89"/>
      <c r="AI547" s="90"/>
      <c r="AJ547" s="90"/>
      <c r="AK547" s="90"/>
      <c r="AL547" s="90"/>
      <c r="AM547" s="91"/>
      <c r="AN547" s="91"/>
      <c r="AO547" s="92"/>
      <c r="AP547" s="92"/>
      <c r="AQ547" s="92"/>
      <c r="AR547" s="92"/>
      <c r="AS547" s="93"/>
      <c r="AT547" s="93"/>
      <c r="AU547" s="93"/>
      <c r="AV547" s="93"/>
      <c r="AW547" s="93"/>
      <c r="AX547" s="92"/>
      <c r="AY547" s="92"/>
      <c r="AZ547" s="90"/>
      <c r="BA547" s="83"/>
      <c r="BB547" s="92"/>
      <c r="BC547" s="92"/>
      <c r="BD547" s="92"/>
      <c r="BE547" s="93"/>
      <c r="BF547" s="92"/>
      <c r="BG547" s="82"/>
      <c r="BH547" s="82"/>
      <c r="BI547" s="29"/>
      <c r="BJ547" s="29"/>
      <c r="BK547" s="29"/>
    </row>
    <row r="548" ht="15.75" hidden="1" customHeight="1">
      <c r="A548" s="75"/>
      <c r="B548" s="73"/>
      <c r="C548" s="76"/>
      <c r="D548" s="76"/>
      <c r="E548" s="76"/>
      <c r="F548" s="77"/>
      <c r="G548" s="78"/>
      <c r="H548" s="76"/>
      <c r="I548" s="76"/>
      <c r="J548" s="79"/>
      <c r="K548" s="80"/>
      <c r="L548" s="81"/>
      <c r="M548" s="81"/>
      <c r="N548" s="82"/>
      <c r="O548" s="83"/>
      <c r="P548" s="84"/>
      <c r="Q548" s="84"/>
      <c r="R548" s="81"/>
      <c r="S548" s="85"/>
      <c r="T548" s="86"/>
      <c r="U548" s="86"/>
      <c r="V548" s="87"/>
      <c r="W548" s="87"/>
      <c r="X548" s="87"/>
      <c r="Y548" s="87"/>
      <c r="Z548" s="87"/>
      <c r="AA548" s="87"/>
      <c r="AB548" s="29"/>
      <c r="AC548" s="94"/>
      <c r="AD548" s="94"/>
      <c r="AE548" s="89"/>
      <c r="AF548" s="89"/>
      <c r="AG548" s="89"/>
      <c r="AH548" s="89"/>
      <c r="AI548" s="90"/>
      <c r="AJ548" s="90"/>
      <c r="AK548" s="90"/>
      <c r="AL548" s="90"/>
      <c r="AM548" s="91"/>
      <c r="AN548" s="91"/>
      <c r="AO548" s="92"/>
      <c r="AP548" s="92"/>
      <c r="AQ548" s="92"/>
      <c r="AR548" s="92"/>
      <c r="AS548" s="93"/>
      <c r="AT548" s="93"/>
      <c r="AU548" s="93"/>
      <c r="AV548" s="93"/>
      <c r="AW548" s="93"/>
      <c r="AX548" s="92"/>
      <c r="AY548" s="92"/>
      <c r="AZ548" s="90"/>
      <c r="BA548" s="83"/>
      <c r="BB548" s="92"/>
      <c r="BC548" s="92"/>
      <c r="BD548" s="92"/>
      <c r="BE548" s="93"/>
      <c r="BF548" s="92"/>
      <c r="BG548" s="82"/>
      <c r="BH548" s="82"/>
      <c r="BI548" s="29"/>
      <c r="BJ548" s="29"/>
      <c r="BK548" s="29"/>
    </row>
    <row r="549" ht="15.75" hidden="1" customHeight="1">
      <c r="A549" s="75"/>
      <c r="B549" s="73"/>
      <c r="C549" s="76"/>
      <c r="D549" s="76"/>
      <c r="E549" s="76"/>
      <c r="F549" s="77"/>
      <c r="G549" s="78"/>
      <c r="H549" s="76"/>
      <c r="I549" s="76"/>
      <c r="J549" s="79"/>
      <c r="K549" s="80"/>
      <c r="L549" s="81"/>
      <c r="M549" s="81"/>
      <c r="N549" s="82"/>
      <c r="O549" s="83"/>
      <c r="P549" s="84"/>
      <c r="Q549" s="84"/>
      <c r="R549" s="81"/>
      <c r="S549" s="85"/>
      <c r="T549" s="86"/>
      <c r="U549" s="86"/>
      <c r="V549" s="87"/>
      <c r="W549" s="87"/>
      <c r="X549" s="87"/>
      <c r="Y549" s="87"/>
      <c r="Z549" s="87"/>
      <c r="AA549" s="87"/>
      <c r="AB549" s="29"/>
      <c r="AC549" s="94"/>
      <c r="AD549" s="94"/>
      <c r="AE549" s="89"/>
      <c r="AF549" s="89"/>
      <c r="AG549" s="89"/>
      <c r="AH549" s="89"/>
      <c r="AI549" s="90"/>
      <c r="AJ549" s="90"/>
      <c r="AK549" s="90"/>
      <c r="AL549" s="90"/>
      <c r="AM549" s="91"/>
      <c r="AN549" s="91"/>
      <c r="AO549" s="92"/>
      <c r="AP549" s="92"/>
      <c r="AQ549" s="92"/>
      <c r="AR549" s="92"/>
      <c r="AS549" s="93"/>
      <c r="AT549" s="93"/>
      <c r="AU549" s="93"/>
      <c r="AV549" s="93"/>
      <c r="AW549" s="93"/>
      <c r="AX549" s="92"/>
      <c r="AY549" s="92"/>
      <c r="AZ549" s="90"/>
      <c r="BA549" s="83"/>
      <c r="BB549" s="92"/>
      <c r="BC549" s="92"/>
      <c r="BD549" s="92"/>
      <c r="BE549" s="93"/>
      <c r="BF549" s="92"/>
      <c r="BG549" s="82"/>
      <c r="BH549" s="82"/>
      <c r="BI549" s="29"/>
      <c r="BJ549" s="29"/>
      <c r="BK549" s="29"/>
    </row>
    <row r="550" ht="15.75" hidden="1" customHeight="1">
      <c r="A550" s="75"/>
      <c r="B550" s="73"/>
      <c r="C550" s="76"/>
      <c r="D550" s="76"/>
      <c r="E550" s="76"/>
      <c r="F550" s="77"/>
      <c r="G550" s="78"/>
      <c r="H550" s="76"/>
      <c r="I550" s="76"/>
      <c r="J550" s="79"/>
      <c r="K550" s="80"/>
      <c r="L550" s="81"/>
      <c r="M550" s="81"/>
      <c r="N550" s="82"/>
      <c r="O550" s="83"/>
      <c r="P550" s="84"/>
      <c r="Q550" s="84"/>
      <c r="R550" s="81"/>
      <c r="S550" s="85"/>
      <c r="T550" s="86"/>
      <c r="U550" s="86"/>
      <c r="V550" s="87"/>
      <c r="W550" s="87"/>
      <c r="X550" s="87"/>
      <c r="Y550" s="87"/>
      <c r="Z550" s="87"/>
      <c r="AA550" s="87"/>
      <c r="AB550" s="29"/>
      <c r="AC550" s="94"/>
      <c r="AD550" s="94"/>
      <c r="AE550" s="89"/>
      <c r="AF550" s="89"/>
      <c r="AG550" s="89"/>
      <c r="AH550" s="89"/>
      <c r="AI550" s="90"/>
      <c r="AJ550" s="90"/>
      <c r="AK550" s="90"/>
      <c r="AL550" s="90"/>
      <c r="AM550" s="91"/>
      <c r="AN550" s="91"/>
      <c r="AO550" s="92"/>
      <c r="AP550" s="92"/>
      <c r="AQ550" s="92"/>
      <c r="AR550" s="92"/>
      <c r="AS550" s="93"/>
      <c r="AT550" s="93"/>
      <c r="AU550" s="93"/>
      <c r="AV550" s="93"/>
      <c r="AW550" s="93"/>
      <c r="AX550" s="92"/>
      <c r="AY550" s="92"/>
      <c r="AZ550" s="90"/>
      <c r="BA550" s="83"/>
      <c r="BB550" s="92"/>
      <c r="BC550" s="92"/>
      <c r="BD550" s="92"/>
      <c r="BE550" s="93"/>
      <c r="BF550" s="92"/>
      <c r="BG550" s="82"/>
      <c r="BH550" s="82"/>
      <c r="BI550" s="29"/>
      <c r="BJ550" s="29"/>
      <c r="BK550" s="29"/>
    </row>
    <row r="551" ht="15.75" hidden="1" customHeight="1">
      <c r="A551" s="75"/>
      <c r="B551" s="73"/>
      <c r="C551" s="76"/>
      <c r="D551" s="76"/>
      <c r="E551" s="76"/>
      <c r="F551" s="77"/>
      <c r="G551" s="78"/>
      <c r="H551" s="76"/>
      <c r="I551" s="76"/>
      <c r="J551" s="79"/>
      <c r="K551" s="80"/>
      <c r="L551" s="81"/>
      <c r="M551" s="81"/>
      <c r="N551" s="82"/>
      <c r="O551" s="83"/>
      <c r="P551" s="84"/>
      <c r="Q551" s="84"/>
      <c r="R551" s="81"/>
      <c r="S551" s="85"/>
      <c r="T551" s="86"/>
      <c r="U551" s="86"/>
      <c r="V551" s="87"/>
      <c r="W551" s="87"/>
      <c r="X551" s="87"/>
      <c r="Y551" s="87"/>
      <c r="Z551" s="87"/>
      <c r="AA551" s="87"/>
      <c r="AB551" s="29"/>
      <c r="AC551" s="94"/>
      <c r="AD551" s="94"/>
      <c r="AE551" s="89"/>
      <c r="AF551" s="89"/>
      <c r="AG551" s="89"/>
      <c r="AH551" s="89"/>
      <c r="AI551" s="90"/>
      <c r="AJ551" s="90"/>
      <c r="AK551" s="90"/>
      <c r="AL551" s="90"/>
      <c r="AM551" s="91"/>
      <c r="AN551" s="91"/>
      <c r="AO551" s="92"/>
      <c r="AP551" s="92"/>
      <c r="AQ551" s="92"/>
      <c r="AR551" s="92"/>
      <c r="AS551" s="93"/>
      <c r="AT551" s="93"/>
      <c r="AU551" s="93"/>
      <c r="AV551" s="93"/>
      <c r="AW551" s="93"/>
      <c r="AX551" s="92"/>
      <c r="AY551" s="92"/>
      <c r="AZ551" s="90"/>
      <c r="BA551" s="83"/>
      <c r="BB551" s="92"/>
      <c r="BC551" s="92"/>
      <c r="BD551" s="92"/>
      <c r="BE551" s="93"/>
      <c r="BF551" s="92"/>
      <c r="BG551" s="82"/>
      <c r="BH551" s="82"/>
      <c r="BI551" s="29"/>
      <c r="BJ551" s="29"/>
      <c r="BK551" s="29"/>
    </row>
    <row r="552" ht="15.75" hidden="1" customHeight="1">
      <c r="A552" s="75"/>
      <c r="B552" s="73"/>
      <c r="C552" s="76"/>
      <c r="D552" s="76"/>
      <c r="E552" s="76"/>
      <c r="F552" s="77"/>
      <c r="G552" s="78"/>
      <c r="H552" s="76"/>
      <c r="I552" s="76"/>
      <c r="J552" s="79"/>
      <c r="K552" s="80"/>
      <c r="L552" s="81"/>
      <c r="M552" s="81"/>
      <c r="N552" s="82"/>
      <c r="O552" s="83"/>
      <c r="P552" s="84"/>
      <c r="Q552" s="84"/>
      <c r="R552" s="81"/>
      <c r="S552" s="85"/>
      <c r="T552" s="86"/>
      <c r="U552" s="86"/>
      <c r="V552" s="87"/>
      <c r="W552" s="87"/>
      <c r="X552" s="87"/>
      <c r="Y552" s="87"/>
      <c r="Z552" s="87"/>
      <c r="AA552" s="87"/>
      <c r="AB552" s="29"/>
      <c r="AC552" s="94"/>
      <c r="AD552" s="94"/>
      <c r="AE552" s="89"/>
      <c r="AF552" s="89"/>
      <c r="AG552" s="89"/>
      <c r="AH552" s="89"/>
      <c r="AI552" s="90"/>
      <c r="AJ552" s="90"/>
      <c r="AK552" s="90"/>
      <c r="AL552" s="90"/>
      <c r="AM552" s="91"/>
      <c r="AN552" s="91"/>
      <c r="AO552" s="92"/>
      <c r="AP552" s="92"/>
      <c r="AQ552" s="92"/>
      <c r="AR552" s="92"/>
      <c r="AS552" s="93"/>
      <c r="AT552" s="93"/>
      <c r="AU552" s="93"/>
      <c r="AV552" s="93"/>
      <c r="AW552" s="93"/>
      <c r="AX552" s="92"/>
      <c r="AY552" s="92"/>
      <c r="AZ552" s="90"/>
      <c r="BA552" s="83"/>
      <c r="BB552" s="92"/>
      <c r="BC552" s="92"/>
      <c r="BD552" s="92"/>
      <c r="BE552" s="93"/>
      <c r="BF552" s="92"/>
      <c r="BG552" s="82"/>
      <c r="BH552" s="82"/>
      <c r="BI552" s="29"/>
      <c r="BJ552" s="29"/>
      <c r="BK552" s="29"/>
    </row>
    <row r="553" ht="15.75" hidden="1" customHeight="1">
      <c r="A553" s="75"/>
      <c r="B553" s="73"/>
      <c r="C553" s="76"/>
      <c r="D553" s="76"/>
      <c r="E553" s="76"/>
      <c r="F553" s="77"/>
      <c r="G553" s="78"/>
      <c r="H553" s="76"/>
      <c r="I553" s="76"/>
      <c r="J553" s="79"/>
      <c r="K553" s="80"/>
      <c r="L553" s="81"/>
      <c r="M553" s="81"/>
      <c r="N553" s="82"/>
      <c r="O553" s="83"/>
      <c r="P553" s="84"/>
      <c r="Q553" s="84"/>
      <c r="R553" s="81"/>
      <c r="S553" s="85"/>
      <c r="T553" s="86"/>
      <c r="U553" s="86"/>
      <c r="V553" s="87"/>
      <c r="W553" s="87"/>
      <c r="X553" s="87"/>
      <c r="Y553" s="87"/>
      <c r="Z553" s="87"/>
      <c r="AA553" s="87"/>
      <c r="AB553" s="29"/>
      <c r="AC553" s="94"/>
      <c r="AD553" s="94"/>
      <c r="AE553" s="89"/>
      <c r="AF553" s="89"/>
      <c r="AG553" s="89"/>
      <c r="AH553" s="89"/>
      <c r="AI553" s="90"/>
      <c r="AJ553" s="90"/>
      <c r="AK553" s="90"/>
      <c r="AL553" s="90"/>
      <c r="AM553" s="91"/>
      <c r="AN553" s="91"/>
      <c r="AO553" s="92"/>
      <c r="AP553" s="92"/>
      <c r="AQ553" s="92"/>
      <c r="AR553" s="92"/>
      <c r="AS553" s="93"/>
      <c r="AT553" s="93"/>
      <c r="AU553" s="93"/>
      <c r="AV553" s="93"/>
      <c r="AW553" s="93"/>
      <c r="AX553" s="92"/>
      <c r="AY553" s="92"/>
      <c r="AZ553" s="90"/>
      <c r="BA553" s="83"/>
      <c r="BB553" s="92"/>
      <c r="BC553" s="92"/>
      <c r="BD553" s="92"/>
      <c r="BE553" s="93"/>
      <c r="BF553" s="92"/>
      <c r="BG553" s="82"/>
      <c r="BH553" s="82"/>
      <c r="BI553" s="29"/>
      <c r="BJ553" s="29"/>
      <c r="BK553" s="29"/>
    </row>
    <row r="554" ht="15.75" hidden="1" customHeight="1">
      <c r="A554" s="75"/>
      <c r="B554" s="73"/>
      <c r="C554" s="76"/>
      <c r="D554" s="76"/>
      <c r="E554" s="76"/>
      <c r="F554" s="77"/>
      <c r="G554" s="78"/>
      <c r="H554" s="76"/>
      <c r="I554" s="76"/>
      <c r="J554" s="79"/>
      <c r="K554" s="80"/>
      <c r="L554" s="81"/>
      <c r="M554" s="81"/>
      <c r="N554" s="82"/>
      <c r="O554" s="83"/>
      <c r="P554" s="84"/>
      <c r="Q554" s="84"/>
      <c r="R554" s="81"/>
      <c r="S554" s="85"/>
      <c r="T554" s="86"/>
      <c r="U554" s="86"/>
      <c r="V554" s="87"/>
      <c r="W554" s="87"/>
      <c r="X554" s="87"/>
      <c r="Y554" s="87"/>
      <c r="Z554" s="87"/>
      <c r="AA554" s="87"/>
      <c r="AB554" s="29"/>
      <c r="AC554" s="94"/>
      <c r="AD554" s="94"/>
      <c r="AE554" s="89"/>
      <c r="AF554" s="89"/>
      <c r="AG554" s="89"/>
      <c r="AH554" s="89"/>
      <c r="AI554" s="90"/>
      <c r="AJ554" s="90"/>
      <c r="AK554" s="90"/>
      <c r="AL554" s="90"/>
      <c r="AM554" s="91"/>
      <c r="AN554" s="91"/>
      <c r="AO554" s="92"/>
      <c r="AP554" s="92"/>
      <c r="AQ554" s="92"/>
      <c r="AR554" s="92"/>
      <c r="AS554" s="93"/>
      <c r="AT554" s="93"/>
      <c r="AU554" s="93"/>
      <c r="AV554" s="93"/>
      <c r="AW554" s="93"/>
      <c r="AX554" s="92"/>
      <c r="AY554" s="92"/>
      <c r="AZ554" s="90"/>
      <c r="BA554" s="83"/>
      <c r="BB554" s="92"/>
      <c r="BC554" s="92"/>
      <c r="BD554" s="92"/>
      <c r="BE554" s="93"/>
      <c r="BF554" s="92"/>
      <c r="BG554" s="82"/>
      <c r="BH554" s="82"/>
      <c r="BI554" s="29"/>
      <c r="BJ554" s="29"/>
      <c r="BK554" s="29"/>
    </row>
    <row r="555" ht="15.75" hidden="1" customHeight="1">
      <c r="A555" s="75"/>
      <c r="B555" s="73"/>
      <c r="C555" s="76"/>
      <c r="D555" s="76"/>
      <c r="E555" s="76"/>
      <c r="F555" s="77"/>
      <c r="G555" s="78"/>
      <c r="H555" s="76"/>
      <c r="I555" s="76"/>
      <c r="J555" s="79"/>
      <c r="K555" s="80"/>
      <c r="L555" s="81"/>
      <c r="M555" s="81"/>
      <c r="N555" s="82"/>
      <c r="O555" s="83"/>
      <c r="P555" s="84"/>
      <c r="Q555" s="84"/>
      <c r="R555" s="81"/>
      <c r="S555" s="85"/>
      <c r="T555" s="86"/>
      <c r="U555" s="86"/>
      <c r="V555" s="87"/>
      <c r="W555" s="87"/>
      <c r="X555" s="87"/>
      <c r="Y555" s="87"/>
      <c r="Z555" s="87"/>
      <c r="AA555" s="87"/>
      <c r="AB555" s="29"/>
      <c r="AC555" s="94"/>
      <c r="AD555" s="94"/>
      <c r="AE555" s="89"/>
      <c r="AF555" s="89"/>
      <c r="AG555" s="89"/>
      <c r="AH555" s="89"/>
      <c r="AI555" s="90"/>
      <c r="AJ555" s="90"/>
      <c r="AK555" s="90"/>
      <c r="AL555" s="90"/>
      <c r="AM555" s="91"/>
      <c r="AN555" s="91"/>
      <c r="AO555" s="92"/>
      <c r="AP555" s="92"/>
      <c r="AQ555" s="92"/>
      <c r="AR555" s="92"/>
      <c r="AS555" s="93"/>
      <c r="AT555" s="93"/>
      <c r="AU555" s="93"/>
      <c r="AV555" s="93"/>
      <c r="AW555" s="93"/>
      <c r="AX555" s="92"/>
      <c r="AY555" s="92"/>
      <c r="AZ555" s="90"/>
      <c r="BA555" s="83"/>
      <c r="BB555" s="92"/>
      <c r="BC555" s="92"/>
      <c r="BD555" s="92"/>
      <c r="BE555" s="93"/>
      <c r="BF555" s="92"/>
      <c r="BG555" s="82"/>
      <c r="BH555" s="82"/>
      <c r="BI555" s="29"/>
      <c r="BJ555" s="29"/>
      <c r="BK555" s="29"/>
    </row>
    <row r="556" ht="15.75" hidden="1" customHeight="1">
      <c r="A556" s="75"/>
      <c r="B556" s="73"/>
      <c r="C556" s="76"/>
      <c r="D556" s="76"/>
      <c r="E556" s="76"/>
      <c r="F556" s="77"/>
      <c r="G556" s="78"/>
      <c r="H556" s="76"/>
      <c r="I556" s="76"/>
      <c r="J556" s="79"/>
      <c r="K556" s="80"/>
      <c r="L556" s="81"/>
      <c r="M556" s="81"/>
      <c r="N556" s="82"/>
      <c r="O556" s="83"/>
      <c r="P556" s="84"/>
      <c r="Q556" s="84"/>
      <c r="R556" s="81"/>
      <c r="S556" s="85"/>
      <c r="T556" s="86"/>
      <c r="U556" s="86"/>
      <c r="V556" s="87"/>
      <c r="W556" s="87"/>
      <c r="X556" s="87"/>
      <c r="Y556" s="87"/>
      <c r="Z556" s="87"/>
      <c r="AA556" s="87"/>
      <c r="AB556" s="29"/>
      <c r="AC556" s="94"/>
      <c r="AD556" s="94"/>
      <c r="AE556" s="89"/>
      <c r="AF556" s="89"/>
      <c r="AG556" s="89"/>
      <c r="AH556" s="89"/>
      <c r="AI556" s="90"/>
      <c r="AJ556" s="90"/>
      <c r="AK556" s="90"/>
      <c r="AL556" s="90"/>
      <c r="AM556" s="91"/>
      <c r="AN556" s="91"/>
      <c r="AO556" s="92"/>
      <c r="AP556" s="92"/>
      <c r="AQ556" s="92"/>
      <c r="AR556" s="92"/>
      <c r="AS556" s="93"/>
      <c r="AT556" s="93"/>
      <c r="AU556" s="93"/>
      <c r="AV556" s="93"/>
      <c r="AW556" s="93"/>
      <c r="AX556" s="92"/>
      <c r="AY556" s="92"/>
      <c r="AZ556" s="90"/>
      <c r="BA556" s="83"/>
      <c r="BB556" s="92"/>
      <c r="BC556" s="92"/>
      <c r="BD556" s="92"/>
      <c r="BE556" s="93"/>
      <c r="BF556" s="92"/>
      <c r="BG556" s="82"/>
      <c r="BH556" s="82"/>
      <c r="BI556" s="29"/>
      <c r="BJ556" s="29"/>
      <c r="BK556" s="29"/>
    </row>
    <row r="557" ht="15.75" hidden="1" customHeight="1">
      <c r="A557" s="75"/>
      <c r="B557" s="73"/>
      <c r="C557" s="76"/>
      <c r="D557" s="76"/>
      <c r="E557" s="76"/>
      <c r="F557" s="77"/>
      <c r="G557" s="78"/>
      <c r="H557" s="76"/>
      <c r="I557" s="76"/>
      <c r="J557" s="79"/>
      <c r="K557" s="80"/>
      <c r="L557" s="81"/>
      <c r="M557" s="81"/>
      <c r="N557" s="82"/>
      <c r="O557" s="83"/>
      <c r="P557" s="84"/>
      <c r="Q557" s="84"/>
      <c r="R557" s="81"/>
      <c r="S557" s="85"/>
      <c r="T557" s="86"/>
      <c r="U557" s="86"/>
      <c r="V557" s="87"/>
      <c r="W557" s="87"/>
      <c r="X557" s="87"/>
      <c r="Y557" s="87"/>
      <c r="Z557" s="87"/>
      <c r="AA557" s="87"/>
      <c r="AB557" s="29"/>
      <c r="AC557" s="94"/>
      <c r="AD557" s="94"/>
      <c r="AE557" s="89"/>
      <c r="AF557" s="89"/>
      <c r="AG557" s="89"/>
      <c r="AH557" s="89"/>
      <c r="AI557" s="90"/>
      <c r="AJ557" s="90"/>
      <c r="AK557" s="90"/>
      <c r="AL557" s="90"/>
      <c r="AM557" s="91"/>
      <c r="AN557" s="91"/>
      <c r="AO557" s="92"/>
      <c r="AP557" s="92"/>
      <c r="AQ557" s="92"/>
      <c r="AR557" s="92"/>
      <c r="AS557" s="93"/>
      <c r="AT557" s="93"/>
      <c r="AU557" s="93"/>
      <c r="AV557" s="93"/>
      <c r="AW557" s="93"/>
      <c r="AX557" s="92"/>
      <c r="AY557" s="92"/>
      <c r="AZ557" s="90"/>
      <c r="BA557" s="83"/>
      <c r="BB557" s="92"/>
      <c r="BC557" s="92"/>
      <c r="BD557" s="92"/>
      <c r="BE557" s="93"/>
      <c r="BF557" s="92"/>
      <c r="BG557" s="82"/>
      <c r="BH557" s="82"/>
      <c r="BI557" s="29"/>
      <c r="BJ557" s="29"/>
      <c r="BK557" s="29"/>
    </row>
    <row r="558" ht="15.75" hidden="1" customHeight="1">
      <c r="A558" s="75"/>
      <c r="B558" s="73"/>
      <c r="C558" s="76"/>
      <c r="D558" s="76"/>
      <c r="E558" s="76"/>
      <c r="F558" s="77"/>
      <c r="G558" s="78"/>
      <c r="H558" s="76"/>
      <c r="I558" s="76"/>
      <c r="J558" s="79"/>
      <c r="K558" s="80"/>
      <c r="L558" s="81"/>
      <c r="M558" s="81"/>
      <c r="N558" s="82"/>
      <c r="O558" s="83"/>
      <c r="P558" s="84"/>
      <c r="Q558" s="84"/>
      <c r="R558" s="81"/>
      <c r="S558" s="85"/>
      <c r="T558" s="86"/>
      <c r="U558" s="86"/>
      <c r="V558" s="87"/>
      <c r="W558" s="87"/>
      <c r="X558" s="87"/>
      <c r="Y558" s="87"/>
      <c r="Z558" s="87"/>
      <c r="AA558" s="87"/>
      <c r="AB558" s="29"/>
      <c r="AC558" s="94"/>
      <c r="AD558" s="94"/>
      <c r="AE558" s="89"/>
      <c r="AF558" s="89"/>
      <c r="AG558" s="89"/>
      <c r="AH558" s="89"/>
      <c r="AI558" s="90"/>
      <c r="AJ558" s="90"/>
      <c r="AK558" s="90"/>
      <c r="AL558" s="90"/>
      <c r="AM558" s="91"/>
      <c r="AN558" s="91"/>
      <c r="AO558" s="92"/>
      <c r="AP558" s="92"/>
      <c r="AQ558" s="92"/>
      <c r="AR558" s="92"/>
      <c r="AS558" s="93"/>
      <c r="AT558" s="93"/>
      <c r="AU558" s="93"/>
      <c r="AV558" s="93"/>
      <c r="AW558" s="93"/>
      <c r="AX558" s="92"/>
      <c r="AY558" s="92"/>
      <c r="AZ558" s="90"/>
      <c r="BA558" s="83"/>
      <c r="BB558" s="92"/>
      <c r="BC558" s="92"/>
      <c r="BD558" s="92"/>
      <c r="BE558" s="93"/>
      <c r="BF558" s="92"/>
      <c r="BG558" s="82"/>
      <c r="BH558" s="82"/>
      <c r="BI558" s="29"/>
      <c r="BJ558" s="29"/>
      <c r="BK558" s="29"/>
    </row>
    <row r="559" ht="15.75" hidden="1" customHeight="1">
      <c r="A559" s="75"/>
      <c r="B559" s="73"/>
      <c r="C559" s="76"/>
      <c r="D559" s="76"/>
      <c r="E559" s="76"/>
      <c r="F559" s="77"/>
      <c r="G559" s="78"/>
      <c r="H559" s="76"/>
      <c r="I559" s="76"/>
      <c r="J559" s="79"/>
      <c r="K559" s="80"/>
      <c r="L559" s="81"/>
      <c r="M559" s="81"/>
      <c r="N559" s="82"/>
      <c r="O559" s="83"/>
      <c r="P559" s="84"/>
      <c r="Q559" s="84"/>
      <c r="R559" s="81"/>
      <c r="S559" s="85"/>
      <c r="T559" s="86"/>
      <c r="U559" s="86"/>
      <c r="V559" s="87"/>
      <c r="W559" s="87"/>
      <c r="X559" s="87"/>
      <c r="Y559" s="87"/>
      <c r="Z559" s="87"/>
      <c r="AA559" s="87"/>
      <c r="AB559" s="29"/>
      <c r="AC559" s="94"/>
      <c r="AD559" s="94"/>
      <c r="AE559" s="89"/>
      <c r="AF559" s="89"/>
      <c r="AG559" s="89"/>
      <c r="AH559" s="89"/>
      <c r="AI559" s="90"/>
      <c r="AJ559" s="90"/>
      <c r="AK559" s="90"/>
      <c r="AL559" s="90"/>
      <c r="AM559" s="91"/>
      <c r="AN559" s="91"/>
      <c r="AO559" s="92"/>
      <c r="AP559" s="92"/>
      <c r="AQ559" s="92"/>
      <c r="AR559" s="92"/>
      <c r="AS559" s="93"/>
      <c r="AT559" s="93"/>
      <c r="AU559" s="93"/>
      <c r="AV559" s="93"/>
      <c r="AW559" s="93"/>
      <c r="AX559" s="92"/>
      <c r="AY559" s="92"/>
      <c r="AZ559" s="90"/>
      <c r="BA559" s="83"/>
      <c r="BB559" s="92"/>
      <c r="BC559" s="92"/>
      <c r="BD559" s="92"/>
      <c r="BE559" s="93"/>
      <c r="BF559" s="92"/>
      <c r="BG559" s="82"/>
      <c r="BH559" s="82"/>
      <c r="BI559" s="29"/>
      <c r="BJ559" s="29"/>
      <c r="BK559" s="29"/>
    </row>
    <row r="560" ht="15.75" hidden="1" customHeight="1">
      <c r="A560" s="75"/>
      <c r="B560" s="73"/>
      <c r="C560" s="76"/>
      <c r="D560" s="76"/>
      <c r="E560" s="76"/>
      <c r="F560" s="77"/>
      <c r="G560" s="78"/>
      <c r="H560" s="76"/>
      <c r="I560" s="76"/>
      <c r="J560" s="79"/>
      <c r="K560" s="80"/>
      <c r="L560" s="81"/>
      <c r="M560" s="81"/>
      <c r="N560" s="82"/>
      <c r="O560" s="83"/>
      <c r="P560" s="84"/>
      <c r="Q560" s="84"/>
      <c r="R560" s="81"/>
      <c r="S560" s="85"/>
      <c r="T560" s="86"/>
      <c r="U560" s="86"/>
      <c r="V560" s="87"/>
      <c r="W560" s="87"/>
      <c r="X560" s="87"/>
      <c r="Y560" s="87"/>
      <c r="Z560" s="87"/>
      <c r="AA560" s="87"/>
      <c r="AB560" s="29"/>
      <c r="AC560" s="94"/>
      <c r="AD560" s="94"/>
      <c r="AE560" s="89"/>
      <c r="AF560" s="89"/>
      <c r="AG560" s="89"/>
      <c r="AH560" s="89"/>
      <c r="AI560" s="90"/>
      <c r="AJ560" s="90"/>
      <c r="AK560" s="90"/>
      <c r="AL560" s="90"/>
      <c r="AM560" s="91"/>
      <c r="AN560" s="91"/>
      <c r="AO560" s="92"/>
      <c r="AP560" s="92"/>
      <c r="AQ560" s="92"/>
      <c r="AR560" s="92"/>
      <c r="AS560" s="93"/>
      <c r="AT560" s="93"/>
      <c r="AU560" s="93"/>
      <c r="AV560" s="93"/>
      <c r="AW560" s="93"/>
      <c r="AX560" s="92"/>
      <c r="AY560" s="92"/>
      <c r="AZ560" s="90"/>
      <c r="BA560" s="83"/>
      <c r="BB560" s="92"/>
      <c r="BC560" s="92"/>
      <c r="BD560" s="92"/>
      <c r="BE560" s="93"/>
      <c r="BF560" s="92"/>
      <c r="BG560" s="82"/>
      <c r="BH560" s="82"/>
      <c r="BI560" s="29"/>
      <c r="BJ560" s="29"/>
      <c r="BK560" s="29"/>
    </row>
    <row r="561" ht="15.75" hidden="1" customHeight="1">
      <c r="A561" s="75"/>
      <c r="B561" s="73"/>
      <c r="C561" s="76"/>
      <c r="D561" s="76"/>
      <c r="E561" s="76"/>
      <c r="F561" s="77"/>
      <c r="G561" s="78"/>
      <c r="H561" s="76"/>
      <c r="I561" s="76"/>
      <c r="J561" s="79"/>
      <c r="K561" s="80"/>
      <c r="L561" s="81"/>
      <c r="M561" s="81"/>
      <c r="N561" s="82"/>
      <c r="O561" s="83"/>
      <c r="P561" s="84"/>
      <c r="Q561" s="84"/>
      <c r="R561" s="81"/>
      <c r="S561" s="85"/>
      <c r="T561" s="86"/>
      <c r="U561" s="86"/>
      <c r="V561" s="87"/>
      <c r="W561" s="87"/>
      <c r="X561" s="87"/>
      <c r="Y561" s="87"/>
      <c r="Z561" s="87"/>
      <c r="AA561" s="87"/>
      <c r="AB561" s="29"/>
      <c r="AC561" s="94"/>
      <c r="AD561" s="94"/>
      <c r="AE561" s="89"/>
      <c r="AF561" s="89"/>
      <c r="AG561" s="89"/>
      <c r="AH561" s="89"/>
      <c r="AI561" s="90"/>
      <c r="AJ561" s="90"/>
      <c r="AK561" s="90"/>
      <c r="AL561" s="90"/>
      <c r="AM561" s="91"/>
      <c r="AN561" s="91"/>
      <c r="AO561" s="92"/>
      <c r="AP561" s="92"/>
      <c r="AQ561" s="92"/>
      <c r="AR561" s="92"/>
      <c r="AS561" s="93"/>
      <c r="AT561" s="93"/>
      <c r="AU561" s="93"/>
      <c r="AV561" s="93"/>
      <c r="AW561" s="93"/>
      <c r="AX561" s="92"/>
      <c r="AY561" s="92"/>
      <c r="AZ561" s="90"/>
      <c r="BA561" s="83"/>
      <c r="BB561" s="92"/>
      <c r="BC561" s="92"/>
      <c r="BD561" s="92"/>
      <c r="BE561" s="93"/>
      <c r="BF561" s="92"/>
      <c r="BG561" s="82"/>
      <c r="BH561" s="82"/>
      <c r="BI561" s="29"/>
      <c r="BJ561" s="29"/>
      <c r="BK561" s="29"/>
    </row>
    <row r="562" ht="15.75" hidden="1" customHeight="1">
      <c r="A562" s="75"/>
      <c r="B562" s="73"/>
      <c r="C562" s="76"/>
      <c r="D562" s="76"/>
      <c r="E562" s="76"/>
      <c r="F562" s="77"/>
      <c r="G562" s="78"/>
      <c r="H562" s="76"/>
      <c r="I562" s="76"/>
      <c r="J562" s="79"/>
      <c r="K562" s="80"/>
      <c r="L562" s="81"/>
      <c r="M562" s="81"/>
      <c r="N562" s="82"/>
      <c r="O562" s="83"/>
      <c r="P562" s="84"/>
      <c r="Q562" s="84"/>
      <c r="R562" s="81"/>
      <c r="S562" s="85"/>
      <c r="T562" s="86"/>
      <c r="U562" s="86"/>
      <c r="V562" s="87"/>
      <c r="W562" s="87"/>
      <c r="X562" s="87"/>
      <c r="Y562" s="87"/>
      <c r="Z562" s="87"/>
      <c r="AA562" s="87"/>
      <c r="AB562" s="29"/>
      <c r="AC562" s="94"/>
      <c r="AD562" s="94"/>
      <c r="AE562" s="89"/>
      <c r="AF562" s="89"/>
      <c r="AG562" s="89"/>
      <c r="AH562" s="89"/>
      <c r="AI562" s="90"/>
      <c r="AJ562" s="90"/>
      <c r="AK562" s="90"/>
      <c r="AL562" s="90"/>
      <c r="AM562" s="91"/>
      <c r="AN562" s="91"/>
      <c r="AO562" s="92"/>
      <c r="AP562" s="92"/>
      <c r="AQ562" s="92"/>
      <c r="AR562" s="92"/>
      <c r="AS562" s="93"/>
      <c r="AT562" s="93"/>
      <c r="AU562" s="93"/>
      <c r="AV562" s="93"/>
      <c r="AW562" s="93"/>
      <c r="AX562" s="92"/>
      <c r="AY562" s="92"/>
      <c r="AZ562" s="90"/>
      <c r="BA562" s="83"/>
      <c r="BB562" s="92"/>
      <c r="BC562" s="92"/>
      <c r="BD562" s="92"/>
      <c r="BE562" s="93"/>
      <c r="BF562" s="92"/>
      <c r="BG562" s="82"/>
      <c r="BH562" s="82"/>
      <c r="BI562" s="29"/>
      <c r="BJ562" s="29"/>
      <c r="BK562" s="29"/>
    </row>
    <row r="563" ht="15.75" hidden="1" customHeight="1">
      <c r="A563" s="75"/>
      <c r="B563" s="73"/>
      <c r="C563" s="76"/>
      <c r="D563" s="76"/>
      <c r="E563" s="76"/>
      <c r="F563" s="77"/>
      <c r="G563" s="78"/>
      <c r="H563" s="76"/>
      <c r="I563" s="76"/>
      <c r="J563" s="79"/>
      <c r="K563" s="80"/>
      <c r="L563" s="81"/>
      <c r="M563" s="81"/>
      <c r="N563" s="82"/>
      <c r="O563" s="83"/>
      <c r="P563" s="84"/>
      <c r="Q563" s="84"/>
      <c r="R563" s="81"/>
      <c r="S563" s="85"/>
      <c r="T563" s="86"/>
      <c r="U563" s="86"/>
      <c r="V563" s="87"/>
      <c r="W563" s="87"/>
      <c r="X563" s="87"/>
      <c r="Y563" s="87"/>
      <c r="Z563" s="87"/>
      <c r="AA563" s="87"/>
      <c r="AB563" s="29"/>
      <c r="AC563" s="94"/>
      <c r="AD563" s="94"/>
      <c r="AE563" s="89"/>
      <c r="AF563" s="89"/>
      <c r="AG563" s="89"/>
      <c r="AH563" s="89"/>
      <c r="AI563" s="90"/>
      <c r="AJ563" s="90"/>
      <c r="AK563" s="90"/>
      <c r="AL563" s="90"/>
      <c r="AM563" s="91"/>
      <c r="AN563" s="91"/>
      <c r="AO563" s="92"/>
      <c r="AP563" s="92"/>
      <c r="AQ563" s="92"/>
      <c r="AR563" s="92"/>
      <c r="AS563" s="93"/>
      <c r="AT563" s="93"/>
      <c r="AU563" s="93"/>
      <c r="AV563" s="93"/>
      <c r="AW563" s="93"/>
      <c r="AX563" s="92"/>
      <c r="AY563" s="92"/>
      <c r="AZ563" s="90"/>
      <c r="BA563" s="83"/>
      <c r="BB563" s="92"/>
      <c r="BC563" s="92"/>
      <c r="BD563" s="92"/>
      <c r="BE563" s="93"/>
      <c r="BF563" s="92"/>
      <c r="BG563" s="82"/>
      <c r="BH563" s="82"/>
      <c r="BI563" s="29"/>
      <c r="BJ563" s="29"/>
      <c r="BK563" s="29"/>
    </row>
    <row r="564" ht="15.75" hidden="1" customHeight="1">
      <c r="A564" s="75"/>
      <c r="B564" s="73"/>
      <c r="C564" s="76"/>
      <c r="D564" s="76"/>
      <c r="E564" s="76"/>
      <c r="F564" s="77"/>
      <c r="G564" s="78"/>
      <c r="H564" s="76"/>
      <c r="I564" s="76"/>
      <c r="J564" s="79"/>
      <c r="K564" s="80"/>
      <c r="L564" s="81"/>
      <c r="M564" s="81"/>
      <c r="N564" s="82"/>
      <c r="O564" s="83"/>
      <c r="P564" s="84"/>
      <c r="Q564" s="84"/>
      <c r="R564" s="81"/>
      <c r="S564" s="85"/>
      <c r="T564" s="86"/>
      <c r="U564" s="86"/>
      <c r="V564" s="87"/>
      <c r="W564" s="87"/>
      <c r="X564" s="87"/>
      <c r="Y564" s="87"/>
      <c r="Z564" s="87"/>
      <c r="AA564" s="87"/>
      <c r="AB564" s="29"/>
      <c r="AC564" s="94"/>
      <c r="AD564" s="94"/>
      <c r="AE564" s="89"/>
      <c r="AF564" s="89"/>
      <c r="AG564" s="89"/>
      <c r="AH564" s="89"/>
      <c r="AI564" s="90"/>
      <c r="AJ564" s="90"/>
      <c r="AK564" s="90"/>
      <c r="AL564" s="90"/>
      <c r="AM564" s="91"/>
      <c r="AN564" s="91"/>
      <c r="AO564" s="92"/>
      <c r="AP564" s="92"/>
      <c r="AQ564" s="92"/>
      <c r="AR564" s="92"/>
      <c r="AS564" s="93"/>
      <c r="AT564" s="93"/>
      <c r="AU564" s="93"/>
      <c r="AV564" s="93"/>
      <c r="AW564" s="93"/>
      <c r="AX564" s="92"/>
      <c r="AY564" s="92"/>
      <c r="AZ564" s="90"/>
      <c r="BA564" s="83"/>
      <c r="BB564" s="92"/>
      <c r="BC564" s="92"/>
      <c r="BD564" s="92"/>
      <c r="BE564" s="93"/>
      <c r="BF564" s="92"/>
      <c r="BG564" s="82"/>
      <c r="BH564" s="82"/>
      <c r="BI564" s="29"/>
      <c r="BJ564" s="29"/>
      <c r="BK564" s="29"/>
    </row>
    <row r="565" ht="15.75" hidden="1" customHeight="1">
      <c r="A565" s="75"/>
      <c r="B565" s="73"/>
      <c r="C565" s="76"/>
      <c r="D565" s="76"/>
      <c r="E565" s="76"/>
      <c r="F565" s="77"/>
      <c r="G565" s="78"/>
      <c r="H565" s="76"/>
      <c r="I565" s="76"/>
      <c r="J565" s="79"/>
      <c r="K565" s="80"/>
      <c r="L565" s="81"/>
      <c r="M565" s="81"/>
      <c r="N565" s="82"/>
      <c r="O565" s="83"/>
      <c r="P565" s="84"/>
      <c r="Q565" s="84"/>
      <c r="R565" s="81"/>
      <c r="S565" s="85"/>
      <c r="T565" s="86"/>
      <c r="U565" s="86"/>
      <c r="V565" s="87"/>
      <c r="W565" s="87"/>
      <c r="X565" s="87"/>
      <c r="Y565" s="87"/>
      <c r="Z565" s="87"/>
      <c r="AA565" s="87"/>
      <c r="AB565" s="29"/>
      <c r="AC565" s="94"/>
      <c r="AD565" s="94"/>
      <c r="AE565" s="89"/>
      <c r="AF565" s="89"/>
      <c r="AG565" s="89"/>
      <c r="AH565" s="89"/>
      <c r="AI565" s="90"/>
      <c r="AJ565" s="90"/>
      <c r="AK565" s="90"/>
      <c r="AL565" s="90"/>
      <c r="AM565" s="91"/>
      <c r="AN565" s="91"/>
      <c r="AO565" s="92"/>
      <c r="AP565" s="92"/>
      <c r="AQ565" s="92"/>
      <c r="AR565" s="92"/>
      <c r="AS565" s="93"/>
      <c r="AT565" s="93"/>
      <c r="AU565" s="93"/>
      <c r="AV565" s="93"/>
      <c r="AW565" s="93"/>
      <c r="AX565" s="92"/>
      <c r="AY565" s="92"/>
      <c r="AZ565" s="90"/>
      <c r="BA565" s="83"/>
      <c r="BB565" s="92"/>
      <c r="BC565" s="92"/>
      <c r="BD565" s="92"/>
      <c r="BE565" s="93"/>
      <c r="BF565" s="92"/>
      <c r="BG565" s="82"/>
      <c r="BH565" s="82"/>
      <c r="BI565" s="29"/>
      <c r="BJ565" s="29"/>
      <c r="BK565" s="29"/>
    </row>
    <row r="566" ht="15.75" hidden="1" customHeight="1">
      <c r="A566" s="75"/>
      <c r="B566" s="73"/>
      <c r="C566" s="76"/>
      <c r="D566" s="76"/>
      <c r="E566" s="76"/>
      <c r="F566" s="77"/>
      <c r="G566" s="78"/>
      <c r="H566" s="76"/>
      <c r="I566" s="76"/>
      <c r="J566" s="79"/>
      <c r="K566" s="80"/>
      <c r="L566" s="81"/>
      <c r="M566" s="81"/>
      <c r="N566" s="82"/>
      <c r="O566" s="83"/>
      <c r="P566" s="84"/>
      <c r="Q566" s="84"/>
      <c r="R566" s="81"/>
      <c r="S566" s="85"/>
      <c r="T566" s="86"/>
      <c r="U566" s="86"/>
      <c r="V566" s="87"/>
      <c r="W566" s="87"/>
      <c r="X566" s="87"/>
      <c r="Y566" s="87"/>
      <c r="Z566" s="87"/>
      <c r="AA566" s="87"/>
      <c r="AB566" s="29"/>
      <c r="AC566" s="94"/>
      <c r="AD566" s="94"/>
      <c r="AE566" s="89"/>
      <c r="AF566" s="89"/>
      <c r="AG566" s="89"/>
      <c r="AH566" s="89"/>
      <c r="AI566" s="90"/>
      <c r="AJ566" s="90"/>
      <c r="AK566" s="90"/>
      <c r="AL566" s="90"/>
      <c r="AM566" s="91"/>
      <c r="AN566" s="91"/>
      <c r="AO566" s="92"/>
      <c r="AP566" s="92"/>
      <c r="AQ566" s="92"/>
      <c r="AR566" s="92"/>
      <c r="AS566" s="93"/>
      <c r="AT566" s="93"/>
      <c r="AU566" s="93"/>
      <c r="AV566" s="93"/>
      <c r="AW566" s="93"/>
      <c r="AX566" s="92"/>
      <c r="AY566" s="92"/>
      <c r="AZ566" s="90"/>
      <c r="BA566" s="83"/>
      <c r="BB566" s="92"/>
      <c r="BC566" s="92"/>
      <c r="BD566" s="92"/>
      <c r="BE566" s="93"/>
      <c r="BF566" s="92"/>
      <c r="BG566" s="82"/>
      <c r="BH566" s="82"/>
      <c r="BI566" s="29"/>
      <c r="BJ566" s="29"/>
      <c r="BK566" s="29"/>
    </row>
    <row r="567" ht="15.75" hidden="1" customHeight="1">
      <c r="A567" s="75"/>
      <c r="B567" s="73"/>
      <c r="C567" s="76"/>
      <c r="D567" s="76"/>
      <c r="E567" s="76"/>
      <c r="F567" s="77"/>
      <c r="G567" s="78"/>
      <c r="H567" s="76"/>
      <c r="I567" s="76"/>
      <c r="J567" s="79"/>
      <c r="K567" s="80"/>
      <c r="L567" s="81"/>
      <c r="M567" s="81"/>
      <c r="N567" s="82"/>
      <c r="O567" s="83"/>
      <c r="P567" s="84"/>
      <c r="Q567" s="84"/>
      <c r="R567" s="81"/>
      <c r="S567" s="85"/>
      <c r="T567" s="86"/>
      <c r="U567" s="86"/>
      <c r="V567" s="87"/>
      <c r="W567" s="87"/>
      <c r="X567" s="87"/>
      <c r="Y567" s="87"/>
      <c r="Z567" s="87"/>
      <c r="AA567" s="87"/>
      <c r="AB567" s="29"/>
      <c r="AC567" s="94"/>
      <c r="AD567" s="94"/>
      <c r="AE567" s="89"/>
      <c r="AF567" s="89"/>
      <c r="AG567" s="89"/>
      <c r="AH567" s="89"/>
      <c r="AI567" s="90"/>
      <c r="AJ567" s="90"/>
      <c r="AK567" s="90"/>
      <c r="AL567" s="90"/>
      <c r="AM567" s="91"/>
      <c r="AN567" s="91"/>
      <c r="AO567" s="92"/>
      <c r="AP567" s="92"/>
      <c r="AQ567" s="92"/>
      <c r="AR567" s="92"/>
      <c r="AS567" s="93"/>
      <c r="AT567" s="93"/>
      <c r="AU567" s="93"/>
      <c r="AV567" s="93"/>
      <c r="AW567" s="93"/>
      <c r="AX567" s="92"/>
      <c r="AY567" s="92"/>
      <c r="AZ567" s="90"/>
      <c r="BA567" s="83"/>
      <c r="BB567" s="92"/>
      <c r="BC567" s="92"/>
      <c r="BD567" s="92"/>
      <c r="BE567" s="93"/>
      <c r="BF567" s="92"/>
      <c r="BG567" s="82"/>
      <c r="BH567" s="82"/>
      <c r="BI567" s="29"/>
      <c r="BJ567" s="29"/>
      <c r="BK567" s="29"/>
    </row>
    <row r="568" ht="15.75" hidden="1" customHeight="1">
      <c r="A568" s="75"/>
      <c r="B568" s="73"/>
      <c r="C568" s="76"/>
      <c r="D568" s="76"/>
      <c r="E568" s="76"/>
      <c r="F568" s="77"/>
      <c r="G568" s="78"/>
      <c r="H568" s="76"/>
      <c r="I568" s="76"/>
      <c r="J568" s="79"/>
      <c r="K568" s="80"/>
      <c r="L568" s="81"/>
      <c r="M568" s="81"/>
      <c r="N568" s="82"/>
      <c r="O568" s="83"/>
      <c r="P568" s="84"/>
      <c r="Q568" s="84"/>
      <c r="R568" s="81"/>
      <c r="S568" s="85"/>
      <c r="T568" s="86"/>
      <c r="U568" s="86"/>
      <c r="V568" s="87"/>
      <c r="W568" s="87"/>
      <c r="X568" s="87"/>
      <c r="Y568" s="87"/>
      <c r="Z568" s="87"/>
      <c r="AA568" s="87"/>
      <c r="AB568" s="29"/>
      <c r="AC568" s="94"/>
      <c r="AD568" s="94"/>
      <c r="AE568" s="89"/>
      <c r="AF568" s="89"/>
      <c r="AG568" s="89"/>
      <c r="AH568" s="89"/>
      <c r="AI568" s="90"/>
      <c r="AJ568" s="90"/>
      <c r="AK568" s="90"/>
      <c r="AL568" s="90"/>
      <c r="AM568" s="91"/>
      <c r="AN568" s="91"/>
      <c r="AO568" s="92"/>
      <c r="AP568" s="92"/>
      <c r="AQ568" s="92"/>
      <c r="AR568" s="92"/>
      <c r="AS568" s="93"/>
      <c r="AT568" s="93"/>
      <c r="AU568" s="93"/>
      <c r="AV568" s="93"/>
      <c r="AW568" s="93"/>
      <c r="AX568" s="92"/>
      <c r="AY568" s="92"/>
      <c r="AZ568" s="90"/>
      <c r="BA568" s="83"/>
      <c r="BB568" s="92"/>
      <c r="BC568" s="92"/>
      <c r="BD568" s="92"/>
      <c r="BE568" s="93"/>
      <c r="BF568" s="92"/>
      <c r="BG568" s="82"/>
      <c r="BH568" s="82"/>
      <c r="BI568" s="29"/>
      <c r="BJ568" s="29"/>
      <c r="BK568" s="29"/>
    </row>
    <row r="569" ht="15.75" hidden="1" customHeight="1">
      <c r="A569" s="75"/>
      <c r="B569" s="73"/>
      <c r="C569" s="76"/>
      <c r="D569" s="76"/>
      <c r="E569" s="76"/>
      <c r="F569" s="77"/>
      <c r="G569" s="78"/>
      <c r="H569" s="76"/>
      <c r="I569" s="76"/>
      <c r="J569" s="79"/>
      <c r="K569" s="80"/>
      <c r="L569" s="81"/>
      <c r="M569" s="81"/>
      <c r="N569" s="82"/>
      <c r="O569" s="83"/>
      <c r="P569" s="84"/>
      <c r="Q569" s="84"/>
      <c r="R569" s="81"/>
      <c r="S569" s="85"/>
      <c r="T569" s="86"/>
      <c r="U569" s="86"/>
      <c r="V569" s="87"/>
      <c r="W569" s="87"/>
      <c r="X569" s="87"/>
      <c r="Y569" s="87"/>
      <c r="Z569" s="87"/>
      <c r="AA569" s="87"/>
      <c r="AB569" s="29"/>
      <c r="AC569" s="94"/>
      <c r="AD569" s="94"/>
      <c r="AE569" s="89"/>
      <c r="AF569" s="89"/>
      <c r="AG569" s="89"/>
      <c r="AH569" s="89"/>
      <c r="AI569" s="90"/>
      <c r="AJ569" s="90"/>
      <c r="AK569" s="90"/>
      <c r="AL569" s="90"/>
      <c r="AM569" s="91"/>
      <c r="AN569" s="91"/>
      <c r="AO569" s="92"/>
      <c r="AP569" s="92"/>
      <c r="AQ569" s="92"/>
      <c r="AR569" s="92"/>
      <c r="AS569" s="93"/>
      <c r="AT569" s="93"/>
      <c r="AU569" s="93"/>
      <c r="AV569" s="93"/>
      <c r="AW569" s="93"/>
      <c r="AX569" s="92"/>
      <c r="AY569" s="92"/>
      <c r="AZ569" s="90"/>
      <c r="BA569" s="83"/>
      <c r="BB569" s="92"/>
      <c r="BC569" s="92"/>
      <c r="BD569" s="92"/>
      <c r="BE569" s="93"/>
      <c r="BF569" s="92"/>
      <c r="BG569" s="82"/>
      <c r="BH569" s="82"/>
      <c r="BI569" s="29"/>
      <c r="BJ569" s="29"/>
      <c r="BK569" s="29"/>
    </row>
    <row r="570" ht="15.75" hidden="1" customHeight="1">
      <c r="A570" s="75"/>
      <c r="B570" s="73"/>
      <c r="C570" s="76"/>
      <c r="D570" s="76"/>
      <c r="E570" s="76"/>
      <c r="F570" s="77"/>
      <c r="G570" s="78"/>
      <c r="H570" s="76"/>
      <c r="I570" s="76"/>
      <c r="J570" s="79"/>
      <c r="K570" s="80"/>
      <c r="L570" s="81"/>
      <c r="M570" s="81"/>
      <c r="N570" s="82"/>
      <c r="O570" s="83"/>
      <c r="P570" s="84"/>
      <c r="Q570" s="84"/>
      <c r="R570" s="81"/>
      <c r="S570" s="85"/>
      <c r="T570" s="86"/>
      <c r="U570" s="86"/>
      <c r="V570" s="87"/>
      <c r="W570" s="87"/>
      <c r="X570" s="87"/>
      <c r="Y570" s="87"/>
      <c r="Z570" s="87"/>
      <c r="AA570" s="87"/>
      <c r="AB570" s="29"/>
      <c r="AC570" s="94"/>
      <c r="AD570" s="94"/>
      <c r="AE570" s="89"/>
      <c r="AF570" s="89"/>
      <c r="AG570" s="89"/>
      <c r="AH570" s="89"/>
      <c r="AI570" s="90"/>
      <c r="AJ570" s="90"/>
      <c r="AK570" s="90"/>
      <c r="AL570" s="90"/>
      <c r="AM570" s="91"/>
      <c r="AN570" s="91"/>
      <c r="AO570" s="92"/>
      <c r="AP570" s="92"/>
      <c r="AQ570" s="92"/>
      <c r="AR570" s="92"/>
      <c r="AS570" s="93"/>
      <c r="AT570" s="93"/>
      <c r="AU570" s="93"/>
      <c r="AV570" s="93"/>
      <c r="AW570" s="93"/>
      <c r="AX570" s="92"/>
      <c r="AY570" s="92"/>
      <c r="AZ570" s="90"/>
      <c r="BA570" s="83"/>
      <c r="BB570" s="92"/>
      <c r="BC570" s="92"/>
      <c r="BD570" s="92"/>
      <c r="BE570" s="93"/>
      <c r="BF570" s="92"/>
      <c r="BG570" s="82"/>
      <c r="BH570" s="82"/>
      <c r="BI570" s="29"/>
      <c r="BJ570" s="29"/>
      <c r="BK570" s="29"/>
    </row>
    <row r="571" ht="15.75" hidden="1" customHeight="1">
      <c r="A571" s="75"/>
      <c r="B571" s="73"/>
      <c r="C571" s="76"/>
      <c r="D571" s="76"/>
      <c r="E571" s="76"/>
      <c r="F571" s="77"/>
      <c r="G571" s="78"/>
      <c r="H571" s="76"/>
      <c r="I571" s="76"/>
      <c r="J571" s="79"/>
      <c r="K571" s="80"/>
      <c r="L571" s="81"/>
      <c r="M571" s="81"/>
      <c r="N571" s="82"/>
      <c r="O571" s="83"/>
      <c r="P571" s="84"/>
      <c r="Q571" s="84"/>
      <c r="R571" s="81"/>
      <c r="S571" s="85"/>
      <c r="T571" s="86"/>
      <c r="U571" s="86"/>
      <c r="V571" s="87"/>
      <c r="W571" s="87"/>
      <c r="X571" s="87"/>
      <c r="Y571" s="87"/>
      <c r="Z571" s="87"/>
      <c r="AA571" s="87"/>
      <c r="AB571" s="29"/>
      <c r="AC571" s="94"/>
      <c r="AD571" s="94"/>
      <c r="AE571" s="89"/>
      <c r="AF571" s="89"/>
      <c r="AG571" s="89"/>
      <c r="AH571" s="89"/>
      <c r="AI571" s="90"/>
      <c r="AJ571" s="90"/>
      <c r="AK571" s="90"/>
      <c r="AL571" s="90"/>
      <c r="AM571" s="91"/>
      <c r="AN571" s="91"/>
      <c r="AO571" s="92"/>
      <c r="AP571" s="92"/>
      <c r="AQ571" s="92"/>
      <c r="AR571" s="92"/>
      <c r="AS571" s="93"/>
      <c r="AT571" s="93"/>
      <c r="AU571" s="93"/>
      <c r="AV571" s="93"/>
      <c r="AW571" s="93"/>
      <c r="AX571" s="92"/>
      <c r="AY571" s="92"/>
      <c r="AZ571" s="90"/>
      <c r="BA571" s="83"/>
      <c r="BB571" s="92"/>
      <c r="BC571" s="92"/>
      <c r="BD571" s="92"/>
      <c r="BE571" s="93"/>
      <c r="BF571" s="92"/>
      <c r="BG571" s="82"/>
      <c r="BH571" s="82"/>
      <c r="BI571" s="29"/>
      <c r="BJ571" s="29"/>
      <c r="BK571" s="29"/>
    </row>
    <row r="572" ht="15.75" hidden="1" customHeight="1">
      <c r="A572" s="75"/>
      <c r="B572" s="73"/>
      <c r="C572" s="76"/>
      <c r="D572" s="76"/>
      <c r="E572" s="76"/>
      <c r="F572" s="77"/>
      <c r="G572" s="78"/>
      <c r="H572" s="76"/>
      <c r="I572" s="76"/>
      <c r="J572" s="79"/>
      <c r="K572" s="80"/>
      <c r="L572" s="81"/>
      <c r="M572" s="81"/>
      <c r="N572" s="82"/>
      <c r="O572" s="83"/>
      <c r="P572" s="84"/>
      <c r="Q572" s="84"/>
      <c r="R572" s="81"/>
      <c r="S572" s="85"/>
      <c r="T572" s="86"/>
      <c r="U572" s="86"/>
      <c r="V572" s="87"/>
      <c r="W572" s="87"/>
      <c r="X572" s="87"/>
      <c r="Y572" s="87"/>
      <c r="Z572" s="87"/>
      <c r="AA572" s="87"/>
      <c r="AB572" s="29"/>
      <c r="AC572" s="94"/>
      <c r="AD572" s="94"/>
      <c r="AE572" s="89"/>
      <c r="AF572" s="89"/>
      <c r="AG572" s="89"/>
      <c r="AH572" s="89"/>
      <c r="AI572" s="90"/>
      <c r="AJ572" s="90"/>
      <c r="AK572" s="90"/>
      <c r="AL572" s="90"/>
      <c r="AM572" s="91"/>
      <c r="AN572" s="91"/>
      <c r="AO572" s="92"/>
      <c r="AP572" s="92"/>
      <c r="AQ572" s="92"/>
      <c r="AR572" s="92"/>
      <c r="AS572" s="93"/>
      <c r="AT572" s="93"/>
      <c r="AU572" s="93"/>
      <c r="AV572" s="93"/>
      <c r="AW572" s="93"/>
      <c r="AX572" s="92"/>
      <c r="AY572" s="92"/>
      <c r="AZ572" s="90"/>
      <c r="BA572" s="83"/>
      <c r="BB572" s="92"/>
      <c r="BC572" s="92"/>
      <c r="BD572" s="92"/>
      <c r="BE572" s="93"/>
      <c r="BF572" s="92"/>
      <c r="BG572" s="82"/>
      <c r="BH572" s="82"/>
      <c r="BI572" s="29"/>
      <c r="BJ572" s="29"/>
      <c r="BK572" s="29"/>
    </row>
    <row r="573" ht="15.75" hidden="1" customHeight="1">
      <c r="A573" s="75"/>
      <c r="B573" s="73"/>
      <c r="C573" s="76"/>
      <c r="D573" s="76"/>
      <c r="E573" s="76"/>
      <c r="F573" s="77"/>
      <c r="G573" s="78"/>
      <c r="H573" s="76"/>
      <c r="I573" s="76"/>
      <c r="J573" s="79"/>
      <c r="K573" s="80"/>
      <c r="L573" s="81"/>
      <c r="M573" s="81"/>
      <c r="N573" s="82"/>
      <c r="O573" s="83"/>
      <c r="P573" s="84"/>
      <c r="Q573" s="84"/>
      <c r="R573" s="81"/>
      <c r="S573" s="85"/>
      <c r="T573" s="86"/>
      <c r="U573" s="86"/>
      <c r="V573" s="87"/>
      <c r="W573" s="87"/>
      <c r="X573" s="87"/>
      <c r="Y573" s="87"/>
      <c r="Z573" s="87"/>
      <c r="AA573" s="87"/>
      <c r="AB573" s="29"/>
      <c r="AC573" s="94"/>
      <c r="AD573" s="94"/>
      <c r="AE573" s="89"/>
      <c r="AF573" s="89"/>
      <c r="AG573" s="89"/>
      <c r="AH573" s="89"/>
      <c r="AI573" s="90"/>
      <c r="AJ573" s="90"/>
      <c r="AK573" s="90"/>
      <c r="AL573" s="90"/>
      <c r="AM573" s="91"/>
      <c r="AN573" s="91"/>
      <c r="AO573" s="92"/>
      <c r="AP573" s="92"/>
      <c r="AQ573" s="92"/>
      <c r="AR573" s="92"/>
      <c r="AS573" s="93"/>
      <c r="AT573" s="93"/>
      <c r="AU573" s="93"/>
      <c r="AV573" s="93"/>
      <c r="AW573" s="93"/>
      <c r="AX573" s="92"/>
      <c r="AY573" s="92"/>
      <c r="AZ573" s="90"/>
      <c r="BA573" s="83"/>
      <c r="BB573" s="92"/>
      <c r="BC573" s="92"/>
      <c r="BD573" s="92"/>
      <c r="BE573" s="93"/>
      <c r="BF573" s="92"/>
      <c r="BG573" s="82"/>
      <c r="BH573" s="82"/>
      <c r="BI573" s="29"/>
      <c r="BJ573" s="29"/>
      <c r="BK573" s="29"/>
    </row>
    <row r="574" ht="15.75" hidden="1" customHeight="1">
      <c r="A574" s="75"/>
      <c r="B574" s="73"/>
      <c r="C574" s="76"/>
      <c r="D574" s="76"/>
      <c r="E574" s="76"/>
      <c r="F574" s="77"/>
      <c r="G574" s="78"/>
      <c r="H574" s="76"/>
      <c r="I574" s="76"/>
      <c r="J574" s="79"/>
      <c r="K574" s="80"/>
      <c r="L574" s="81"/>
      <c r="M574" s="81"/>
      <c r="N574" s="82"/>
      <c r="O574" s="83"/>
      <c r="P574" s="84"/>
      <c r="Q574" s="84"/>
      <c r="R574" s="81"/>
      <c r="S574" s="85"/>
      <c r="T574" s="86"/>
      <c r="U574" s="86"/>
      <c r="V574" s="87"/>
      <c r="W574" s="87"/>
      <c r="X574" s="87"/>
      <c r="Y574" s="87"/>
      <c r="Z574" s="87"/>
      <c r="AA574" s="87"/>
      <c r="AB574" s="29"/>
      <c r="AC574" s="94"/>
      <c r="AD574" s="94"/>
      <c r="AE574" s="89"/>
      <c r="AF574" s="89"/>
      <c r="AG574" s="89"/>
      <c r="AH574" s="89"/>
      <c r="AI574" s="90"/>
      <c r="AJ574" s="90"/>
      <c r="AK574" s="90"/>
      <c r="AL574" s="90"/>
      <c r="AM574" s="91"/>
      <c r="AN574" s="91"/>
      <c r="AO574" s="92"/>
      <c r="AP574" s="92"/>
      <c r="AQ574" s="92"/>
      <c r="AR574" s="92"/>
      <c r="AS574" s="93"/>
      <c r="AT574" s="93"/>
      <c r="AU574" s="93"/>
      <c r="AV574" s="93"/>
      <c r="AW574" s="93"/>
      <c r="AX574" s="92"/>
      <c r="AY574" s="92"/>
      <c r="AZ574" s="90"/>
      <c r="BA574" s="83"/>
      <c r="BB574" s="92"/>
      <c r="BC574" s="92"/>
      <c r="BD574" s="92"/>
      <c r="BE574" s="93"/>
      <c r="BF574" s="92"/>
      <c r="BG574" s="82"/>
      <c r="BH574" s="82"/>
      <c r="BI574" s="29"/>
      <c r="BJ574" s="29"/>
      <c r="BK574" s="29"/>
    </row>
    <row r="575" ht="15.75" hidden="1" customHeight="1">
      <c r="A575" s="75"/>
      <c r="B575" s="73"/>
      <c r="C575" s="76"/>
      <c r="D575" s="76"/>
      <c r="E575" s="76"/>
      <c r="F575" s="77"/>
      <c r="G575" s="78"/>
      <c r="H575" s="76"/>
      <c r="I575" s="76"/>
      <c r="J575" s="79"/>
      <c r="K575" s="80"/>
      <c r="L575" s="81"/>
      <c r="M575" s="81"/>
      <c r="N575" s="82"/>
      <c r="O575" s="83"/>
      <c r="P575" s="84"/>
      <c r="Q575" s="84"/>
      <c r="R575" s="81"/>
      <c r="S575" s="85"/>
      <c r="T575" s="86"/>
      <c r="U575" s="86"/>
      <c r="V575" s="87"/>
      <c r="W575" s="87"/>
      <c r="X575" s="87"/>
      <c r="Y575" s="87"/>
      <c r="Z575" s="87"/>
      <c r="AA575" s="87"/>
      <c r="AB575" s="29"/>
      <c r="AC575" s="94"/>
      <c r="AD575" s="94"/>
      <c r="AE575" s="89"/>
      <c r="AF575" s="89"/>
      <c r="AG575" s="89"/>
      <c r="AH575" s="89"/>
      <c r="AI575" s="90"/>
      <c r="AJ575" s="90"/>
      <c r="AK575" s="90"/>
      <c r="AL575" s="90"/>
      <c r="AM575" s="91"/>
      <c r="AN575" s="91"/>
      <c r="AO575" s="92"/>
      <c r="AP575" s="92"/>
      <c r="AQ575" s="92"/>
      <c r="AR575" s="92"/>
      <c r="AS575" s="93"/>
      <c r="AT575" s="93"/>
      <c r="AU575" s="93"/>
      <c r="AV575" s="93"/>
      <c r="AW575" s="93"/>
      <c r="AX575" s="92"/>
      <c r="AY575" s="92"/>
      <c r="AZ575" s="90"/>
      <c r="BA575" s="83"/>
      <c r="BB575" s="92"/>
      <c r="BC575" s="92"/>
      <c r="BD575" s="92"/>
      <c r="BE575" s="93"/>
      <c r="BF575" s="92"/>
      <c r="BG575" s="82"/>
      <c r="BH575" s="82"/>
      <c r="BI575" s="29"/>
      <c r="BJ575" s="29"/>
      <c r="BK575" s="29"/>
    </row>
    <row r="576" ht="15.75" hidden="1" customHeight="1">
      <c r="A576" s="75"/>
      <c r="B576" s="73"/>
      <c r="C576" s="76"/>
      <c r="D576" s="76"/>
      <c r="E576" s="76"/>
      <c r="F576" s="77"/>
      <c r="G576" s="78"/>
      <c r="H576" s="76"/>
      <c r="I576" s="76"/>
      <c r="J576" s="79"/>
      <c r="K576" s="80"/>
      <c r="L576" s="81"/>
      <c r="M576" s="81"/>
      <c r="N576" s="82"/>
      <c r="O576" s="83"/>
      <c r="P576" s="84"/>
      <c r="Q576" s="84"/>
      <c r="R576" s="81"/>
      <c r="S576" s="85"/>
      <c r="T576" s="86"/>
      <c r="U576" s="86"/>
      <c r="V576" s="87"/>
      <c r="W576" s="87"/>
      <c r="X576" s="87"/>
      <c r="Y576" s="87"/>
      <c r="Z576" s="87"/>
      <c r="AA576" s="87"/>
      <c r="AB576" s="29"/>
      <c r="AC576" s="94"/>
      <c r="AD576" s="94"/>
      <c r="AE576" s="89"/>
      <c r="AF576" s="89"/>
      <c r="AG576" s="89"/>
      <c r="AH576" s="89"/>
      <c r="AI576" s="90"/>
      <c r="AJ576" s="90"/>
      <c r="AK576" s="90"/>
      <c r="AL576" s="90"/>
      <c r="AM576" s="91"/>
      <c r="AN576" s="91"/>
      <c r="AO576" s="92"/>
      <c r="AP576" s="92"/>
      <c r="AQ576" s="92"/>
      <c r="AR576" s="92"/>
      <c r="AS576" s="93"/>
      <c r="AT576" s="93"/>
      <c r="AU576" s="93"/>
      <c r="AV576" s="93"/>
      <c r="AW576" s="93"/>
      <c r="AX576" s="92"/>
      <c r="AY576" s="92"/>
      <c r="AZ576" s="90"/>
      <c r="BA576" s="83"/>
      <c r="BB576" s="92"/>
      <c r="BC576" s="92"/>
      <c r="BD576" s="92"/>
      <c r="BE576" s="93"/>
      <c r="BF576" s="92"/>
      <c r="BG576" s="82"/>
      <c r="BH576" s="82"/>
      <c r="BI576" s="29"/>
      <c r="BJ576" s="29"/>
      <c r="BK576" s="29"/>
    </row>
    <row r="577" ht="15.75" hidden="1" customHeight="1">
      <c r="A577" s="75"/>
      <c r="B577" s="73"/>
      <c r="C577" s="76"/>
      <c r="D577" s="76"/>
      <c r="E577" s="76"/>
      <c r="F577" s="77"/>
      <c r="G577" s="78"/>
      <c r="H577" s="76"/>
      <c r="I577" s="76"/>
      <c r="J577" s="79"/>
      <c r="K577" s="80"/>
      <c r="L577" s="81"/>
      <c r="M577" s="81"/>
      <c r="N577" s="82"/>
      <c r="O577" s="83"/>
      <c r="P577" s="84"/>
      <c r="Q577" s="84"/>
      <c r="R577" s="81"/>
      <c r="S577" s="85"/>
      <c r="T577" s="86"/>
      <c r="U577" s="86"/>
      <c r="V577" s="87"/>
      <c r="W577" s="87"/>
      <c r="X577" s="87"/>
      <c r="Y577" s="87"/>
      <c r="Z577" s="87"/>
      <c r="AA577" s="87"/>
      <c r="AB577" s="29"/>
      <c r="AC577" s="94"/>
      <c r="AD577" s="94"/>
      <c r="AE577" s="89"/>
      <c r="AF577" s="89"/>
      <c r="AG577" s="89"/>
      <c r="AH577" s="89"/>
      <c r="AI577" s="90"/>
      <c r="AJ577" s="90"/>
      <c r="AK577" s="90"/>
      <c r="AL577" s="90"/>
      <c r="AM577" s="91"/>
      <c r="AN577" s="91"/>
      <c r="AO577" s="92"/>
      <c r="AP577" s="92"/>
      <c r="AQ577" s="92"/>
      <c r="AR577" s="92"/>
      <c r="AS577" s="93"/>
      <c r="AT577" s="93"/>
      <c r="AU577" s="93"/>
      <c r="AV577" s="93"/>
      <c r="AW577" s="93"/>
      <c r="AX577" s="92"/>
      <c r="AY577" s="92"/>
      <c r="AZ577" s="90"/>
      <c r="BA577" s="83"/>
      <c r="BB577" s="92"/>
      <c r="BC577" s="92"/>
      <c r="BD577" s="92"/>
      <c r="BE577" s="93"/>
      <c r="BF577" s="92"/>
      <c r="BG577" s="82"/>
      <c r="BH577" s="82"/>
      <c r="BI577" s="29"/>
      <c r="BJ577" s="29"/>
      <c r="BK577" s="29"/>
    </row>
    <row r="578" ht="15.75" hidden="1" customHeight="1">
      <c r="A578" s="75"/>
      <c r="B578" s="73"/>
      <c r="C578" s="76"/>
      <c r="D578" s="76"/>
      <c r="E578" s="76"/>
      <c r="F578" s="77"/>
      <c r="G578" s="78"/>
      <c r="H578" s="76"/>
      <c r="I578" s="76"/>
      <c r="J578" s="79"/>
      <c r="K578" s="80"/>
      <c r="L578" s="81"/>
      <c r="M578" s="81"/>
      <c r="N578" s="82"/>
      <c r="O578" s="83"/>
      <c r="P578" s="84"/>
      <c r="Q578" s="84"/>
      <c r="R578" s="81"/>
      <c r="S578" s="85"/>
      <c r="T578" s="86"/>
      <c r="U578" s="86"/>
      <c r="V578" s="87"/>
      <c r="W578" s="87"/>
      <c r="X578" s="87"/>
      <c r="Y578" s="87"/>
      <c r="Z578" s="87"/>
      <c r="AA578" s="87"/>
      <c r="AB578" s="29"/>
      <c r="AC578" s="94"/>
      <c r="AD578" s="94"/>
      <c r="AE578" s="89"/>
      <c r="AF578" s="89"/>
      <c r="AG578" s="89"/>
      <c r="AH578" s="89"/>
      <c r="AI578" s="90"/>
      <c r="AJ578" s="90"/>
      <c r="AK578" s="90"/>
      <c r="AL578" s="90"/>
      <c r="AM578" s="91"/>
      <c r="AN578" s="91"/>
      <c r="AO578" s="92"/>
      <c r="AP578" s="92"/>
      <c r="AQ578" s="92"/>
      <c r="AR578" s="92"/>
      <c r="AS578" s="93"/>
      <c r="AT578" s="93"/>
      <c r="AU578" s="93"/>
      <c r="AV578" s="93"/>
      <c r="AW578" s="93"/>
      <c r="AX578" s="92"/>
      <c r="AY578" s="92"/>
      <c r="AZ578" s="90"/>
      <c r="BA578" s="83"/>
      <c r="BB578" s="92"/>
      <c r="BC578" s="92"/>
      <c r="BD578" s="92"/>
      <c r="BE578" s="93"/>
      <c r="BF578" s="92"/>
      <c r="BG578" s="82"/>
      <c r="BH578" s="82"/>
      <c r="BI578" s="29"/>
      <c r="BJ578" s="29"/>
      <c r="BK578" s="29"/>
    </row>
    <row r="579" ht="15.75" hidden="1" customHeight="1">
      <c r="A579" s="75"/>
      <c r="B579" s="73"/>
      <c r="C579" s="76"/>
      <c r="D579" s="76"/>
      <c r="E579" s="76"/>
      <c r="F579" s="77"/>
      <c r="G579" s="78"/>
      <c r="H579" s="76"/>
      <c r="I579" s="76"/>
      <c r="J579" s="79"/>
      <c r="K579" s="80"/>
      <c r="L579" s="81"/>
      <c r="M579" s="81"/>
      <c r="N579" s="82"/>
      <c r="O579" s="83"/>
      <c r="P579" s="84"/>
      <c r="Q579" s="84"/>
      <c r="R579" s="81"/>
      <c r="S579" s="85"/>
      <c r="T579" s="86"/>
      <c r="U579" s="86"/>
      <c r="V579" s="87"/>
      <c r="W579" s="87"/>
      <c r="X579" s="87"/>
      <c r="Y579" s="87"/>
      <c r="Z579" s="87"/>
      <c r="AA579" s="87"/>
      <c r="AB579" s="29"/>
      <c r="AC579" s="94"/>
      <c r="AD579" s="94"/>
      <c r="AE579" s="89"/>
      <c r="AF579" s="89"/>
      <c r="AG579" s="89"/>
      <c r="AH579" s="89"/>
      <c r="AI579" s="90"/>
      <c r="AJ579" s="90"/>
      <c r="AK579" s="90"/>
      <c r="AL579" s="90"/>
      <c r="AM579" s="91"/>
      <c r="AN579" s="91"/>
      <c r="AO579" s="92"/>
      <c r="AP579" s="92"/>
      <c r="AQ579" s="92"/>
      <c r="AR579" s="92"/>
      <c r="AS579" s="93"/>
      <c r="AT579" s="93"/>
      <c r="AU579" s="93"/>
      <c r="AV579" s="93"/>
      <c r="AW579" s="93"/>
      <c r="AX579" s="92"/>
      <c r="AY579" s="92"/>
      <c r="AZ579" s="90"/>
      <c r="BA579" s="83"/>
      <c r="BB579" s="92"/>
      <c r="BC579" s="92"/>
      <c r="BD579" s="92"/>
      <c r="BE579" s="93"/>
      <c r="BF579" s="92"/>
      <c r="BG579" s="82"/>
      <c r="BH579" s="82"/>
      <c r="BI579" s="29"/>
      <c r="BJ579" s="29"/>
      <c r="BK579" s="29"/>
    </row>
    <row r="580" ht="15.75" hidden="1" customHeight="1">
      <c r="A580" s="75"/>
      <c r="B580" s="73"/>
      <c r="C580" s="76"/>
      <c r="D580" s="76"/>
      <c r="E580" s="76"/>
      <c r="F580" s="77"/>
      <c r="G580" s="78"/>
      <c r="H580" s="76"/>
      <c r="I580" s="76"/>
      <c r="J580" s="79"/>
      <c r="K580" s="80"/>
      <c r="L580" s="81"/>
      <c r="M580" s="81"/>
      <c r="N580" s="82"/>
      <c r="O580" s="83"/>
      <c r="P580" s="84"/>
      <c r="Q580" s="84"/>
      <c r="R580" s="81"/>
      <c r="S580" s="85"/>
      <c r="T580" s="86"/>
      <c r="U580" s="86"/>
      <c r="V580" s="87"/>
      <c r="W580" s="87"/>
      <c r="X580" s="87"/>
      <c r="Y580" s="87"/>
      <c r="Z580" s="87"/>
      <c r="AA580" s="87"/>
      <c r="AB580" s="29"/>
      <c r="AC580" s="94"/>
      <c r="AD580" s="94"/>
      <c r="AE580" s="89"/>
      <c r="AF580" s="89"/>
      <c r="AG580" s="89"/>
      <c r="AH580" s="89"/>
      <c r="AI580" s="90"/>
      <c r="AJ580" s="90"/>
      <c r="AK580" s="90"/>
      <c r="AL580" s="90"/>
      <c r="AM580" s="91"/>
      <c r="AN580" s="91"/>
      <c r="AO580" s="92"/>
      <c r="AP580" s="92"/>
      <c r="AQ580" s="92"/>
      <c r="AR580" s="92"/>
      <c r="AS580" s="93"/>
      <c r="AT580" s="93"/>
      <c r="AU580" s="93"/>
      <c r="AV580" s="93"/>
      <c r="AW580" s="93"/>
      <c r="AX580" s="92"/>
      <c r="AY580" s="92"/>
      <c r="AZ580" s="90"/>
      <c r="BA580" s="83"/>
      <c r="BB580" s="92"/>
      <c r="BC580" s="92"/>
      <c r="BD580" s="92"/>
      <c r="BE580" s="93"/>
      <c r="BF580" s="92"/>
      <c r="BG580" s="82"/>
      <c r="BH580" s="82"/>
      <c r="BI580" s="29"/>
      <c r="BJ580" s="29"/>
      <c r="BK580" s="29"/>
    </row>
    <row r="581" ht="15.75" hidden="1" customHeight="1">
      <c r="A581" s="75"/>
      <c r="B581" s="73"/>
      <c r="C581" s="76"/>
      <c r="D581" s="76"/>
      <c r="E581" s="76"/>
      <c r="F581" s="77"/>
      <c r="G581" s="78"/>
      <c r="H581" s="76"/>
      <c r="I581" s="76"/>
      <c r="J581" s="79"/>
      <c r="K581" s="80"/>
      <c r="L581" s="81"/>
      <c r="M581" s="81"/>
      <c r="N581" s="82"/>
      <c r="O581" s="83"/>
      <c r="P581" s="84"/>
      <c r="Q581" s="84"/>
      <c r="R581" s="81"/>
      <c r="S581" s="85"/>
      <c r="T581" s="86"/>
      <c r="U581" s="86"/>
      <c r="V581" s="87"/>
      <c r="W581" s="87"/>
      <c r="X581" s="87"/>
      <c r="Y581" s="87"/>
      <c r="Z581" s="87"/>
      <c r="AA581" s="87"/>
      <c r="AB581" s="29"/>
      <c r="AC581" s="94"/>
      <c r="AD581" s="94"/>
      <c r="AE581" s="89"/>
      <c r="AF581" s="89"/>
      <c r="AG581" s="89"/>
      <c r="AH581" s="89"/>
      <c r="AI581" s="90"/>
      <c r="AJ581" s="90"/>
      <c r="AK581" s="90"/>
      <c r="AL581" s="90"/>
      <c r="AM581" s="91"/>
      <c r="AN581" s="91"/>
      <c r="AO581" s="92"/>
      <c r="AP581" s="92"/>
      <c r="AQ581" s="92"/>
      <c r="AR581" s="92"/>
      <c r="AS581" s="93"/>
      <c r="AT581" s="93"/>
      <c r="AU581" s="93"/>
      <c r="AV581" s="93"/>
      <c r="AW581" s="93"/>
      <c r="AX581" s="92"/>
      <c r="AY581" s="92"/>
      <c r="AZ581" s="90"/>
      <c r="BA581" s="83"/>
      <c r="BB581" s="92"/>
      <c r="BC581" s="92"/>
      <c r="BD581" s="92"/>
      <c r="BE581" s="93"/>
      <c r="BF581" s="92"/>
      <c r="BG581" s="82"/>
      <c r="BH581" s="82"/>
      <c r="BI581" s="29"/>
      <c r="BJ581" s="29"/>
      <c r="BK581" s="29"/>
    </row>
    <row r="582" ht="15.75" hidden="1" customHeight="1">
      <c r="A582" s="75"/>
      <c r="B582" s="73"/>
      <c r="C582" s="76"/>
      <c r="D582" s="76"/>
      <c r="E582" s="76"/>
      <c r="F582" s="77"/>
      <c r="G582" s="78"/>
      <c r="H582" s="76"/>
      <c r="I582" s="76"/>
      <c r="J582" s="79"/>
      <c r="K582" s="80"/>
      <c r="L582" s="81"/>
      <c r="M582" s="81"/>
      <c r="N582" s="82"/>
      <c r="O582" s="83"/>
      <c r="P582" s="84"/>
      <c r="Q582" s="84"/>
      <c r="R582" s="81"/>
      <c r="S582" s="85"/>
      <c r="T582" s="86"/>
      <c r="U582" s="86"/>
      <c r="V582" s="87"/>
      <c r="W582" s="87"/>
      <c r="X582" s="87"/>
      <c r="Y582" s="87"/>
      <c r="Z582" s="87"/>
      <c r="AA582" s="87"/>
      <c r="AB582" s="29"/>
      <c r="AC582" s="94"/>
      <c r="AD582" s="94"/>
      <c r="AE582" s="89"/>
      <c r="AF582" s="89"/>
      <c r="AG582" s="89"/>
      <c r="AH582" s="89"/>
      <c r="AI582" s="90"/>
      <c r="AJ582" s="90"/>
      <c r="AK582" s="90"/>
      <c r="AL582" s="90"/>
      <c r="AM582" s="91"/>
      <c r="AN582" s="91"/>
      <c r="AO582" s="92"/>
      <c r="AP582" s="92"/>
      <c r="AQ582" s="92"/>
      <c r="AR582" s="92"/>
      <c r="AS582" s="93"/>
      <c r="AT582" s="93"/>
      <c r="AU582" s="93"/>
      <c r="AV582" s="93"/>
      <c r="AW582" s="93"/>
      <c r="AX582" s="92"/>
      <c r="AY582" s="92"/>
      <c r="AZ582" s="90"/>
      <c r="BA582" s="83"/>
      <c r="BB582" s="92"/>
      <c r="BC582" s="92"/>
      <c r="BD582" s="92"/>
      <c r="BE582" s="93"/>
      <c r="BF582" s="92"/>
      <c r="BG582" s="82"/>
      <c r="BH582" s="82"/>
      <c r="BI582" s="29"/>
      <c r="BJ582" s="29"/>
      <c r="BK582" s="29"/>
    </row>
    <row r="583" ht="15.75" hidden="1" customHeight="1">
      <c r="A583" s="75"/>
      <c r="B583" s="73"/>
      <c r="C583" s="76"/>
      <c r="D583" s="76"/>
      <c r="E583" s="76"/>
      <c r="F583" s="77"/>
      <c r="G583" s="78"/>
      <c r="H583" s="76"/>
      <c r="I583" s="76"/>
      <c r="J583" s="79"/>
      <c r="K583" s="80"/>
      <c r="L583" s="81"/>
      <c r="M583" s="81"/>
      <c r="N583" s="82"/>
      <c r="O583" s="83"/>
      <c r="P583" s="84"/>
      <c r="Q583" s="84"/>
      <c r="R583" s="81"/>
      <c r="S583" s="85"/>
      <c r="T583" s="86"/>
      <c r="U583" s="86"/>
      <c r="V583" s="87"/>
      <c r="W583" s="87"/>
      <c r="X583" s="87"/>
      <c r="Y583" s="87"/>
      <c r="Z583" s="87"/>
      <c r="AA583" s="87"/>
      <c r="AB583" s="29"/>
      <c r="AC583" s="94"/>
      <c r="AD583" s="94"/>
      <c r="AE583" s="89"/>
      <c r="AF583" s="89"/>
      <c r="AG583" s="89"/>
      <c r="AH583" s="89"/>
      <c r="AI583" s="90"/>
      <c r="AJ583" s="90"/>
      <c r="AK583" s="90"/>
      <c r="AL583" s="90"/>
      <c r="AM583" s="91"/>
      <c r="AN583" s="91"/>
      <c r="AO583" s="92"/>
      <c r="AP583" s="92"/>
      <c r="AQ583" s="92"/>
      <c r="AR583" s="92"/>
      <c r="AS583" s="93"/>
      <c r="AT583" s="93"/>
      <c r="AU583" s="93"/>
      <c r="AV583" s="93"/>
      <c r="AW583" s="93"/>
      <c r="AX583" s="92"/>
      <c r="AY583" s="92"/>
      <c r="AZ583" s="90"/>
      <c r="BA583" s="83"/>
      <c r="BB583" s="92"/>
      <c r="BC583" s="92"/>
      <c r="BD583" s="92"/>
      <c r="BE583" s="93"/>
      <c r="BF583" s="92"/>
      <c r="BG583" s="82"/>
      <c r="BH583" s="82"/>
      <c r="BI583" s="29"/>
      <c r="BJ583" s="29"/>
      <c r="BK583" s="29"/>
    </row>
    <row r="584" ht="15.75" hidden="1" customHeight="1">
      <c r="A584" s="75"/>
      <c r="B584" s="73"/>
      <c r="C584" s="76"/>
      <c r="D584" s="76"/>
      <c r="E584" s="76"/>
      <c r="F584" s="77"/>
      <c r="G584" s="78"/>
      <c r="H584" s="76"/>
      <c r="I584" s="76"/>
      <c r="J584" s="79"/>
      <c r="K584" s="80"/>
      <c r="L584" s="81"/>
      <c r="M584" s="81"/>
      <c r="N584" s="82"/>
      <c r="O584" s="83"/>
      <c r="P584" s="84"/>
      <c r="Q584" s="84"/>
      <c r="R584" s="81"/>
      <c r="S584" s="85"/>
      <c r="T584" s="86"/>
      <c r="U584" s="86"/>
      <c r="V584" s="87"/>
      <c r="W584" s="87"/>
      <c r="X584" s="87"/>
      <c r="Y584" s="87"/>
      <c r="Z584" s="87"/>
      <c r="AA584" s="87"/>
      <c r="AB584" s="29"/>
      <c r="AC584" s="94"/>
      <c r="AD584" s="94"/>
      <c r="AE584" s="89"/>
      <c r="AF584" s="89"/>
      <c r="AG584" s="89"/>
      <c r="AH584" s="89"/>
      <c r="AI584" s="90"/>
      <c r="AJ584" s="90"/>
      <c r="AK584" s="90"/>
      <c r="AL584" s="90"/>
      <c r="AM584" s="91"/>
      <c r="AN584" s="91"/>
      <c r="AO584" s="92"/>
      <c r="AP584" s="92"/>
      <c r="AQ584" s="92"/>
      <c r="AR584" s="92"/>
      <c r="AS584" s="93"/>
      <c r="AT584" s="93"/>
      <c r="AU584" s="93"/>
      <c r="AV584" s="93"/>
      <c r="AW584" s="93"/>
      <c r="AX584" s="92"/>
      <c r="AY584" s="92"/>
      <c r="AZ584" s="90"/>
      <c r="BA584" s="83"/>
      <c r="BB584" s="92"/>
      <c r="BC584" s="92"/>
      <c r="BD584" s="92"/>
      <c r="BE584" s="93"/>
      <c r="BF584" s="92"/>
      <c r="BG584" s="82"/>
      <c r="BH584" s="82"/>
      <c r="BI584" s="29"/>
      <c r="BJ584" s="29"/>
      <c r="BK584" s="29"/>
    </row>
    <row r="585" ht="15.75" hidden="1" customHeight="1">
      <c r="A585" s="75"/>
      <c r="B585" s="73"/>
      <c r="C585" s="76"/>
      <c r="D585" s="76"/>
      <c r="E585" s="76"/>
      <c r="F585" s="77"/>
      <c r="G585" s="78"/>
      <c r="H585" s="76"/>
      <c r="I585" s="76"/>
      <c r="J585" s="79"/>
      <c r="K585" s="80"/>
      <c r="L585" s="81"/>
      <c r="M585" s="81"/>
      <c r="N585" s="82"/>
      <c r="O585" s="83"/>
      <c r="P585" s="84"/>
      <c r="Q585" s="84"/>
      <c r="R585" s="81"/>
      <c r="S585" s="85"/>
      <c r="T585" s="86"/>
      <c r="U585" s="86"/>
      <c r="V585" s="87"/>
      <c r="W585" s="87"/>
      <c r="X585" s="87"/>
      <c r="Y585" s="87"/>
      <c r="Z585" s="87"/>
      <c r="AA585" s="87"/>
      <c r="AB585" s="29"/>
      <c r="AC585" s="94"/>
      <c r="AD585" s="94"/>
      <c r="AE585" s="89"/>
      <c r="AF585" s="89"/>
      <c r="AG585" s="89"/>
      <c r="AH585" s="89"/>
      <c r="AI585" s="90"/>
      <c r="AJ585" s="90"/>
      <c r="AK585" s="90"/>
      <c r="AL585" s="90"/>
      <c r="AM585" s="91"/>
      <c r="AN585" s="91"/>
      <c r="AO585" s="92"/>
      <c r="AP585" s="92"/>
      <c r="AQ585" s="92"/>
      <c r="AR585" s="92"/>
      <c r="AS585" s="93"/>
      <c r="AT585" s="93"/>
      <c r="AU585" s="93"/>
      <c r="AV585" s="93"/>
      <c r="AW585" s="93"/>
      <c r="AX585" s="92"/>
      <c r="AY585" s="92"/>
      <c r="AZ585" s="90"/>
      <c r="BA585" s="83"/>
      <c r="BB585" s="92"/>
      <c r="BC585" s="92"/>
      <c r="BD585" s="92"/>
      <c r="BE585" s="93"/>
      <c r="BF585" s="92"/>
      <c r="BG585" s="82"/>
      <c r="BH585" s="82"/>
      <c r="BI585" s="29"/>
      <c r="BJ585" s="29"/>
      <c r="BK585" s="29"/>
    </row>
    <row r="586" ht="15.75" hidden="1" customHeight="1">
      <c r="A586" s="75"/>
      <c r="B586" s="73"/>
      <c r="C586" s="76"/>
      <c r="D586" s="76"/>
      <c r="E586" s="76"/>
      <c r="F586" s="77"/>
      <c r="G586" s="78"/>
      <c r="H586" s="76"/>
      <c r="I586" s="76"/>
      <c r="J586" s="79"/>
      <c r="K586" s="80"/>
      <c r="L586" s="81"/>
      <c r="M586" s="81"/>
      <c r="N586" s="82"/>
      <c r="O586" s="83"/>
      <c r="P586" s="84"/>
      <c r="Q586" s="84"/>
      <c r="R586" s="81"/>
      <c r="S586" s="85"/>
      <c r="T586" s="86"/>
      <c r="U586" s="86"/>
      <c r="V586" s="87"/>
      <c r="W586" s="87"/>
      <c r="X586" s="87"/>
      <c r="Y586" s="87"/>
      <c r="Z586" s="87"/>
      <c r="AA586" s="87"/>
      <c r="AB586" s="29"/>
      <c r="AC586" s="94"/>
      <c r="AD586" s="94"/>
      <c r="AE586" s="89"/>
      <c r="AF586" s="89"/>
      <c r="AG586" s="89"/>
      <c r="AH586" s="89"/>
      <c r="AI586" s="90"/>
      <c r="AJ586" s="90"/>
      <c r="AK586" s="90"/>
      <c r="AL586" s="90"/>
      <c r="AM586" s="91"/>
      <c r="AN586" s="91"/>
      <c r="AO586" s="92"/>
      <c r="AP586" s="92"/>
      <c r="AQ586" s="92"/>
      <c r="AR586" s="92"/>
      <c r="AS586" s="93"/>
      <c r="AT586" s="93"/>
      <c r="AU586" s="93"/>
      <c r="AV586" s="93"/>
      <c r="AW586" s="93"/>
      <c r="AX586" s="92"/>
      <c r="AY586" s="92"/>
      <c r="AZ586" s="90"/>
      <c r="BA586" s="83"/>
      <c r="BB586" s="92"/>
      <c r="BC586" s="92"/>
      <c r="BD586" s="92"/>
      <c r="BE586" s="93"/>
      <c r="BF586" s="92"/>
      <c r="BG586" s="82"/>
      <c r="BH586" s="82"/>
      <c r="BI586" s="29"/>
      <c r="BJ586" s="29"/>
      <c r="BK586" s="29"/>
    </row>
    <row r="587" ht="15.75" hidden="1" customHeight="1">
      <c r="A587" s="75"/>
      <c r="B587" s="73"/>
      <c r="C587" s="76"/>
      <c r="D587" s="76"/>
      <c r="E587" s="76"/>
      <c r="F587" s="77"/>
      <c r="G587" s="78"/>
      <c r="H587" s="76"/>
      <c r="I587" s="76"/>
      <c r="J587" s="79"/>
      <c r="K587" s="80"/>
      <c r="L587" s="81"/>
      <c r="M587" s="81"/>
      <c r="N587" s="82"/>
      <c r="O587" s="83"/>
      <c r="P587" s="84"/>
      <c r="Q587" s="84"/>
      <c r="R587" s="81"/>
      <c r="S587" s="85"/>
      <c r="T587" s="86"/>
      <c r="U587" s="86"/>
      <c r="V587" s="87"/>
      <c r="W587" s="87"/>
      <c r="X587" s="87"/>
      <c r="Y587" s="87"/>
      <c r="Z587" s="87"/>
      <c r="AA587" s="87"/>
      <c r="AB587" s="29"/>
      <c r="AC587" s="94"/>
      <c r="AD587" s="94"/>
      <c r="AE587" s="89"/>
      <c r="AF587" s="89"/>
      <c r="AG587" s="89"/>
      <c r="AH587" s="89"/>
      <c r="AI587" s="90"/>
      <c r="AJ587" s="90"/>
      <c r="AK587" s="90"/>
      <c r="AL587" s="90"/>
      <c r="AM587" s="91"/>
      <c r="AN587" s="91"/>
      <c r="AO587" s="92"/>
      <c r="AP587" s="92"/>
      <c r="AQ587" s="92"/>
      <c r="AR587" s="92"/>
      <c r="AS587" s="93"/>
      <c r="AT587" s="93"/>
      <c r="AU587" s="93"/>
      <c r="AV587" s="93"/>
      <c r="AW587" s="93"/>
      <c r="AX587" s="92"/>
      <c r="AY587" s="92"/>
      <c r="AZ587" s="90"/>
      <c r="BA587" s="83"/>
      <c r="BB587" s="92"/>
      <c r="BC587" s="92"/>
      <c r="BD587" s="92"/>
      <c r="BE587" s="93"/>
      <c r="BF587" s="92"/>
      <c r="BG587" s="82"/>
      <c r="BH587" s="82"/>
      <c r="BI587" s="29"/>
      <c r="BJ587" s="29"/>
      <c r="BK587" s="29"/>
    </row>
    <row r="588" ht="15.75" hidden="1" customHeight="1">
      <c r="A588" s="75"/>
      <c r="B588" s="73"/>
      <c r="C588" s="76"/>
      <c r="D588" s="76"/>
      <c r="E588" s="76"/>
      <c r="F588" s="77"/>
      <c r="G588" s="78"/>
      <c r="H588" s="76"/>
      <c r="I588" s="76"/>
      <c r="J588" s="79"/>
      <c r="K588" s="80"/>
      <c r="L588" s="81"/>
      <c r="M588" s="81"/>
      <c r="N588" s="82"/>
      <c r="O588" s="83"/>
      <c r="P588" s="84"/>
      <c r="Q588" s="84"/>
      <c r="R588" s="81"/>
      <c r="S588" s="85"/>
      <c r="T588" s="86"/>
      <c r="U588" s="86"/>
      <c r="V588" s="87"/>
      <c r="W588" s="87"/>
      <c r="X588" s="87"/>
      <c r="Y588" s="87"/>
      <c r="Z588" s="87"/>
      <c r="AA588" s="87"/>
      <c r="AB588" s="29"/>
      <c r="AC588" s="94"/>
      <c r="AD588" s="94"/>
      <c r="AE588" s="89"/>
      <c r="AF588" s="89"/>
      <c r="AG588" s="89"/>
      <c r="AH588" s="89"/>
      <c r="AI588" s="90"/>
      <c r="AJ588" s="90"/>
      <c r="AK588" s="90"/>
      <c r="AL588" s="90"/>
      <c r="AM588" s="91"/>
      <c r="AN588" s="91"/>
      <c r="AO588" s="92"/>
      <c r="AP588" s="92"/>
      <c r="AQ588" s="92"/>
      <c r="AR588" s="92"/>
      <c r="AS588" s="93"/>
      <c r="AT588" s="93"/>
      <c r="AU588" s="93"/>
      <c r="AV588" s="93"/>
      <c r="AW588" s="93"/>
      <c r="AX588" s="92"/>
      <c r="AY588" s="92"/>
      <c r="AZ588" s="90"/>
      <c r="BA588" s="83"/>
      <c r="BB588" s="92"/>
      <c r="BC588" s="92"/>
      <c r="BD588" s="92"/>
      <c r="BE588" s="93"/>
      <c r="BF588" s="92"/>
      <c r="BG588" s="82"/>
      <c r="BH588" s="82"/>
      <c r="BI588" s="29"/>
      <c r="BJ588" s="29"/>
      <c r="BK588" s="29"/>
    </row>
    <row r="589" ht="15.75" hidden="1" customHeight="1">
      <c r="A589" s="75"/>
      <c r="B589" s="73"/>
      <c r="C589" s="76"/>
      <c r="D589" s="76"/>
      <c r="E589" s="76"/>
      <c r="F589" s="77"/>
      <c r="G589" s="78"/>
      <c r="H589" s="76"/>
      <c r="I589" s="76"/>
      <c r="J589" s="79"/>
      <c r="K589" s="80"/>
      <c r="L589" s="81"/>
      <c r="M589" s="81"/>
      <c r="N589" s="82"/>
      <c r="O589" s="83"/>
      <c r="P589" s="84"/>
      <c r="Q589" s="84"/>
      <c r="R589" s="81"/>
      <c r="S589" s="85"/>
      <c r="T589" s="86"/>
      <c r="U589" s="86"/>
      <c r="V589" s="87"/>
      <c r="W589" s="87"/>
      <c r="X589" s="87"/>
      <c r="Y589" s="87"/>
      <c r="Z589" s="87"/>
      <c r="AA589" s="87"/>
      <c r="AB589" s="29"/>
      <c r="AC589" s="94"/>
      <c r="AD589" s="94"/>
      <c r="AE589" s="89"/>
      <c r="AF589" s="89"/>
      <c r="AG589" s="89"/>
      <c r="AH589" s="89"/>
      <c r="AI589" s="90"/>
      <c r="AJ589" s="90"/>
      <c r="AK589" s="90"/>
      <c r="AL589" s="90"/>
      <c r="AM589" s="91"/>
      <c r="AN589" s="91"/>
      <c r="AO589" s="92"/>
      <c r="AP589" s="92"/>
      <c r="AQ589" s="92"/>
      <c r="AR589" s="92"/>
      <c r="AS589" s="93"/>
      <c r="AT589" s="93"/>
      <c r="AU589" s="93"/>
      <c r="AV589" s="93"/>
      <c r="AW589" s="93"/>
      <c r="AX589" s="92"/>
      <c r="AY589" s="92"/>
      <c r="AZ589" s="90"/>
      <c r="BA589" s="83"/>
      <c r="BB589" s="92"/>
      <c r="BC589" s="92"/>
      <c r="BD589" s="92"/>
      <c r="BE589" s="93"/>
      <c r="BF589" s="92"/>
      <c r="BG589" s="82"/>
      <c r="BH589" s="82"/>
      <c r="BI589" s="29"/>
      <c r="BJ589" s="29"/>
      <c r="BK589" s="29"/>
    </row>
    <row r="590" ht="15.75" hidden="1" customHeight="1">
      <c r="A590" s="75"/>
      <c r="B590" s="73"/>
      <c r="C590" s="76"/>
      <c r="D590" s="76"/>
      <c r="E590" s="76"/>
      <c r="F590" s="77"/>
      <c r="G590" s="78"/>
      <c r="H590" s="76"/>
      <c r="I590" s="76"/>
      <c r="J590" s="79"/>
      <c r="K590" s="80"/>
      <c r="L590" s="81"/>
      <c r="M590" s="81"/>
      <c r="N590" s="82"/>
      <c r="O590" s="83"/>
      <c r="P590" s="84"/>
      <c r="Q590" s="84"/>
      <c r="R590" s="81"/>
      <c r="S590" s="85"/>
      <c r="T590" s="86"/>
      <c r="U590" s="86"/>
      <c r="V590" s="87"/>
      <c r="W590" s="87"/>
      <c r="X590" s="87"/>
      <c r="Y590" s="87"/>
      <c r="Z590" s="87"/>
      <c r="AA590" s="87"/>
      <c r="AB590" s="29"/>
      <c r="AC590" s="94"/>
      <c r="AD590" s="94"/>
      <c r="AE590" s="89"/>
      <c r="AF590" s="89"/>
      <c r="AG590" s="89"/>
      <c r="AH590" s="89"/>
      <c r="AI590" s="90"/>
      <c r="AJ590" s="90"/>
      <c r="AK590" s="90"/>
      <c r="AL590" s="90"/>
      <c r="AM590" s="91"/>
      <c r="AN590" s="91"/>
      <c r="AO590" s="92"/>
      <c r="AP590" s="92"/>
      <c r="AQ590" s="92"/>
      <c r="AR590" s="92"/>
      <c r="AS590" s="93"/>
      <c r="AT590" s="93"/>
      <c r="AU590" s="93"/>
      <c r="AV590" s="93"/>
      <c r="AW590" s="93"/>
      <c r="AX590" s="92"/>
      <c r="AY590" s="92"/>
      <c r="AZ590" s="90"/>
      <c r="BA590" s="83"/>
      <c r="BB590" s="92"/>
      <c r="BC590" s="92"/>
      <c r="BD590" s="92"/>
      <c r="BE590" s="93"/>
      <c r="BF590" s="92"/>
      <c r="BG590" s="82"/>
      <c r="BH590" s="82"/>
      <c r="BI590" s="29"/>
      <c r="BJ590" s="29"/>
      <c r="BK590" s="29"/>
    </row>
    <row r="591" ht="15.75" hidden="1" customHeight="1">
      <c r="A591" s="75"/>
      <c r="B591" s="73"/>
      <c r="C591" s="76"/>
      <c r="D591" s="76"/>
      <c r="E591" s="76"/>
      <c r="F591" s="77"/>
      <c r="G591" s="78"/>
      <c r="H591" s="76"/>
      <c r="I591" s="76"/>
      <c r="J591" s="79"/>
      <c r="K591" s="80"/>
      <c r="L591" s="81"/>
      <c r="M591" s="81"/>
      <c r="N591" s="82"/>
      <c r="O591" s="83"/>
      <c r="P591" s="84"/>
      <c r="Q591" s="84"/>
      <c r="R591" s="81"/>
      <c r="S591" s="85"/>
      <c r="T591" s="86"/>
      <c r="U591" s="86"/>
      <c r="V591" s="87"/>
      <c r="W591" s="87"/>
      <c r="X591" s="87"/>
      <c r="Y591" s="87"/>
      <c r="Z591" s="87"/>
      <c r="AA591" s="87"/>
      <c r="AB591" s="29"/>
      <c r="AC591" s="94"/>
      <c r="AD591" s="94"/>
      <c r="AE591" s="89"/>
      <c r="AF591" s="89"/>
      <c r="AG591" s="89"/>
      <c r="AH591" s="89"/>
      <c r="AI591" s="90"/>
      <c r="AJ591" s="90"/>
      <c r="AK591" s="90"/>
      <c r="AL591" s="90"/>
      <c r="AM591" s="91"/>
      <c r="AN591" s="91"/>
      <c r="AO591" s="92"/>
      <c r="AP591" s="92"/>
      <c r="AQ591" s="92"/>
      <c r="AR591" s="92"/>
      <c r="AS591" s="93"/>
      <c r="AT591" s="93"/>
      <c r="AU591" s="93"/>
      <c r="AV591" s="93"/>
      <c r="AW591" s="93"/>
      <c r="AX591" s="92"/>
      <c r="AY591" s="92"/>
      <c r="AZ591" s="90"/>
      <c r="BA591" s="83"/>
      <c r="BB591" s="92"/>
      <c r="BC591" s="92"/>
      <c r="BD591" s="92"/>
      <c r="BE591" s="93"/>
      <c r="BF591" s="92"/>
      <c r="BG591" s="82"/>
      <c r="BH591" s="82"/>
      <c r="BI591" s="29"/>
      <c r="BJ591" s="29"/>
      <c r="BK591" s="29"/>
    </row>
    <row r="592" ht="15.75" hidden="1" customHeight="1">
      <c r="A592" s="75"/>
      <c r="B592" s="73"/>
      <c r="C592" s="76"/>
      <c r="D592" s="76"/>
      <c r="E592" s="76"/>
      <c r="F592" s="77"/>
      <c r="G592" s="78"/>
      <c r="H592" s="76"/>
      <c r="I592" s="76"/>
      <c r="J592" s="79"/>
      <c r="K592" s="80"/>
      <c r="L592" s="81"/>
      <c r="M592" s="81"/>
      <c r="N592" s="82"/>
      <c r="O592" s="83"/>
      <c r="P592" s="84"/>
      <c r="Q592" s="84"/>
      <c r="R592" s="81"/>
      <c r="S592" s="85"/>
      <c r="T592" s="86"/>
      <c r="U592" s="86"/>
      <c r="V592" s="87"/>
      <c r="W592" s="87"/>
      <c r="X592" s="87"/>
      <c r="Y592" s="87"/>
      <c r="Z592" s="87"/>
      <c r="AA592" s="87"/>
      <c r="AB592" s="29"/>
      <c r="AC592" s="94"/>
      <c r="AD592" s="94"/>
      <c r="AE592" s="89"/>
      <c r="AF592" s="89"/>
      <c r="AG592" s="89"/>
      <c r="AH592" s="89"/>
      <c r="AI592" s="90"/>
      <c r="AJ592" s="90"/>
      <c r="AK592" s="90"/>
      <c r="AL592" s="90"/>
      <c r="AM592" s="91"/>
      <c r="AN592" s="91"/>
      <c r="AO592" s="92"/>
      <c r="AP592" s="92"/>
      <c r="AQ592" s="92"/>
      <c r="AR592" s="92"/>
      <c r="AS592" s="93"/>
      <c r="AT592" s="93"/>
      <c r="AU592" s="93"/>
      <c r="AV592" s="93"/>
      <c r="AW592" s="93"/>
      <c r="AX592" s="92"/>
      <c r="AY592" s="92"/>
      <c r="AZ592" s="90"/>
      <c r="BA592" s="83"/>
      <c r="BB592" s="92"/>
      <c r="BC592" s="92"/>
      <c r="BD592" s="92"/>
      <c r="BE592" s="93"/>
      <c r="BF592" s="92"/>
      <c r="BG592" s="82"/>
      <c r="BH592" s="82"/>
      <c r="BI592" s="29"/>
      <c r="BJ592" s="29"/>
      <c r="BK592" s="29"/>
    </row>
    <row r="593" ht="15.75" hidden="1" customHeight="1">
      <c r="A593" s="75"/>
      <c r="B593" s="73"/>
      <c r="C593" s="76"/>
      <c r="D593" s="76"/>
      <c r="E593" s="76"/>
      <c r="F593" s="77"/>
      <c r="G593" s="78"/>
      <c r="H593" s="76"/>
      <c r="I593" s="76"/>
      <c r="J593" s="79"/>
      <c r="K593" s="80"/>
      <c r="L593" s="81"/>
      <c r="M593" s="81"/>
      <c r="N593" s="82"/>
      <c r="O593" s="83"/>
      <c r="P593" s="84"/>
      <c r="Q593" s="84"/>
      <c r="R593" s="81"/>
      <c r="S593" s="85"/>
      <c r="T593" s="86"/>
      <c r="U593" s="86"/>
      <c r="V593" s="87"/>
      <c r="W593" s="87"/>
      <c r="X593" s="87"/>
      <c r="Y593" s="87"/>
      <c r="Z593" s="87"/>
      <c r="AA593" s="87"/>
      <c r="AB593" s="29"/>
      <c r="AC593" s="94"/>
      <c r="AD593" s="94"/>
      <c r="AE593" s="89"/>
      <c r="AF593" s="89"/>
      <c r="AG593" s="89"/>
      <c r="AH593" s="89"/>
      <c r="AI593" s="90"/>
      <c r="AJ593" s="90"/>
      <c r="AK593" s="90"/>
      <c r="AL593" s="90"/>
      <c r="AM593" s="91"/>
      <c r="AN593" s="91"/>
      <c r="AO593" s="92"/>
      <c r="AP593" s="92"/>
      <c r="AQ593" s="92"/>
      <c r="AR593" s="92"/>
      <c r="AS593" s="93"/>
      <c r="AT593" s="93"/>
      <c r="AU593" s="93"/>
      <c r="AV593" s="93"/>
      <c r="AW593" s="93"/>
      <c r="AX593" s="92"/>
      <c r="AY593" s="92"/>
      <c r="AZ593" s="90"/>
      <c r="BA593" s="83"/>
      <c r="BB593" s="92"/>
      <c r="BC593" s="92"/>
      <c r="BD593" s="92"/>
      <c r="BE593" s="93"/>
      <c r="BF593" s="92"/>
      <c r="BG593" s="82"/>
      <c r="BH593" s="82"/>
      <c r="BI593" s="29"/>
      <c r="BJ593" s="29"/>
      <c r="BK593" s="29"/>
    </row>
    <row r="594" ht="15.75" hidden="1" customHeight="1">
      <c r="A594" s="75"/>
      <c r="B594" s="73"/>
      <c r="C594" s="76"/>
      <c r="D594" s="76"/>
      <c r="E594" s="76"/>
      <c r="F594" s="77"/>
      <c r="G594" s="78"/>
      <c r="H594" s="76"/>
      <c r="I594" s="76"/>
      <c r="J594" s="79"/>
      <c r="K594" s="80"/>
      <c r="L594" s="81"/>
      <c r="M594" s="81"/>
      <c r="N594" s="82"/>
      <c r="O594" s="83"/>
      <c r="P594" s="84"/>
      <c r="Q594" s="84"/>
      <c r="R594" s="81"/>
      <c r="S594" s="85"/>
      <c r="T594" s="86"/>
      <c r="U594" s="86"/>
      <c r="V594" s="87"/>
      <c r="W594" s="87"/>
      <c r="X594" s="87"/>
      <c r="Y594" s="87"/>
      <c r="Z594" s="87"/>
      <c r="AA594" s="87"/>
      <c r="AB594" s="29"/>
      <c r="AC594" s="94"/>
      <c r="AD594" s="94"/>
      <c r="AE594" s="89"/>
      <c r="AF594" s="89"/>
      <c r="AG594" s="89"/>
      <c r="AH594" s="89"/>
      <c r="AI594" s="90"/>
      <c r="AJ594" s="90"/>
      <c r="AK594" s="90"/>
      <c r="AL594" s="90"/>
      <c r="AM594" s="91"/>
      <c r="AN594" s="91"/>
      <c r="AO594" s="92"/>
      <c r="AP594" s="92"/>
      <c r="AQ594" s="92"/>
      <c r="AR594" s="92"/>
      <c r="AS594" s="93"/>
      <c r="AT594" s="93"/>
      <c r="AU594" s="93"/>
      <c r="AV594" s="93"/>
      <c r="AW594" s="93"/>
      <c r="AX594" s="92"/>
      <c r="AY594" s="92"/>
      <c r="AZ594" s="90"/>
      <c r="BA594" s="83"/>
      <c r="BB594" s="92"/>
      <c r="BC594" s="92"/>
      <c r="BD594" s="92"/>
      <c r="BE594" s="93"/>
      <c r="BF594" s="92"/>
      <c r="BG594" s="82"/>
      <c r="BH594" s="82"/>
      <c r="BI594" s="29"/>
      <c r="BJ594" s="29"/>
      <c r="BK594" s="29"/>
    </row>
    <row r="595" ht="15.75" hidden="1" customHeight="1">
      <c r="A595" s="75"/>
      <c r="B595" s="73"/>
      <c r="C595" s="76"/>
      <c r="D595" s="76"/>
      <c r="E595" s="76"/>
      <c r="F595" s="77"/>
      <c r="G595" s="78"/>
      <c r="H595" s="76"/>
      <c r="I595" s="76"/>
      <c r="J595" s="79"/>
      <c r="K595" s="80"/>
      <c r="L595" s="81"/>
      <c r="M595" s="81"/>
      <c r="N595" s="82"/>
      <c r="O595" s="83"/>
      <c r="P595" s="84"/>
      <c r="Q595" s="84"/>
      <c r="R595" s="81"/>
      <c r="S595" s="85"/>
      <c r="T595" s="86"/>
      <c r="U595" s="86"/>
      <c r="V595" s="87"/>
      <c r="W595" s="87"/>
      <c r="X595" s="87"/>
      <c r="Y595" s="87"/>
      <c r="Z595" s="87"/>
      <c r="AA595" s="87"/>
      <c r="AB595" s="29"/>
      <c r="AC595" s="94"/>
      <c r="AD595" s="94"/>
      <c r="AE595" s="89"/>
      <c r="AF595" s="89"/>
      <c r="AG595" s="89"/>
      <c r="AH595" s="89"/>
      <c r="AI595" s="90"/>
      <c r="AJ595" s="90"/>
      <c r="AK595" s="90"/>
      <c r="AL595" s="90"/>
      <c r="AM595" s="91"/>
      <c r="AN595" s="91"/>
      <c r="AO595" s="92"/>
      <c r="AP595" s="92"/>
      <c r="AQ595" s="92"/>
      <c r="AR595" s="92"/>
      <c r="AS595" s="93"/>
      <c r="AT595" s="93"/>
      <c r="AU595" s="93"/>
      <c r="AV595" s="93"/>
      <c r="AW595" s="93"/>
      <c r="AX595" s="92"/>
      <c r="AY595" s="92"/>
      <c r="AZ595" s="90"/>
      <c r="BA595" s="83"/>
      <c r="BB595" s="92"/>
      <c r="BC595" s="92"/>
      <c r="BD595" s="92"/>
      <c r="BE595" s="93"/>
      <c r="BF595" s="92"/>
      <c r="BG595" s="82"/>
      <c r="BH595" s="82"/>
      <c r="BI595" s="29"/>
      <c r="BJ595" s="29"/>
      <c r="BK595" s="29"/>
    </row>
    <row r="596" ht="15.75" hidden="1" customHeight="1">
      <c r="A596" s="75"/>
      <c r="B596" s="73"/>
      <c r="C596" s="76"/>
      <c r="D596" s="76"/>
      <c r="E596" s="76"/>
      <c r="F596" s="77"/>
      <c r="G596" s="78"/>
      <c r="H596" s="76"/>
      <c r="I596" s="76"/>
      <c r="J596" s="79"/>
      <c r="K596" s="80"/>
      <c r="L596" s="81"/>
      <c r="M596" s="81"/>
      <c r="N596" s="82"/>
      <c r="O596" s="83"/>
      <c r="P596" s="84"/>
      <c r="Q596" s="84"/>
      <c r="R596" s="81"/>
      <c r="S596" s="85"/>
      <c r="T596" s="86"/>
      <c r="U596" s="86"/>
      <c r="V596" s="87"/>
      <c r="W596" s="87"/>
      <c r="X596" s="87"/>
      <c r="Y596" s="87"/>
      <c r="Z596" s="87"/>
      <c r="AA596" s="87"/>
      <c r="AB596" s="29"/>
      <c r="AC596" s="94"/>
      <c r="AD596" s="94"/>
      <c r="AE596" s="89"/>
      <c r="AF596" s="89"/>
      <c r="AG596" s="89"/>
      <c r="AH596" s="89"/>
      <c r="AI596" s="90"/>
      <c r="AJ596" s="90"/>
      <c r="AK596" s="90"/>
      <c r="AL596" s="90"/>
      <c r="AM596" s="91"/>
      <c r="AN596" s="91"/>
      <c r="AO596" s="92"/>
      <c r="AP596" s="92"/>
      <c r="AQ596" s="92"/>
      <c r="AR596" s="92"/>
      <c r="AS596" s="93"/>
      <c r="AT596" s="93"/>
      <c r="AU596" s="93"/>
      <c r="AV596" s="93"/>
      <c r="AW596" s="93"/>
      <c r="AX596" s="92"/>
      <c r="AY596" s="92"/>
      <c r="AZ596" s="90"/>
      <c r="BA596" s="83"/>
      <c r="BB596" s="92"/>
      <c r="BC596" s="92"/>
      <c r="BD596" s="92"/>
      <c r="BE596" s="93"/>
      <c r="BF596" s="92"/>
      <c r="BG596" s="82"/>
      <c r="BH596" s="82"/>
      <c r="BI596" s="29"/>
      <c r="BJ596" s="29"/>
      <c r="BK596" s="29"/>
    </row>
    <row r="597" ht="15.75" hidden="1" customHeight="1">
      <c r="A597" s="75"/>
      <c r="B597" s="73"/>
      <c r="C597" s="76"/>
      <c r="D597" s="76"/>
      <c r="E597" s="76"/>
      <c r="F597" s="77"/>
      <c r="G597" s="78"/>
      <c r="H597" s="76"/>
      <c r="I597" s="76"/>
      <c r="J597" s="79"/>
      <c r="K597" s="80"/>
      <c r="L597" s="81"/>
      <c r="M597" s="81"/>
      <c r="N597" s="82"/>
      <c r="O597" s="83"/>
      <c r="P597" s="84"/>
      <c r="Q597" s="84"/>
      <c r="R597" s="81"/>
      <c r="S597" s="85"/>
      <c r="T597" s="86"/>
      <c r="U597" s="86"/>
      <c r="V597" s="87"/>
      <c r="W597" s="87"/>
      <c r="X597" s="87"/>
      <c r="Y597" s="87"/>
      <c r="Z597" s="87"/>
      <c r="AA597" s="87"/>
      <c r="AB597" s="29"/>
      <c r="AC597" s="94"/>
      <c r="AD597" s="94"/>
      <c r="AE597" s="89"/>
      <c r="AF597" s="89"/>
      <c r="AG597" s="89"/>
      <c r="AH597" s="89"/>
      <c r="AI597" s="90"/>
      <c r="AJ597" s="90"/>
      <c r="AK597" s="90"/>
      <c r="AL597" s="90"/>
      <c r="AM597" s="91"/>
      <c r="AN597" s="91"/>
      <c r="AO597" s="92"/>
      <c r="AP597" s="92"/>
      <c r="AQ597" s="92"/>
      <c r="AR597" s="92"/>
      <c r="AS597" s="93"/>
      <c r="AT597" s="93"/>
      <c r="AU597" s="93"/>
      <c r="AV597" s="93"/>
      <c r="AW597" s="93"/>
      <c r="AX597" s="92"/>
      <c r="AY597" s="92"/>
      <c r="AZ597" s="90"/>
      <c r="BA597" s="83"/>
      <c r="BB597" s="92"/>
      <c r="BC597" s="92"/>
      <c r="BD597" s="92"/>
      <c r="BE597" s="93"/>
      <c r="BF597" s="92"/>
      <c r="BG597" s="82"/>
      <c r="BH597" s="82"/>
      <c r="BI597" s="29"/>
      <c r="BJ597" s="29"/>
      <c r="BK597" s="29"/>
    </row>
    <row r="598" ht="15.75" hidden="1" customHeight="1">
      <c r="A598" s="75"/>
      <c r="B598" s="73"/>
      <c r="C598" s="76"/>
      <c r="D598" s="76"/>
      <c r="E598" s="76"/>
      <c r="F598" s="77"/>
      <c r="G598" s="78"/>
      <c r="H598" s="76"/>
      <c r="I598" s="76"/>
      <c r="J598" s="79"/>
      <c r="K598" s="80"/>
      <c r="L598" s="81"/>
      <c r="M598" s="81"/>
      <c r="N598" s="82"/>
      <c r="O598" s="83"/>
      <c r="P598" s="84"/>
      <c r="Q598" s="84"/>
      <c r="R598" s="81"/>
      <c r="S598" s="85"/>
      <c r="T598" s="86"/>
      <c r="U598" s="86"/>
      <c r="V598" s="87"/>
      <c r="W598" s="87"/>
      <c r="X598" s="87"/>
      <c r="Y598" s="87"/>
      <c r="Z598" s="87"/>
      <c r="AA598" s="87"/>
      <c r="AB598" s="29"/>
      <c r="AC598" s="94"/>
      <c r="AD598" s="94"/>
      <c r="AE598" s="89"/>
      <c r="AF598" s="89"/>
      <c r="AG598" s="89"/>
      <c r="AH598" s="89"/>
      <c r="AI598" s="90"/>
      <c r="AJ598" s="90"/>
      <c r="AK598" s="90"/>
      <c r="AL598" s="90"/>
      <c r="AM598" s="91"/>
      <c r="AN598" s="91"/>
      <c r="AO598" s="92"/>
      <c r="AP598" s="92"/>
      <c r="AQ598" s="92"/>
      <c r="AR598" s="92"/>
      <c r="AS598" s="93"/>
      <c r="AT598" s="93"/>
      <c r="AU598" s="93"/>
      <c r="AV598" s="93"/>
      <c r="AW598" s="93"/>
      <c r="AX598" s="92"/>
      <c r="AY598" s="92"/>
      <c r="AZ598" s="90"/>
      <c r="BA598" s="83"/>
      <c r="BB598" s="92"/>
      <c r="BC598" s="92"/>
      <c r="BD598" s="92"/>
      <c r="BE598" s="93"/>
      <c r="BF598" s="92"/>
      <c r="BG598" s="82"/>
      <c r="BH598" s="82"/>
      <c r="BI598" s="29"/>
      <c r="BJ598" s="29"/>
      <c r="BK598" s="29"/>
    </row>
    <row r="599" ht="15.75" hidden="1" customHeight="1">
      <c r="A599" s="75"/>
      <c r="B599" s="73"/>
      <c r="C599" s="76"/>
      <c r="D599" s="76"/>
      <c r="E599" s="76"/>
      <c r="F599" s="77"/>
      <c r="G599" s="78"/>
      <c r="H599" s="76"/>
      <c r="I599" s="76"/>
      <c r="J599" s="79"/>
      <c r="K599" s="80"/>
      <c r="L599" s="81"/>
      <c r="M599" s="81"/>
      <c r="N599" s="82"/>
      <c r="O599" s="83"/>
      <c r="P599" s="84"/>
      <c r="Q599" s="84"/>
      <c r="R599" s="81"/>
      <c r="S599" s="85"/>
      <c r="T599" s="86"/>
      <c r="U599" s="86"/>
      <c r="V599" s="87"/>
      <c r="W599" s="87"/>
      <c r="X599" s="87"/>
      <c r="Y599" s="87"/>
      <c r="Z599" s="87"/>
      <c r="AA599" s="87"/>
      <c r="AB599" s="29"/>
      <c r="AC599" s="94"/>
      <c r="AD599" s="94"/>
      <c r="AE599" s="89"/>
      <c r="AF599" s="89"/>
      <c r="AG599" s="89"/>
      <c r="AH599" s="89"/>
      <c r="AI599" s="90"/>
      <c r="AJ599" s="90"/>
      <c r="AK599" s="90"/>
      <c r="AL599" s="90"/>
      <c r="AM599" s="91"/>
      <c r="AN599" s="91"/>
      <c r="AO599" s="92"/>
      <c r="AP599" s="92"/>
      <c r="AQ599" s="92"/>
      <c r="AR599" s="92"/>
      <c r="AS599" s="93"/>
      <c r="AT599" s="93"/>
      <c r="AU599" s="93"/>
      <c r="AV599" s="93"/>
      <c r="AW599" s="93"/>
      <c r="AX599" s="92"/>
      <c r="AY599" s="92"/>
      <c r="AZ599" s="90"/>
      <c r="BA599" s="83"/>
      <c r="BB599" s="92"/>
      <c r="BC599" s="92"/>
      <c r="BD599" s="92"/>
      <c r="BE599" s="93"/>
      <c r="BF599" s="92"/>
      <c r="BG599" s="82"/>
      <c r="BH599" s="82"/>
      <c r="BI599" s="29"/>
      <c r="BJ599" s="29"/>
      <c r="BK599" s="29"/>
    </row>
    <row r="600" ht="15.75" hidden="1" customHeight="1">
      <c r="A600" s="75"/>
      <c r="B600" s="73"/>
      <c r="C600" s="76"/>
      <c r="D600" s="76"/>
      <c r="E600" s="76"/>
      <c r="F600" s="77"/>
      <c r="G600" s="78"/>
      <c r="H600" s="76"/>
      <c r="I600" s="76"/>
      <c r="J600" s="79"/>
      <c r="K600" s="80"/>
      <c r="L600" s="81"/>
      <c r="M600" s="81"/>
      <c r="N600" s="82"/>
      <c r="O600" s="83"/>
      <c r="P600" s="84"/>
      <c r="Q600" s="84"/>
      <c r="R600" s="81"/>
      <c r="S600" s="85"/>
      <c r="T600" s="86"/>
      <c r="U600" s="86"/>
      <c r="V600" s="87"/>
      <c r="W600" s="87"/>
      <c r="X600" s="87"/>
      <c r="Y600" s="87"/>
      <c r="Z600" s="87"/>
      <c r="AA600" s="87"/>
      <c r="AB600" s="29"/>
      <c r="AC600" s="94"/>
      <c r="AD600" s="94"/>
      <c r="AE600" s="89"/>
      <c r="AF600" s="89"/>
      <c r="AG600" s="89"/>
      <c r="AH600" s="89"/>
      <c r="AI600" s="90"/>
      <c r="AJ600" s="90"/>
      <c r="AK600" s="90"/>
      <c r="AL600" s="90"/>
      <c r="AM600" s="91"/>
      <c r="AN600" s="91"/>
      <c r="AO600" s="92"/>
      <c r="AP600" s="92"/>
      <c r="AQ600" s="92"/>
      <c r="AR600" s="92"/>
      <c r="AS600" s="93"/>
      <c r="AT600" s="93"/>
      <c r="AU600" s="93"/>
      <c r="AV600" s="93"/>
      <c r="AW600" s="93"/>
      <c r="AX600" s="92"/>
      <c r="AY600" s="92"/>
      <c r="AZ600" s="90"/>
      <c r="BA600" s="83"/>
      <c r="BB600" s="92"/>
      <c r="BC600" s="92"/>
      <c r="BD600" s="92"/>
      <c r="BE600" s="93"/>
      <c r="BF600" s="92"/>
      <c r="BG600" s="82"/>
      <c r="BH600" s="82"/>
      <c r="BI600" s="29"/>
      <c r="BJ600" s="29"/>
      <c r="BK600" s="29"/>
    </row>
    <row r="601" ht="15.75" hidden="1" customHeight="1">
      <c r="A601" s="75"/>
      <c r="B601" s="73"/>
      <c r="C601" s="76"/>
      <c r="D601" s="76"/>
      <c r="E601" s="76"/>
      <c r="F601" s="77"/>
      <c r="G601" s="78"/>
      <c r="H601" s="76"/>
      <c r="I601" s="76"/>
      <c r="J601" s="79"/>
      <c r="K601" s="80"/>
      <c r="L601" s="81"/>
      <c r="M601" s="81"/>
      <c r="N601" s="82"/>
      <c r="O601" s="83"/>
      <c r="P601" s="84"/>
      <c r="Q601" s="84"/>
      <c r="R601" s="81"/>
      <c r="S601" s="85"/>
      <c r="T601" s="86"/>
      <c r="U601" s="86"/>
      <c r="V601" s="87"/>
      <c r="W601" s="87"/>
      <c r="X601" s="87"/>
      <c r="Y601" s="87"/>
      <c r="Z601" s="87"/>
      <c r="AA601" s="87"/>
      <c r="AB601" s="29"/>
      <c r="AC601" s="94"/>
      <c r="AD601" s="94"/>
      <c r="AE601" s="89"/>
      <c r="AF601" s="89"/>
      <c r="AG601" s="89"/>
      <c r="AH601" s="89"/>
      <c r="AI601" s="90"/>
      <c r="AJ601" s="90"/>
      <c r="AK601" s="90"/>
      <c r="AL601" s="90"/>
      <c r="AM601" s="91"/>
      <c r="AN601" s="91"/>
      <c r="AO601" s="92"/>
      <c r="AP601" s="92"/>
      <c r="AQ601" s="92"/>
      <c r="AR601" s="92"/>
      <c r="AS601" s="93"/>
      <c r="AT601" s="93"/>
      <c r="AU601" s="93"/>
      <c r="AV601" s="93"/>
      <c r="AW601" s="93"/>
      <c r="AX601" s="92"/>
      <c r="AY601" s="92"/>
      <c r="AZ601" s="90"/>
      <c r="BA601" s="83"/>
      <c r="BB601" s="92"/>
      <c r="BC601" s="92"/>
      <c r="BD601" s="92"/>
      <c r="BE601" s="93"/>
      <c r="BF601" s="92"/>
      <c r="BG601" s="82"/>
      <c r="BH601" s="82"/>
      <c r="BI601" s="29"/>
      <c r="BJ601" s="29"/>
      <c r="BK601" s="29"/>
    </row>
    <row r="602" ht="15.75" hidden="1" customHeight="1">
      <c r="A602" s="75"/>
      <c r="B602" s="73"/>
      <c r="C602" s="76"/>
      <c r="D602" s="76"/>
      <c r="E602" s="76"/>
      <c r="F602" s="77"/>
      <c r="G602" s="78"/>
      <c r="H602" s="76"/>
      <c r="I602" s="76"/>
      <c r="J602" s="79"/>
      <c r="K602" s="80"/>
      <c r="L602" s="81"/>
      <c r="M602" s="81"/>
      <c r="N602" s="82"/>
      <c r="O602" s="83"/>
      <c r="P602" s="84"/>
      <c r="Q602" s="84"/>
      <c r="R602" s="81"/>
      <c r="S602" s="85"/>
      <c r="T602" s="86"/>
      <c r="U602" s="86"/>
      <c r="V602" s="87"/>
      <c r="W602" s="87"/>
      <c r="X602" s="87"/>
      <c r="Y602" s="87"/>
      <c r="Z602" s="87"/>
      <c r="AA602" s="87"/>
      <c r="AB602" s="29"/>
      <c r="AC602" s="94"/>
      <c r="AD602" s="94"/>
      <c r="AE602" s="89"/>
      <c r="AF602" s="89"/>
      <c r="AG602" s="89"/>
      <c r="AH602" s="89"/>
      <c r="AI602" s="90"/>
      <c r="AJ602" s="90"/>
      <c r="AK602" s="90"/>
      <c r="AL602" s="90"/>
      <c r="AM602" s="91"/>
      <c r="AN602" s="91"/>
      <c r="AO602" s="92"/>
      <c r="AP602" s="92"/>
      <c r="AQ602" s="92"/>
      <c r="AR602" s="92"/>
      <c r="AS602" s="93"/>
      <c r="AT602" s="93"/>
      <c r="AU602" s="93"/>
      <c r="AV602" s="93"/>
      <c r="AW602" s="93"/>
      <c r="AX602" s="92"/>
      <c r="AY602" s="92"/>
      <c r="AZ602" s="90"/>
      <c r="BA602" s="83"/>
      <c r="BB602" s="92"/>
      <c r="BC602" s="92"/>
      <c r="BD602" s="92"/>
      <c r="BE602" s="93"/>
      <c r="BF602" s="92"/>
      <c r="BG602" s="82"/>
      <c r="BH602" s="82"/>
      <c r="BI602" s="29"/>
      <c r="BJ602" s="29"/>
      <c r="BK602" s="29"/>
    </row>
    <row r="603" ht="15.75" hidden="1" customHeight="1">
      <c r="A603" s="75"/>
      <c r="B603" s="73"/>
      <c r="C603" s="76"/>
      <c r="D603" s="76"/>
      <c r="E603" s="76"/>
      <c r="F603" s="77"/>
      <c r="G603" s="78"/>
      <c r="H603" s="76"/>
      <c r="I603" s="76"/>
      <c r="J603" s="79"/>
      <c r="K603" s="80"/>
      <c r="L603" s="81"/>
      <c r="M603" s="81"/>
      <c r="N603" s="82"/>
      <c r="O603" s="83"/>
      <c r="P603" s="84"/>
      <c r="Q603" s="84"/>
      <c r="R603" s="81"/>
      <c r="S603" s="85"/>
      <c r="T603" s="86"/>
      <c r="U603" s="86"/>
      <c r="V603" s="87"/>
      <c r="W603" s="87"/>
      <c r="X603" s="87"/>
      <c r="Y603" s="87"/>
      <c r="Z603" s="87"/>
      <c r="AA603" s="87"/>
      <c r="AB603" s="29"/>
      <c r="AC603" s="94"/>
      <c r="AD603" s="94"/>
      <c r="AE603" s="89"/>
      <c r="AF603" s="89"/>
      <c r="AG603" s="89"/>
      <c r="AH603" s="89"/>
      <c r="AI603" s="90"/>
      <c r="AJ603" s="90"/>
      <c r="AK603" s="90"/>
      <c r="AL603" s="90"/>
      <c r="AM603" s="91"/>
      <c r="AN603" s="91"/>
      <c r="AO603" s="92"/>
      <c r="AP603" s="92"/>
      <c r="AQ603" s="92"/>
      <c r="AR603" s="92"/>
      <c r="AS603" s="93"/>
      <c r="AT603" s="93"/>
      <c r="AU603" s="93"/>
      <c r="AV603" s="93"/>
      <c r="AW603" s="93"/>
      <c r="AX603" s="92"/>
      <c r="AY603" s="92"/>
      <c r="AZ603" s="90"/>
      <c r="BA603" s="83"/>
      <c r="BB603" s="92"/>
      <c r="BC603" s="92"/>
      <c r="BD603" s="92"/>
      <c r="BE603" s="93"/>
      <c r="BF603" s="92"/>
      <c r="BG603" s="82"/>
      <c r="BH603" s="82"/>
      <c r="BI603" s="29"/>
      <c r="BJ603" s="29"/>
      <c r="BK603" s="29"/>
    </row>
    <row r="604" ht="15.75" hidden="1" customHeight="1">
      <c r="A604" s="75"/>
      <c r="B604" s="73"/>
      <c r="C604" s="76"/>
      <c r="D604" s="76"/>
      <c r="E604" s="76"/>
      <c r="F604" s="77"/>
      <c r="G604" s="78"/>
      <c r="H604" s="76"/>
      <c r="I604" s="76"/>
      <c r="J604" s="79"/>
      <c r="K604" s="80"/>
      <c r="L604" s="81"/>
      <c r="M604" s="81"/>
      <c r="N604" s="82"/>
      <c r="O604" s="83"/>
      <c r="P604" s="84"/>
      <c r="Q604" s="84"/>
      <c r="R604" s="81"/>
      <c r="S604" s="85"/>
      <c r="T604" s="86"/>
      <c r="U604" s="86"/>
      <c r="V604" s="87"/>
      <c r="W604" s="87"/>
      <c r="X604" s="87"/>
      <c r="Y604" s="87"/>
      <c r="Z604" s="87"/>
      <c r="AA604" s="87"/>
      <c r="AB604" s="29"/>
      <c r="AC604" s="94"/>
      <c r="AD604" s="94"/>
      <c r="AE604" s="89"/>
      <c r="AF604" s="89"/>
      <c r="AG604" s="89"/>
      <c r="AH604" s="89"/>
      <c r="AI604" s="90"/>
      <c r="AJ604" s="90"/>
      <c r="AK604" s="90"/>
      <c r="AL604" s="90"/>
      <c r="AM604" s="91"/>
      <c r="AN604" s="91"/>
      <c r="AO604" s="92"/>
      <c r="AP604" s="92"/>
      <c r="AQ604" s="92"/>
      <c r="AR604" s="92"/>
      <c r="AS604" s="93"/>
      <c r="AT604" s="93"/>
      <c r="AU604" s="93"/>
      <c r="AV604" s="93"/>
      <c r="AW604" s="93"/>
      <c r="AX604" s="92"/>
      <c r="AY604" s="92"/>
      <c r="AZ604" s="90"/>
      <c r="BA604" s="83"/>
      <c r="BB604" s="92"/>
      <c r="BC604" s="92"/>
      <c r="BD604" s="92"/>
      <c r="BE604" s="93"/>
      <c r="BF604" s="92"/>
      <c r="BG604" s="82"/>
      <c r="BH604" s="82"/>
      <c r="BI604" s="29"/>
      <c r="BJ604" s="29"/>
      <c r="BK604" s="29"/>
    </row>
    <row r="605" ht="15.75" hidden="1" customHeight="1">
      <c r="A605" s="75"/>
      <c r="B605" s="73"/>
      <c r="C605" s="76"/>
      <c r="D605" s="76"/>
      <c r="E605" s="76"/>
      <c r="F605" s="77"/>
      <c r="G605" s="78"/>
      <c r="H605" s="76"/>
      <c r="I605" s="76"/>
      <c r="J605" s="79"/>
      <c r="K605" s="80"/>
      <c r="L605" s="81"/>
      <c r="M605" s="81"/>
      <c r="N605" s="82"/>
      <c r="O605" s="83"/>
      <c r="P605" s="84"/>
      <c r="Q605" s="84"/>
      <c r="R605" s="81"/>
      <c r="S605" s="85"/>
      <c r="T605" s="86"/>
      <c r="U605" s="86"/>
      <c r="V605" s="87"/>
      <c r="W605" s="87"/>
      <c r="X605" s="87"/>
      <c r="Y605" s="87"/>
      <c r="Z605" s="87"/>
      <c r="AA605" s="87"/>
      <c r="AB605" s="29"/>
      <c r="AC605" s="94"/>
      <c r="AD605" s="94"/>
      <c r="AE605" s="89"/>
      <c r="AF605" s="89"/>
      <c r="AG605" s="89"/>
      <c r="AH605" s="89"/>
      <c r="AI605" s="90"/>
      <c r="AJ605" s="90"/>
      <c r="AK605" s="90"/>
      <c r="AL605" s="90"/>
      <c r="AM605" s="91"/>
      <c r="AN605" s="91"/>
      <c r="AO605" s="92"/>
      <c r="AP605" s="92"/>
      <c r="AQ605" s="92"/>
      <c r="AR605" s="92"/>
      <c r="AS605" s="93"/>
      <c r="AT605" s="93"/>
      <c r="AU605" s="93"/>
      <c r="AV605" s="93"/>
      <c r="AW605" s="93"/>
      <c r="AX605" s="92"/>
      <c r="AY605" s="92"/>
      <c r="AZ605" s="90"/>
      <c r="BA605" s="83"/>
      <c r="BB605" s="92"/>
      <c r="BC605" s="92"/>
      <c r="BD605" s="92"/>
      <c r="BE605" s="93"/>
      <c r="BF605" s="92"/>
      <c r="BG605" s="82"/>
      <c r="BH605" s="82"/>
      <c r="BI605" s="29"/>
      <c r="BJ605" s="29"/>
      <c r="BK605" s="29"/>
    </row>
    <row r="606" ht="15.75" hidden="1" customHeight="1">
      <c r="A606" s="75"/>
      <c r="B606" s="73"/>
      <c r="C606" s="76"/>
      <c r="D606" s="76"/>
      <c r="E606" s="76"/>
      <c r="F606" s="77"/>
      <c r="G606" s="78"/>
      <c r="H606" s="76"/>
      <c r="I606" s="76"/>
      <c r="J606" s="79"/>
      <c r="K606" s="80"/>
      <c r="L606" s="81"/>
      <c r="M606" s="81"/>
      <c r="N606" s="82"/>
      <c r="O606" s="83"/>
      <c r="P606" s="84"/>
      <c r="Q606" s="84"/>
      <c r="R606" s="81"/>
      <c r="S606" s="85"/>
      <c r="T606" s="86"/>
      <c r="U606" s="86"/>
      <c r="V606" s="87"/>
      <c r="W606" s="87"/>
      <c r="X606" s="87"/>
      <c r="Y606" s="87"/>
      <c r="Z606" s="87"/>
      <c r="AA606" s="87"/>
      <c r="AB606" s="29"/>
      <c r="AC606" s="94"/>
      <c r="AD606" s="94"/>
      <c r="AE606" s="89"/>
      <c r="AF606" s="89"/>
      <c r="AG606" s="89"/>
      <c r="AH606" s="89"/>
      <c r="AI606" s="90"/>
      <c r="AJ606" s="90"/>
      <c r="AK606" s="90"/>
      <c r="AL606" s="90"/>
      <c r="AM606" s="91"/>
      <c r="AN606" s="91"/>
      <c r="AO606" s="92"/>
      <c r="AP606" s="92"/>
      <c r="AQ606" s="92"/>
      <c r="AR606" s="92"/>
      <c r="AS606" s="93"/>
      <c r="AT606" s="93"/>
      <c r="AU606" s="93"/>
      <c r="AV606" s="93"/>
      <c r="AW606" s="93"/>
      <c r="AX606" s="92"/>
      <c r="AY606" s="92"/>
      <c r="AZ606" s="90"/>
      <c r="BA606" s="83"/>
      <c r="BB606" s="92"/>
      <c r="BC606" s="92"/>
      <c r="BD606" s="92"/>
      <c r="BE606" s="93"/>
      <c r="BF606" s="92"/>
      <c r="BG606" s="82"/>
      <c r="BH606" s="82"/>
      <c r="BI606" s="29"/>
      <c r="BJ606" s="29"/>
      <c r="BK606" s="29"/>
    </row>
    <row r="607" ht="15.75" hidden="1" customHeight="1">
      <c r="A607" s="75"/>
      <c r="B607" s="73"/>
      <c r="C607" s="76"/>
      <c r="D607" s="76"/>
      <c r="E607" s="76"/>
      <c r="F607" s="77"/>
      <c r="G607" s="78"/>
      <c r="H607" s="76"/>
      <c r="I607" s="76"/>
      <c r="J607" s="79"/>
      <c r="K607" s="80"/>
      <c r="L607" s="81"/>
      <c r="M607" s="81"/>
      <c r="N607" s="82"/>
      <c r="O607" s="83"/>
      <c r="P607" s="84"/>
      <c r="Q607" s="84"/>
      <c r="R607" s="81"/>
      <c r="S607" s="85"/>
      <c r="T607" s="86"/>
      <c r="U607" s="86"/>
      <c r="V607" s="87"/>
      <c r="W607" s="87"/>
      <c r="X607" s="87"/>
      <c r="Y607" s="87"/>
      <c r="Z607" s="87"/>
      <c r="AA607" s="87"/>
      <c r="AB607" s="29"/>
      <c r="AC607" s="94"/>
      <c r="AD607" s="94"/>
      <c r="AE607" s="89"/>
      <c r="AF607" s="89"/>
      <c r="AG607" s="89"/>
      <c r="AH607" s="89"/>
      <c r="AI607" s="90"/>
      <c r="AJ607" s="90"/>
      <c r="AK607" s="90"/>
      <c r="AL607" s="90"/>
      <c r="AM607" s="91"/>
      <c r="AN607" s="91"/>
      <c r="AO607" s="92"/>
      <c r="AP607" s="92"/>
      <c r="AQ607" s="92"/>
      <c r="AR607" s="92"/>
      <c r="AS607" s="93"/>
      <c r="AT607" s="93"/>
      <c r="AU607" s="93"/>
      <c r="AV607" s="93"/>
      <c r="AW607" s="93"/>
      <c r="AX607" s="92"/>
      <c r="AY607" s="92"/>
      <c r="AZ607" s="90"/>
      <c r="BA607" s="83"/>
      <c r="BB607" s="92"/>
      <c r="BC607" s="92"/>
      <c r="BD607" s="92"/>
      <c r="BE607" s="93"/>
      <c r="BF607" s="92"/>
      <c r="BG607" s="82"/>
      <c r="BH607" s="82"/>
      <c r="BI607" s="29"/>
      <c r="BJ607" s="29"/>
      <c r="BK607" s="29"/>
    </row>
    <row r="608" ht="15.75" hidden="1" customHeight="1">
      <c r="A608" s="75"/>
      <c r="B608" s="73"/>
      <c r="C608" s="76"/>
      <c r="D608" s="76"/>
      <c r="E608" s="76"/>
      <c r="F608" s="77"/>
      <c r="G608" s="78"/>
      <c r="H608" s="76"/>
      <c r="I608" s="76"/>
      <c r="J608" s="79"/>
      <c r="K608" s="80"/>
      <c r="L608" s="81"/>
      <c r="M608" s="81"/>
      <c r="N608" s="82"/>
      <c r="O608" s="83"/>
      <c r="P608" s="84"/>
      <c r="Q608" s="84"/>
      <c r="R608" s="81"/>
      <c r="S608" s="85"/>
      <c r="T608" s="86"/>
      <c r="U608" s="86"/>
      <c r="V608" s="87"/>
      <c r="W608" s="87"/>
      <c r="X608" s="87"/>
      <c r="Y608" s="87"/>
      <c r="Z608" s="87"/>
      <c r="AA608" s="87"/>
      <c r="AB608" s="29"/>
      <c r="AC608" s="94"/>
      <c r="AD608" s="94"/>
      <c r="AE608" s="89"/>
      <c r="AF608" s="89"/>
      <c r="AG608" s="89"/>
      <c r="AH608" s="89"/>
      <c r="AI608" s="90"/>
      <c r="AJ608" s="90"/>
      <c r="AK608" s="90"/>
      <c r="AL608" s="90"/>
      <c r="AM608" s="91"/>
      <c r="AN608" s="91"/>
      <c r="AO608" s="92"/>
      <c r="AP608" s="92"/>
      <c r="AQ608" s="92"/>
      <c r="AR608" s="92"/>
      <c r="AS608" s="93"/>
      <c r="AT608" s="93"/>
      <c r="AU608" s="93"/>
      <c r="AV608" s="93"/>
      <c r="AW608" s="93"/>
      <c r="AX608" s="92"/>
      <c r="AY608" s="92"/>
      <c r="AZ608" s="90"/>
      <c r="BA608" s="83"/>
      <c r="BB608" s="92"/>
      <c r="BC608" s="92"/>
      <c r="BD608" s="92"/>
      <c r="BE608" s="93"/>
      <c r="BF608" s="92"/>
      <c r="BG608" s="82"/>
      <c r="BH608" s="82"/>
      <c r="BI608" s="29"/>
      <c r="BJ608" s="29"/>
      <c r="BK608" s="29"/>
    </row>
    <row r="609" ht="15.75" hidden="1" customHeight="1">
      <c r="A609" s="75"/>
      <c r="B609" s="73"/>
      <c r="C609" s="76"/>
      <c r="D609" s="76"/>
      <c r="E609" s="76"/>
      <c r="F609" s="77"/>
      <c r="G609" s="78"/>
      <c r="H609" s="76"/>
      <c r="I609" s="76"/>
      <c r="J609" s="79"/>
      <c r="K609" s="80"/>
      <c r="L609" s="81"/>
      <c r="M609" s="81"/>
      <c r="N609" s="82"/>
      <c r="O609" s="83"/>
      <c r="P609" s="84"/>
      <c r="Q609" s="84"/>
      <c r="R609" s="81"/>
      <c r="S609" s="85"/>
      <c r="T609" s="86"/>
      <c r="U609" s="86"/>
      <c r="V609" s="87"/>
      <c r="W609" s="87"/>
      <c r="X609" s="87"/>
      <c r="Y609" s="87"/>
      <c r="Z609" s="87"/>
      <c r="AA609" s="87"/>
      <c r="AB609" s="29"/>
      <c r="AC609" s="94"/>
      <c r="AD609" s="94"/>
      <c r="AE609" s="89"/>
      <c r="AF609" s="89"/>
      <c r="AG609" s="89"/>
      <c r="AH609" s="89"/>
      <c r="AI609" s="90"/>
      <c r="AJ609" s="90"/>
      <c r="AK609" s="90"/>
      <c r="AL609" s="90"/>
      <c r="AM609" s="91"/>
      <c r="AN609" s="91"/>
      <c r="AO609" s="92"/>
      <c r="AP609" s="92"/>
      <c r="AQ609" s="92"/>
      <c r="AR609" s="92"/>
      <c r="AS609" s="93"/>
      <c r="AT609" s="93"/>
      <c r="AU609" s="93"/>
      <c r="AV609" s="93"/>
      <c r="AW609" s="93"/>
      <c r="AX609" s="92"/>
      <c r="AY609" s="92"/>
      <c r="AZ609" s="90"/>
      <c r="BA609" s="83"/>
      <c r="BB609" s="92"/>
      <c r="BC609" s="92"/>
      <c r="BD609" s="92"/>
      <c r="BE609" s="93"/>
      <c r="BF609" s="92"/>
      <c r="BG609" s="82"/>
      <c r="BH609" s="82"/>
      <c r="BI609" s="29"/>
      <c r="BJ609" s="29"/>
      <c r="BK609" s="29"/>
    </row>
    <row r="610" ht="15.75" hidden="1" customHeight="1">
      <c r="A610" s="75"/>
      <c r="B610" s="73"/>
      <c r="C610" s="76"/>
      <c r="D610" s="76"/>
      <c r="E610" s="76"/>
      <c r="F610" s="77"/>
      <c r="G610" s="78"/>
      <c r="H610" s="76"/>
      <c r="I610" s="76"/>
      <c r="J610" s="79"/>
      <c r="K610" s="80"/>
      <c r="L610" s="81"/>
      <c r="M610" s="81"/>
      <c r="N610" s="82"/>
      <c r="O610" s="83"/>
      <c r="P610" s="84"/>
      <c r="Q610" s="84"/>
      <c r="R610" s="81"/>
      <c r="S610" s="85"/>
      <c r="T610" s="86"/>
      <c r="U610" s="86"/>
      <c r="V610" s="87"/>
      <c r="W610" s="87"/>
      <c r="X610" s="87"/>
      <c r="Y610" s="87"/>
      <c r="Z610" s="87"/>
      <c r="AA610" s="87"/>
      <c r="AB610" s="29"/>
      <c r="AC610" s="94"/>
      <c r="AD610" s="94"/>
      <c r="AE610" s="89"/>
      <c r="AF610" s="89"/>
      <c r="AG610" s="89"/>
      <c r="AH610" s="89"/>
      <c r="AI610" s="90"/>
      <c r="AJ610" s="90"/>
      <c r="AK610" s="90"/>
      <c r="AL610" s="90"/>
      <c r="AM610" s="91"/>
      <c r="AN610" s="91"/>
      <c r="AO610" s="92"/>
      <c r="AP610" s="92"/>
      <c r="AQ610" s="92"/>
      <c r="AR610" s="92"/>
      <c r="AS610" s="93"/>
      <c r="AT610" s="93"/>
      <c r="AU610" s="93"/>
      <c r="AV610" s="93"/>
      <c r="AW610" s="93"/>
      <c r="AX610" s="92"/>
      <c r="AY610" s="92"/>
      <c r="AZ610" s="90"/>
      <c r="BA610" s="83"/>
      <c r="BB610" s="92"/>
      <c r="BC610" s="92"/>
      <c r="BD610" s="92"/>
      <c r="BE610" s="93"/>
      <c r="BF610" s="92"/>
      <c r="BG610" s="82"/>
      <c r="BH610" s="82"/>
      <c r="BI610" s="29"/>
      <c r="BJ610" s="29"/>
      <c r="BK610" s="29"/>
    </row>
    <row r="611" ht="15.75" hidden="1" customHeight="1">
      <c r="A611" s="75"/>
      <c r="B611" s="73"/>
      <c r="C611" s="76"/>
      <c r="D611" s="76"/>
      <c r="E611" s="76"/>
      <c r="F611" s="77"/>
      <c r="G611" s="78"/>
      <c r="H611" s="76"/>
      <c r="I611" s="76"/>
      <c r="J611" s="79"/>
      <c r="K611" s="80"/>
      <c r="L611" s="81"/>
      <c r="M611" s="81"/>
      <c r="N611" s="82"/>
      <c r="O611" s="83"/>
      <c r="P611" s="84"/>
      <c r="Q611" s="84"/>
      <c r="R611" s="81"/>
      <c r="S611" s="85"/>
      <c r="T611" s="86"/>
      <c r="U611" s="86"/>
      <c r="V611" s="87"/>
      <c r="W611" s="87"/>
      <c r="X611" s="87"/>
      <c r="Y611" s="87"/>
      <c r="Z611" s="87"/>
      <c r="AA611" s="87"/>
      <c r="AB611" s="29"/>
      <c r="AC611" s="94"/>
      <c r="AD611" s="94"/>
      <c r="AE611" s="89"/>
      <c r="AF611" s="89"/>
      <c r="AG611" s="89"/>
      <c r="AH611" s="89"/>
      <c r="AI611" s="90"/>
      <c r="AJ611" s="90"/>
      <c r="AK611" s="90"/>
      <c r="AL611" s="90"/>
      <c r="AM611" s="91"/>
      <c r="AN611" s="91"/>
      <c r="AO611" s="92"/>
      <c r="AP611" s="92"/>
      <c r="AQ611" s="92"/>
      <c r="AR611" s="92"/>
      <c r="AS611" s="93"/>
      <c r="AT611" s="93"/>
      <c r="AU611" s="93"/>
      <c r="AV611" s="93"/>
      <c r="AW611" s="93"/>
      <c r="AX611" s="92"/>
      <c r="AY611" s="92"/>
      <c r="AZ611" s="90"/>
      <c r="BA611" s="83"/>
      <c r="BB611" s="92"/>
      <c r="BC611" s="92"/>
      <c r="BD611" s="92"/>
      <c r="BE611" s="93"/>
      <c r="BF611" s="92"/>
      <c r="BG611" s="82"/>
      <c r="BH611" s="82"/>
      <c r="BI611" s="29"/>
      <c r="BJ611" s="29"/>
      <c r="BK611" s="29"/>
    </row>
    <row r="612" ht="15.75" hidden="1" customHeight="1">
      <c r="A612" s="75"/>
      <c r="B612" s="73"/>
      <c r="C612" s="76"/>
      <c r="D612" s="76"/>
      <c r="E612" s="76"/>
      <c r="F612" s="77"/>
      <c r="G612" s="78"/>
      <c r="H612" s="76"/>
      <c r="I612" s="76"/>
      <c r="J612" s="79"/>
      <c r="K612" s="80"/>
      <c r="L612" s="81"/>
      <c r="M612" s="81"/>
      <c r="N612" s="82"/>
      <c r="O612" s="83"/>
      <c r="P612" s="84"/>
      <c r="Q612" s="84"/>
      <c r="R612" s="81"/>
      <c r="S612" s="85"/>
      <c r="T612" s="86"/>
      <c r="U612" s="86"/>
      <c r="V612" s="87"/>
      <c r="W612" s="87"/>
      <c r="X612" s="87"/>
      <c r="Y612" s="87"/>
      <c r="Z612" s="87"/>
      <c r="AA612" s="87"/>
      <c r="AB612" s="29"/>
      <c r="AC612" s="94"/>
      <c r="AD612" s="94"/>
      <c r="AE612" s="89"/>
      <c r="AF612" s="89"/>
      <c r="AG612" s="89"/>
      <c r="AH612" s="89"/>
      <c r="AI612" s="90"/>
      <c r="AJ612" s="90"/>
      <c r="AK612" s="90"/>
      <c r="AL612" s="90"/>
      <c r="AM612" s="91"/>
      <c r="AN612" s="91"/>
      <c r="AO612" s="92"/>
      <c r="AP612" s="92"/>
      <c r="AQ612" s="92"/>
      <c r="AR612" s="92"/>
      <c r="AS612" s="93"/>
      <c r="AT612" s="93"/>
      <c r="AU612" s="93"/>
      <c r="AV612" s="93"/>
      <c r="AW612" s="93"/>
      <c r="AX612" s="92"/>
      <c r="AY612" s="92"/>
      <c r="AZ612" s="90"/>
      <c r="BA612" s="83"/>
      <c r="BB612" s="92"/>
      <c r="BC612" s="92"/>
      <c r="BD612" s="92"/>
      <c r="BE612" s="93"/>
      <c r="BF612" s="92"/>
      <c r="BG612" s="82"/>
      <c r="BH612" s="82"/>
      <c r="BI612" s="29"/>
      <c r="BJ612" s="29"/>
      <c r="BK612" s="29"/>
    </row>
    <row r="613" ht="15.75" hidden="1" customHeight="1">
      <c r="A613" s="75"/>
      <c r="B613" s="73"/>
      <c r="C613" s="76"/>
      <c r="D613" s="76"/>
      <c r="E613" s="76"/>
      <c r="F613" s="77"/>
      <c r="G613" s="78"/>
      <c r="H613" s="76"/>
      <c r="I613" s="76"/>
      <c r="J613" s="79"/>
      <c r="K613" s="80"/>
      <c r="L613" s="81"/>
      <c r="M613" s="81"/>
      <c r="N613" s="82"/>
      <c r="O613" s="83"/>
      <c r="P613" s="84"/>
      <c r="Q613" s="84"/>
      <c r="R613" s="81"/>
      <c r="S613" s="85"/>
      <c r="T613" s="86"/>
      <c r="U613" s="86"/>
      <c r="V613" s="87"/>
      <c r="W613" s="87"/>
      <c r="X613" s="87"/>
      <c r="Y613" s="87"/>
      <c r="Z613" s="87"/>
      <c r="AA613" s="87"/>
      <c r="AB613" s="29"/>
      <c r="AC613" s="94"/>
      <c r="AD613" s="94"/>
      <c r="AE613" s="89"/>
      <c r="AF613" s="89"/>
      <c r="AG613" s="89"/>
      <c r="AH613" s="89"/>
      <c r="AI613" s="90"/>
      <c r="AJ613" s="90"/>
      <c r="AK613" s="90"/>
      <c r="AL613" s="90"/>
      <c r="AM613" s="91"/>
      <c r="AN613" s="91"/>
      <c r="AO613" s="92"/>
      <c r="AP613" s="92"/>
      <c r="AQ613" s="92"/>
      <c r="AR613" s="92"/>
      <c r="AS613" s="93"/>
      <c r="AT613" s="93"/>
      <c r="AU613" s="93"/>
      <c r="AV613" s="93"/>
      <c r="AW613" s="93"/>
      <c r="AX613" s="92"/>
      <c r="AY613" s="92"/>
      <c r="AZ613" s="90"/>
      <c r="BA613" s="83"/>
      <c r="BB613" s="92"/>
      <c r="BC613" s="92"/>
      <c r="BD613" s="92"/>
      <c r="BE613" s="93"/>
      <c r="BF613" s="92"/>
      <c r="BG613" s="82"/>
      <c r="BH613" s="82"/>
      <c r="BI613" s="29"/>
      <c r="BJ613" s="29"/>
      <c r="BK613" s="29"/>
    </row>
    <row r="614" ht="15.75" hidden="1" customHeight="1">
      <c r="A614" s="75"/>
      <c r="B614" s="73"/>
      <c r="C614" s="76"/>
      <c r="D614" s="76"/>
      <c r="E614" s="76"/>
      <c r="F614" s="77"/>
      <c r="G614" s="78"/>
      <c r="H614" s="76"/>
      <c r="I614" s="76"/>
      <c r="J614" s="79"/>
      <c r="K614" s="80"/>
      <c r="L614" s="81"/>
      <c r="M614" s="81"/>
      <c r="N614" s="82"/>
      <c r="O614" s="83"/>
      <c r="P614" s="84"/>
      <c r="Q614" s="84"/>
      <c r="R614" s="81"/>
      <c r="S614" s="85"/>
      <c r="T614" s="86"/>
      <c r="U614" s="86"/>
      <c r="V614" s="87"/>
      <c r="W614" s="87"/>
      <c r="X614" s="87"/>
      <c r="Y614" s="87"/>
      <c r="Z614" s="87"/>
      <c r="AA614" s="87"/>
      <c r="AB614" s="29"/>
      <c r="AC614" s="94"/>
      <c r="AD614" s="94"/>
      <c r="AE614" s="89"/>
      <c r="AF614" s="89"/>
      <c r="AG614" s="89"/>
      <c r="AH614" s="89"/>
      <c r="AI614" s="90"/>
      <c r="AJ614" s="90"/>
      <c r="AK614" s="90"/>
      <c r="AL614" s="90"/>
      <c r="AM614" s="91"/>
      <c r="AN614" s="91"/>
      <c r="AO614" s="92"/>
      <c r="AP614" s="92"/>
      <c r="AQ614" s="92"/>
      <c r="AR614" s="92"/>
      <c r="AS614" s="93"/>
      <c r="AT614" s="93"/>
      <c r="AU614" s="93"/>
      <c r="AV614" s="93"/>
      <c r="AW614" s="93"/>
      <c r="AX614" s="92"/>
      <c r="AY614" s="92"/>
      <c r="AZ614" s="90"/>
      <c r="BA614" s="83"/>
      <c r="BB614" s="92"/>
      <c r="BC614" s="92"/>
      <c r="BD614" s="92"/>
      <c r="BE614" s="93"/>
      <c r="BF614" s="92"/>
      <c r="BG614" s="82"/>
      <c r="BH614" s="82"/>
      <c r="BI614" s="29"/>
      <c r="BJ614" s="29"/>
      <c r="BK614" s="29"/>
    </row>
    <row r="615" ht="15.75" hidden="1" customHeight="1">
      <c r="A615" s="75"/>
      <c r="B615" s="73"/>
      <c r="C615" s="76"/>
      <c r="D615" s="76"/>
      <c r="E615" s="76"/>
      <c r="F615" s="77"/>
      <c r="G615" s="78"/>
      <c r="H615" s="76"/>
      <c r="I615" s="76"/>
      <c r="J615" s="79"/>
      <c r="K615" s="80"/>
      <c r="L615" s="81"/>
      <c r="M615" s="81"/>
      <c r="N615" s="82"/>
      <c r="O615" s="83"/>
      <c r="P615" s="84"/>
      <c r="Q615" s="84"/>
      <c r="R615" s="81"/>
      <c r="S615" s="85"/>
      <c r="T615" s="86"/>
      <c r="U615" s="86"/>
      <c r="V615" s="87"/>
      <c r="W615" s="87"/>
      <c r="X615" s="87"/>
      <c r="Y615" s="87"/>
      <c r="Z615" s="87"/>
      <c r="AA615" s="87"/>
      <c r="AB615" s="29"/>
      <c r="AC615" s="94"/>
      <c r="AD615" s="94"/>
      <c r="AE615" s="89"/>
      <c r="AF615" s="89"/>
      <c r="AG615" s="89"/>
      <c r="AH615" s="89"/>
      <c r="AI615" s="90"/>
      <c r="AJ615" s="90"/>
      <c r="AK615" s="90"/>
      <c r="AL615" s="90"/>
      <c r="AM615" s="91"/>
      <c r="AN615" s="91"/>
      <c r="AO615" s="92"/>
      <c r="AP615" s="92"/>
      <c r="AQ615" s="92"/>
      <c r="AR615" s="92"/>
      <c r="AS615" s="93"/>
      <c r="AT615" s="93"/>
      <c r="AU615" s="93"/>
      <c r="AV615" s="93"/>
      <c r="AW615" s="93"/>
      <c r="AX615" s="92"/>
      <c r="AY615" s="92"/>
      <c r="AZ615" s="90"/>
      <c r="BA615" s="83"/>
      <c r="BB615" s="92"/>
      <c r="BC615" s="92"/>
      <c r="BD615" s="92"/>
      <c r="BE615" s="93"/>
      <c r="BF615" s="92"/>
      <c r="BG615" s="82"/>
      <c r="BH615" s="82"/>
      <c r="BI615" s="29"/>
      <c r="BJ615" s="29"/>
      <c r="BK615" s="29"/>
    </row>
    <row r="616" ht="15.75" hidden="1" customHeight="1">
      <c r="A616" s="75"/>
      <c r="B616" s="73"/>
      <c r="C616" s="76"/>
      <c r="D616" s="76"/>
      <c r="E616" s="76"/>
      <c r="F616" s="77"/>
      <c r="G616" s="78"/>
      <c r="H616" s="76"/>
      <c r="I616" s="76"/>
      <c r="J616" s="79"/>
      <c r="K616" s="80"/>
      <c r="L616" s="81"/>
      <c r="M616" s="81"/>
      <c r="N616" s="82"/>
      <c r="O616" s="83"/>
      <c r="P616" s="84"/>
      <c r="Q616" s="84"/>
      <c r="R616" s="81"/>
      <c r="S616" s="85"/>
      <c r="T616" s="86"/>
      <c r="U616" s="86"/>
      <c r="V616" s="87"/>
      <c r="W616" s="87"/>
      <c r="X616" s="87"/>
      <c r="Y616" s="87"/>
      <c r="Z616" s="87"/>
      <c r="AA616" s="87"/>
      <c r="AB616" s="29"/>
      <c r="AC616" s="94"/>
      <c r="AD616" s="94"/>
      <c r="AE616" s="89"/>
      <c r="AF616" s="89"/>
      <c r="AG616" s="89"/>
      <c r="AH616" s="89"/>
      <c r="AI616" s="90"/>
      <c r="AJ616" s="90"/>
      <c r="AK616" s="90"/>
      <c r="AL616" s="90"/>
      <c r="AM616" s="91"/>
      <c r="AN616" s="91"/>
      <c r="AO616" s="92"/>
      <c r="AP616" s="92"/>
      <c r="AQ616" s="92"/>
      <c r="AR616" s="92"/>
      <c r="AS616" s="93"/>
      <c r="AT616" s="93"/>
      <c r="AU616" s="93"/>
      <c r="AV616" s="93"/>
      <c r="AW616" s="93"/>
      <c r="AX616" s="92"/>
      <c r="AY616" s="92"/>
      <c r="AZ616" s="90"/>
      <c r="BA616" s="83"/>
      <c r="BB616" s="92"/>
      <c r="BC616" s="92"/>
      <c r="BD616" s="92"/>
      <c r="BE616" s="93"/>
      <c r="BF616" s="92"/>
      <c r="BG616" s="82"/>
      <c r="BH616" s="82"/>
      <c r="BI616" s="29"/>
      <c r="BJ616" s="29"/>
      <c r="BK616" s="29"/>
    </row>
    <row r="617" ht="15.75" hidden="1" customHeight="1">
      <c r="A617" s="75"/>
      <c r="B617" s="73"/>
      <c r="C617" s="76"/>
      <c r="D617" s="76"/>
      <c r="E617" s="76"/>
      <c r="F617" s="77"/>
      <c r="G617" s="78"/>
      <c r="H617" s="76"/>
      <c r="I617" s="76"/>
      <c r="J617" s="79"/>
      <c r="K617" s="80"/>
      <c r="L617" s="81"/>
      <c r="M617" s="81"/>
      <c r="N617" s="82"/>
      <c r="O617" s="83"/>
      <c r="P617" s="84"/>
      <c r="Q617" s="84"/>
      <c r="R617" s="81"/>
      <c r="S617" s="85"/>
      <c r="T617" s="86"/>
      <c r="U617" s="86"/>
      <c r="V617" s="87"/>
      <c r="W617" s="87"/>
      <c r="X617" s="87"/>
      <c r="Y617" s="87"/>
      <c r="Z617" s="87"/>
      <c r="AA617" s="87"/>
      <c r="AB617" s="29"/>
      <c r="AC617" s="94"/>
      <c r="AD617" s="94"/>
      <c r="AE617" s="89"/>
      <c r="AF617" s="89"/>
      <c r="AG617" s="89"/>
      <c r="AH617" s="89"/>
      <c r="AI617" s="90"/>
      <c r="AJ617" s="90"/>
      <c r="AK617" s="90"/>
      <c r="AL617" s="90"/>
      <c r="AM617" s="91"/>
      <c r="AN617" s="91"/>
      <c r="AO617" s="92"/>
      <c r="AP617" s="92"/>
      <c r="AQ617" s="92"/>
      <c r="AR617" s="92"/>
      <c r="AS617" s="93"/>
      <c r="AT617" s="93"/>
      <c r="AU617" s="93"/>
      <c r="AV617" s="93"/>
      <c r="AW617" s="93"/>
      <c r="AX617" s="92"/>
      <c r="AY617" s="92"/>
      <c r="AZ617" s="90"/>
      <c r="BA617" s="83"/>
      <c r="BB617" s="92"/>
      <c r="BC617" s="92"/>
      <c r="BD617" s="92"/>
      <c r="BE617" s="93"/>
      <c r="BF617" s="92"/>
      <c r="BG617" s="82"/>
      <c r="BH617" s="82"/>
      <c r="BI617" s="29"/>
      <c r="BJ617" s="29"/>
      <c r="BK617" s="29"/>
    </row>
    <row r="618" ht="15.75" hidden="1" customHeight="1">
      <c r="A618" s="75"/>
      <c r="B618" s="73"/>
      <c r="C618" s="76"/>
      <c r="D618" s="76"/>
      <c r="E618" s="76"/>
      <c r="F618" s="77"/>
      <c r="G618" s="78"/>
      <c r="H618" s="76"/>
      <c r="I618" s="76"/>
      <c r="J618" s="79"/>
      <c r="K618" s="80"/>
      <c r="L618" s="81"/>
      <c r="M618" s="81"/>
      <c r="N618" s="82"/>
      <c r="O618" s="83"/>
      <c r="P618" s="84"/>
      <c r="Q618" s="84"/>
      <c r="R618" s="81"/>
      <c r="S618" s="85"/>
      <c r="T618" s="86"/>
      <c r="U618" s="86"/>
      <c r="V618" s="87"/>
      <c r="W618" s="87"/>
      <c r="X618" s="87"/>
      <c r="Y618" s="87"/>
      <c r="Z618" s="87"/>
      <c r="AA618" s="87"/>
      <c r="AB618" s="29"/>
      <c r="AC618" s="94"/>
      <c r="AD618" s="94"/>
      <c r="AE618" s="89"/>
      <c r="AF618" s="89"/>
      <c r="AG618" s="89"/>
      <c r="AH618" s="89"/>
      <c r="AI618" s="90"/>
      <c r="AJ618" s="90"/>
      <c r="AK618" s="90"/>
      <c r="AL618" s="90"/>
      <c r="AM618" s="91"/>
      <c r="AN618" s="91"/>
      <c r="AO618" s="92"/>
      <c r="AP618" s="92"/>
      <c r="AQ618" s="92"/>
      <c r="AR618" s="92"/>
      <c r="AS618" s="93"/>
      <c r="AT618" s="93"/>
      <c r="AU618" s="93"/>
      <c r="AV618" s="93"/>
      <c r="AW618" s="93"/>
      <c r="AX618" s="92"/>
      <c r="AY618" s="92"/>
      <c r="AZ618" s="90"/>
      <c r="BA618" s="83"/>
      <c r="BB618" s="92"/>
      <c r="BC618" s="92"/>
      <c r="BD618" s="92"/>
      <c r="BE618" s="93"/>
      <c r="BF618" s="92"/>
      <c r="BG618" s="82"/>
      <c r="BH618" s="82"/>
      <c r="BI618" s="29"/>
      <c r="BJ618" s="29"/>
      <c r="BK618" s="29"/>
    </row>
    <row r="619" ht="15.75" hidden="1" customHeight="1">
      <c r="A619" s="75"/>
      <c r="B619" s="73"/>
      <c r="C619" s="76"/>
      <c r="D619" s="76"/>
      <c r="E619" s="76"/>
      <c r="F619" s="77"/>
      <c r="G619" s="78"/>
      <c r="H619" s="76"/>
      <c r="I619" s="76"/>
      <c r="J619" s="79"/>
      <c r="K619" s="80"/>
      <c r="L619" s="81"/>
      <c r="M619" s="81"/>
      <c r="N619" s="82"/>
      <c r="O619" s="83"/>
      <c r="P619" s="84"/>
      <c r="Q619" s="84"/>
      <c r="R619" s="81"/>
      <c r="S619" s="85"/>
      <c r="T619" s="86"/>
      <c r="U619" s="86"/>
      <c r="V619" s="87"/>
      <c r="W619" s="87"/>
      <c r="X619" s="87"/>
      <c r="Y619" s="87"/>
      <c r="Z619" s="87"/>
      <c r="AA619" s="87"/>
      <c r="AB619" s="29"/>
      <c r="AC619" s="94"/>
      <c r="AD619" s="94"/>
      <c r="AE619" s="89"/>
      <c r="AF619" s="89"/>
      <c r="AG619" s="89"/>
      <c r="AH619" s="89"/>
      <c r="AI619" s="90"/>
      <c r="AJ619" s="90"/>
      <c r="AK619" s="90"/>
      <c r="AL619" s="90"/>
      <c r="AM619" s="91"/>
      <c r="AN619" s="91"/>
      <c r="AO619" s="92"/>
      <c r="AP619" s="92"/>
      <c r="AQ619" s="92"/>
      <c r="AR619" s="92"/>
      <c r="AS619" s="93"/>
      <c r="AT619" s="93"/>
      <c r="AU619" s="93"/>
      <c r="AV619" s="93"/>
      <c r="AW619" s="93"/>
      <c r="AX619" s="92"/>
      <c r="AY619" s="92"/>
      <c r="AZ619" s="90"/>
      <c r="BA619" s="83"/>
      <c r="BB619" s="92"/>
      <c r="BC619" s="92"/>
      <c r="BD619" s="92"/>
      <c r="BE619" s="93"/>
      <c r="BF619" s="92"/>
      <c r="BG619" s="82"/>
      <c r="BH619" s="82"/>
      <c r="BI619" s="29"/>
      <c r="BJ619" s="29"/>
      <c r="BK619" s="29"/>
    </row>
    <row r="620" ht="15.75" hidden="1" customHeight="1">
      <c r="A620" s="75"/>
      <c r="B620" s="73"/>
      <c r="C620" s="76"/>
      <c r="D620" s="76"/>
      <c r="E620" s="76"/>
      <c r="F620" s="77"/>
      <c r="G620" s="78"/>
      <c r="H620" s="76"/>
      <c r="I620" s="76"/>
      <c r="J620" s="79"/>
      <c r="K620" s="80"/>
      <c r="L620" s="81"/>
      <c r="M620" s="81"/>
      <c r="N620" s="82"/>
      <c r="O620" s="83"/>
      <c r="P620" s="84"/>
      <c r="Q620" s="84"/>
      <c r="R620" s="81"/>
      <c r="S620" s="85"/>
      <c r="T620" s="86"/>
      <c r="U620" s="86"/>
      <c r="V620" s="87"/>
      <c r="W620" s="87"/>
      <c r="X620" s="87"/>
      <c r="Y620" s="87"/>
      <c r="Z620" s="87"/>
      <c r="AA620" s="87"/>
      <c r="AB620" s="29"/>
      <c r="AC620" s="94"/>
      <c r="AD620" s="94"/>
      <c r="AE620" s="89"/>
      <c r="AF620" s="89"/>
      <c r="AG620" s="89"/>
      <c r="AH620" s="89"/>
      <c r="AI620" s="90"/>
      <c r="AJ620" s="90"/>
      <c r="AK620" s="90"/>
      <c r="AL620" s="90"/>
      <c r="AM620" s="91"/>
      <c r="AN620" s="91"/>
      <c r="AO620" s="92"/>
      <c r="AP620" s="92"/>
      <c r="AQ620" s="92"/>
      <c r="AR620" s="92"/>
      <c r="AS620" s="93"/>
      <c r="AT620" s="93"/>
      <c r="AU620" s="93"/>
      <c r="AV620" s="93"/>
      <c r="AW620" s="93"/>
      <c r="AX620" s="92"/>
      <c r="AY620" s="92"/>
      <c r="AZ620" s="90"/>
      <c r="BA620" s="83"/>
      <c r="BB620" s="92"/>
      <c r="BC620" s="92"/>
      <c r="BD620" s="92"/>
      <c r="BE620" s="93"/>
      <c r="BF620" s="92"/>
      <c r="BG620" s="82"/>
      <c r="BH620" s="82"/>
      <c r="BI620" s="29"/>
      <c r="BJ620" s="29"/>
      <c r="BK620" s="29"/>
    </row>
    <row r="621" ht="15.75" hidden="1" customHeight="1">
      <c r="A621" s="75"/>
      <c r="B621" s="73"/>
      <c r="C621" s="76"/>
      <c r="D621" s="76"/>
      <c r="E621" s="76"/>
      <c r="F621" s="77"/>
      <c r="G621" s="78"/>
      <c r="H621" s="76"/>
      <c r="I621" s="76"/>
      <c r="J621" s="79"/>
      <c r="K621" s="80"/>
      <c r="L621" s="81"/>
      <c r="M621" s="81"/>
      <c r="N621" s="82"/>
      <c r="O621" s="83"/>
      <c r="P621" s="84"/>
      <c r="Q621" s="84"/>
      <c r="R621" s="81"/>
      <c r="S621" s="85"/>
      <c r="T621" s="86"/>
      <c r="U621" s="86"/>
      <c r="V621" s="87"/>
      <c r="W621" s="87"/>
      <c r="X621" s="87"/>
      <c r="Y621" s="87"/>
      <c r="Z621" s="87"/>
      <c r="AA621" s="87"/>
      <c r="AB621" s="29"/>
      <c r="AC621" s="94"/>
      <c r="AD621" s="94"/>
      <c r="AE621" s="89"/>
      <c r="AF621" s="89"/>
      <c r="AG621" s="89"/>
      <c r="AH621" s="89"/>
      <c r="AI621" s="90"/>
      <c r="AJ621" s="90"/>
      <c r="AK621" s="90"/>
      <c r="AL621" s="90"/>
      <c r="AM621" s="91"/>
      <c r="AN621" s="91"/>
      <c r="AO621" s="92"/>
      <c r="AP621" s="92"/>
      <c r="AQ621" s="92"/>
      <c r="AR621" s="92"/>
      <c r="AS621" s="93"/>
      <c r="AT621" s="93"/>
      <c r="AU621" s="93"/>
      <c r="AV621" s="93"/>
      <c r="AW621" s="93"/>
      <c r="AX621" s="92"/>
      <c r="AY621" s="92"/>
      <c r="AZ621" s="90"/>
      <c r="BA621" s="83"/>
      <c r="BB621" s="92"/>
      <c r="BC621" s="92"/>
      <c r="BD621" s="92"/>
      <c r="BE621" s="93"/>
      <c r="BF621" s="92"/>
      <c r="BG621" s="82"/>
      <c r="BH621" s="82"/>
      <c r="BI621" s="29"/>
      <c r="BJ621" s="29"/>
      <c r="BK621" s="29"/>
    </row>
    <row r="622" ht="15.75" hidden="1" customHeight="1">
      <c r="A622" s="75"/>
      <c r="B622" s="73"/>
      <c r="C622" s="76"/>
      <c r="D622" s="76"/>
      <c r="E622" s="76"/>
      <c r="F622" s="77"/>
      <c r="G622" s="78"/>
      <c r="H622" s="76"/>
      <c r="I622" s="76"/>
      <c r="J622" s="79"/>
      <c r="K622" s="80"/>
      <c r="L622" s="81"/>
      <c r="M622" s="81"/>
      <c r="N622" s="82"/>
      <c r="O622" s="83"/>
      <c r="P622" s="84"/>
      <c r="Q622" s="84"/>
      <c r="R622" s="81"/>
      <c r="S622" s="85"/>
      <c r="T622" s="86"/>
      <c r="U622" s="86"/>
      <c r="V622" s="87"/>
      <c r="W622" s="87"/>
      <c r="X622" s="87"/>
      <c r="Y622" s="87"/>
      <c r="Z622" s="87"/>
      <c r="AA622" s="87"/>
      <c r="AB622" s="29"/>
      <c r="AC622" s="94"/>
      <c r="AD622" s="94"/>
      <c r="AE622" s="89"/>
      <c r="AF622" s="89"/>
      <c r="AG622" s="89"/>
      <c r="AH622" s="89"/>
      <c r="AI622" s="90"/>
      <c r="AJ622" s="90"/>
      <c r="AK622" s="90"/>
      <c r="AL622" s="90"/>
      <c r="AM622" s="91"/>
      <c r="AN622" s="91"/>
      <c r="AO622" s="92"/>
      <c r="AP622" s="92"/>
      <c r="AQ622" s="92"/>
      <c r="AR622" s="92"/>
      <c r="AS622" s="93"/>
      <c r="AT622" s="93"/>
      <c r="AU622" s="93"/>
      <c r="AV622" s="93"/>
      <c r="AW622" s="93"/>
      <c r="AX622" s="92"/>
      <c r="AY622" s="92"/>
      <c r="AZ622" s="90"/>
      <c r="BA622" s="83"/>
      <c r="BB622" s="92"/>
      <c r="BC622" s="92"/>
      <c r="BD622" s="92"/>
      <c r="BE622" s="93"/>
      <c r="BF622" s="92"/>
      <c r="BG622" s="82"/>
      <c r="BH622" s="82"/>
      <c r="BI622" s="29"/>
      <c r="BJ622" s="29"/>
      <c r="BK622" s="29"/>
    </row>
    <row r="623" ht="15.75" hidden="1" customHeight="1">
      <c r="A623" s="75"/>
      <c r="B623" s="73"/>
      <c r="C623" s="76"/>
      <c r="D623" s="76"/>
      <c r="E623" s="76"/>
      <c r="F623" s="77"/>
      <c r="G623" s="78"/>
      <c r="H623" s="76"/>
      <c r="I623" s="76"/>
      <c r="J623" s="79"/>
      <c r="K623" s="80"/>
      <c r="L623" s="81"/>
      <c r="M623" s="81"/>
      <c r="N623" s="82"/>
      <c r="O623" s="83"/>
      <c r="P623" s="84"/>
      <c r="Q623" s="84"/>
      <c r="R623" s="81"/>
      <c r="S623" s="85"/>
      <c r="T623" s="86"/>
      <c r="U623" s="86"/>
      <c r="V623" s="87"/>
      <c r="W623" s="87"/>
      <c r="X623" s="87"/>
      <c r="Y623" s="87"/>
      <c r="Z623" s="87"/>
      <c r="AA623" s="87"/>
      <c r="AB623" s="29"/>
      <c r="AC623" s="94"/>
      <c r="AD623" s="94"/>
      <c r="AE623" s="89"/>
      <c r="AF623" s="89"/>
      <c r="AG623" s="89"/>
      <c r="AH623" s="89"/>
      <c r="AI623" s="90"/>
      <c r="AJ623" s="90"/>
      <c r="AK623" s="90"/>
      <c r="AL623" s="90"/>
      <c r="AM623" s="91"/>
      <c r="AN623" s="91"/>
      <c r="AO623" s="92"/>
      <c r="AP623" s="92"/>
      <c r="AQ623" s="92"/>
      <c r="AR623" s="92"/>
      <c r="AS623" s="93"/>
      <c r="AT623" s="93"/>
      <c r="AU623" s="93"/>
      <c r="AV623" s="93"/>
      <c r="AW623" s="93"/>
      <c r="AX623" s="92"/>
      <c r="AY623" s="92"/>
      <c r="AZ623" s="90"/>
      <c r="BA623" s="83"/>
      <c r="BB623" s="92"/>
      <c r="BC623" s="92"/>
      <c r="BD623" s="92"/>
      <c r="BE623" s="93"/>
      <c r="BF623" s="92"/>
      <c r="BG623" s="82"/>
      <c r="BH623" s="82"/>
      <c r="BI623" s="29"/>
      <c r="BJ623" s="29"/>
      <c r="BK623" s="29"/>
    </row>
    <row r="624" ht="15.75" hidden="1" customHeight="1">
      <c r="A624" s="75"/>
      <c r="B624" s="73"/>
      <c r="C624" s="76"/>
      <c r="D624" s="76"/>
      <c r="E624" s="76"/>
      <c r="F624" s="77"/>
      <c r="G624" s="78"/>
      <c r="H624" s="76"/>
      <c r="I624" s="76"/>
      <c r="J624" s="79"/>
      <c r="K624" s="80"/>
      <c r="L624" s="81"/>
      <c r="M624" s="81"/>
      <c r="N624" s="82"/>
      <c r="O624" s="83"/>
      <c r="P624" s="84"/>
      <c r="Q624" s="84"/>
      <c r="R624" s="81"/>
      <c r="S624" s="85"/>
      <c r="T624" s="86"/>
      <c r="U624" s="86"/>
      <c r="V624" s="87"/>
      <c r="W624" s="87"/>
      <c r="X624" s="87"/>
      <c r="Y624" s="87"/>
      <c r="Z624" s="87"/>
      <c r="AA624" s="87"/>
      <c r="AB624" s="29"/>
      <c r="AC624" s="94"/>
      <c r="AD624" s="94"/>
      <c r="AE624" s="89"/>
      <c r="AF624" s="89"/>
      <c r="AG624" s="89"/>
      <c r="AH624" s="89"/>
      <c r="AI624" s="90"/>
      <c r="AJ624" s="90"/>
      <c r="AK624" s="90"/>
      <c r="AL624" s="90"/>
      <c r="AM624" s="91"/>
      <c r="AN624" s="91"/>
      <c r="AO624" s="92"/>
      <c r="AP624" s="92"/>
      <c r="AQ624" s="92"/>
      <c r="AR624" s="92"/>
      <c r="AS624" s="93"/>
      <c r="AT624" s="93"/>
      <c r="AU624" s="93"/>
      <c r="AV624" s="93"/>
      <c r="AW624" s="93"/>
      <c r="AX624" s="92"/>
      <c r="AY624" s="92"/>
      <c r="AZ624" s="90"/>
      <c r="BA624" s="83"/>
      <c r="BB624" s="92"/>
      <c r="BC624" s="92"/>
      <c r="BD624" s="92"/>
      <c r="BE624" s="93"/>
      <c r="BF624" s="92"/>
      <c r="BG624" s="82"/>
      <c r="BH624" s="82"/>
      <c r="BI624" s="29"/>
      <c r="BJ624" s="29"/>
      <c r="BK624" s="29"/>
    </row>
    <row r="625" ht="15.75" hidden="1" customHeight="1">
      <c r="A625" s="75"/>
      <c r="B625" s="73"/>
      <c r="C625" s="76"/>
      <c r="D625" s="76"/>
      <c r="E625" s="76"/>
      <c r="F625" s="77"/>
      <c r="G625" s="78"/>
      <c r="H625" s="76"/>
      <c r="I625" s="76"/>
      <c r="J625" s="79"/>
      <c r="K625" s="80"/>
      <c r="L625" s="81"/>
      <c r="M625" s="81"/>
      <c r="N625" s="82"/>
      <c r="O625" s="83"/>
      <c r="P625" s="84"/>
      <c r="Q625" s="84"/>
      <c r="R625" s="81"/>
      <c r="S625" s="85"/>
      <c r="T625" s="86"/>
      <c r="U625" s="86"/>
      <c r="V625" s="87"/>
      <c r="W625" s="87"/>
      <c r="X625" s="87"/>
      <c r="Y625" s="87"/>
      <c r="Z625" s="87"/>
      <c r="AA625" s="87"/>
      <c r="AB625" s="29"/>
      <c r="AC625" s="94"/>
      <c r="AD625" s="94"/>
      <c r="AE625" s="89"/>
      <c r="AF625" s="89"/>
      <c r="AG625" s="89"/>
      <c r="AH625" s="89"/>
      <c r="AI625" s="90"/>
      <c r="AJ625" s="90"/>
      <c r="AK625" s="90"/>
      <c r="AL625" s="90"/>
      <c r="AM625" s="91"/>
      <c r="AN625" s="91"/>
      <c r="AO625" s="92"/>
      <c r="AP625" s="92"/>
      <c r="AQ625" s="92"/>
      <c r="AR625" s="92"/>
      <c r="AS625" s="93"/>
      <c r="AT625" s="93"/>
      <c r="AU625" s="93"/>
      <c r="AV625" s="93"/>
      <c r="AW625" s="93"/>
      <c r="AX625" s="92"/>
      <c r="AY625" s="92"/>
      <c r="AZ625" s="90"/>
      <c r="BA625" s="83"/>
      <c r="BB625" s="92"/>
      <c r="BC625" s="92"/>
      <c r="BD625" s="92"/>
      <c r="BE625" s="93"/>
      <c r="BF625" s="92"/>
      <c r="BG625" s="82"/>
      <c r="BH625" s="82"/>
      <c r="BI625" s="29"/>
      <c r="BJ625" s="29"/>
      <c r="BK625" s="29"/>
    </row>
    <row r="626" ht="15.75" hidden="1" customHeight="1">
      <c r="A626" s="75"/>
      <c r="B626" s="73"/>
      <c r="C626" s="76"/>
      <c r="D626" s="76"/>
      <c r="E626" s="76"/>
      <c r="F626" s="77"/>
      <c r="G626" s="78"/>
      <c r="H626" s="76"/>
      <c r="I626" s="76"/>
      <c r="J626" s="79"/>
      <c r="K626" s="80"/>
      <c r="L626" s="81"/>
      <c r="M626" s="81"/>
      <c r="N626" s="82"/>
      <c r="O626" s="83"/>
      <c r="P626" s="84"/>
      <c r="Q626" s="84"/>
      <c r="R626" s="81"/>
      <c r="S626" s="85"/>
      <c r="T626" s="86"/>
      <c r="U626" s="86"/>
      <c r="V626" s="87"/>
      <c r="W626" s="87"/>
      <c r="X626" s="87"/>
      <c r="Y626" s="87"/>
      <c r="Z626" s="87"/>
      <c r="AA626" s="87"/>
      <c r="AB626" s="29"/>
      <c r="AC626" s="94"/>
      <c r="AD626" s="94"/>
      <c r="AE626" s="89"/>
      <c r="AF626" s="89"/>
      <c r="AG626" s="89"/>
      <c r="AH626" s="89"/>
      <c r="AI626" s="90"/>
      <c r="AJ626" s="90"/>
      <c r="AK626" s="90"/>
      <c r="AL626" s="90"/>
      <c r="AM626" s="91"/>
      <c r="AN626" s="91"/>
      <c r="AO626" s="92"/>
      <c r="AP626" s="92"/>
      <c r="AQ626" s="92"/>
      <c r="AR626" s="92"/>
      <c r="AS626" s="93"/>
      <c r="AT626" s="93"/>
      <c r="AU626" s="93"/>
      <c r="AV626" s="93"/>
      <c r="AW626" s="93"/>
      <c r="AX626" s="92"/>
      <c r="AY626" s="92"/>
      <c r="AZ626" s="90"/>
      <c r="BA626" s="83"/>
      <c r="BB626" s="92"/>
      <c r="BC626" s="92"/>
      <c r="BD626" s="92"/>
      <c r="BE626" s="93"/>
      <c r="BF626" s="92"/>
      <c r="BG626" s="82"/>
      <c r="BH626" s="82"/>
      <c r="BI626" s="29"/>
      <c r="BJ626" s="29"/>
      <c r="BK626" s="29"/>
    </row>
    <row r="627" ht="15.75" hidden="1" customHeight="1">
      <c r="A627" s="75"/>
      <c r="B627" s="73"/>
      <c r="C627" s="76"/>
      <c r="D627" s="76"/>
      <c r="E627" s="76"/>
      <c r="F627" s="77"/>
      <c r="G627" s="78"/>
      <c r="H627" s="76"/>
      <c r="I627" s="76"/>
      <c r="J627" s="79"/>
      <c r="K627" s="80"/>
      <c r="L627" s="81"/>
      <c r="M627" s="81"/>
      <c r="N627" s="82"/>
      <c r="O627" s="83"/>
      <c r="P627" s="84"/>
      <c r="Q627" s="84"/>
      <c r="R627" s="81"/>
      <c r="S627" s="85"/>
      <c r="T627" s="86"/>
      <c r="U627" s="86"/>
      <c r="V627" s="87"/>
      <c r="W627" s="87"/>
      <c r="X627" s="87"/>
      <c r="Y627" s="87"/>
      <c r="Z627" s="87"/>
      <c r="AA627" s="87"/>
      <c r="AB627" s="29"/>
      <c r="AC627" s="94"/>
      <c r="AD627" s="94"/>
      <c r="AE627" s="89"/>
      <c r="AF627" s="89"/>
      <c r="AG627" s="89"/>
      <c r="AH627" s="89"/>
      <c r="AI627" s="90"/>
      <c r="AJ627" s="90"/>
      <c r="AK627" s="90"/>
      <c r="AL627" s="90"/>
      <c r="AM627" s="91"/>
      <c r="AN627" s="91"/>
      <c r="AO627" s="92"/>
      <c r="AP627" s="92"/>
      <c r="AQ627" s="92"/>
      <c r="AR627" s="92"/>
      <c r="AS627" s="93"/>
      <c r="AT627" s="93"/>
      <c r="AU627" s="93"/>
      <c r="AV627" s="93"/>
      <c r="AW627" s="93"/>
      <c r="AX627" s="92"/>
      <c r="AY627" s="92"/>
      <c r="AZ627" s="90"/>
      <c r="BA627" s="83"/>
      <c r="BB627" s="92"/>
      <c r="BC627" s="92"/>
      <c r="BD627" s="92"/>
      <c r="BE627" s="93"/>
      <c r="BF627" s="92"/>
      <c r="BG627" s="82"/>
      <c r="BH627" s="82"/>
      <c r="BI627" s="29"/>
      <c r="BJ627" s="29"/>
      <c r="BK627" s="29"/>
    </row>
    <row r="628" ht="15.75" hidden="1" customHeight="1">
      <c r="A628" s="75"/>
      <c r="B628" s="73"/>
      <c r="C628" s="76"/>
      <c r="D628" s="76"/>
      <c r="E628" s="76"/>
      <c r="F628" s="77"/>
      <c r="G628" s="78"/>
      <c r="H628" s="76"/>
      <c r="I628" s="76"/>
      <c r="J628" s="79"/>
      <c r="K628" s="80"/>
      <c r="L628" s="81"/>
      <c r="M628" s="81"/>
      <c r="N628" s="82"/>
      <c r="O628" s="83"/>
      <c r="P628" s="84"/>
      <c r="Q628" s="84"/>
      <c r="R628" s="81"/>
      <c r="S628" s="85"/>
      <c r="T628" s="86"/>
      <c r="U628" s="86"/>
      <c r="V628" s="87"/>
      <c r="W628" s="87"/>
      <c r="X628" s="87"/>
      <c r="Y628" s="87"/>
      <c r="Z628" s="87"/>
      <c r="AA628" s="87"/>
      <c r="AB628" s="29"/>
      <c r="AC628" s="94"/>
      <c r="AD628" s="94"/>
      <c r="AE628" s="89"/>
      <c r="AF628" s="89"/>
      <c r="AG628" s="89"/>
      <c r="AH628" s="89"/>
      <c r="AI628" s="90"/>
      <c r="AJ628" s="90"/>
      <c r="AK628" s="90"/>
      <c r="AL628" s="90"/>
      <c r="AM628" s="91"/>
      <c r="AN628" s="91"/>
      <c r="AO628" s="92"/>
      <c r="AP628" s="92"/>
      <c r="AQ628" s="92"/>
      <c r="AR628" s="92"/>
      <c r="AS628" s="93"/>
      <c r="AT628" s="93"/>
      <c r="AU628" s="93"/>
      <c r="AV628" s="93"/>
      <c r="AW628" s="93"/>
      <c r="AX628" s="92"/>
      <c r="AY628" s="92"/>
      <c r="AZ628" s="90"/>
      <c r="BA628" s="83"/>
      <c r="BB628" s="92"/>
      <c r="BC628" s="92"/>
      <c r="BD628" s="92"/>
      <c r="BE628" s="93"/>
      <c r="BF628" s="92"/>
      <c r="BG628" s="82"/>
      <c r="BH628" s="82"/>
      <c r="BI628" s="29"/>
      <c r="BJ628" s="29"/>
      <c r="BK628" s="29"/>
    </row>
    <row r="629" ht="15.75" hidden="1" customHeight="1">
      <c r="A629" s="75"/>
      <c r="B629" s="73"/>
      <c r="C629" s="76"/>
      <c r="D629" s="76"/>
      <c r="E629" s="76"/>
      <c r="F629" s="77"/>
      <c r="G629" s="78"/>
      <c r="H629" s="76"/>
      <c r="I629" s="76"/>
      <c r="J629" s="79"/>
      <c r="K629" s="80"/>
      <c r="L629" s="81"/>
      <c r="M629" s="81"/>
      <c r="N629" s="82"/>
      <c r="O629" s="83"/>
      <c r="P629" s="84"/>
      <c r="Q629" s="84"/>
      <c r="R629" s="81"/>
      <c r="S629" s="85"/>
      <c r="T629" s="86"/>
      <c r="U629" s="86"/>
      <c r="V629" s="87"/>
      <c r="W629" s="87"/>
      <c r="X629" s="87"/>
      <c r="Y629" s="87"/>
      <c r="Z629" s="87"/>
      <c r="AA629" s="87"/>
      <c r="AB629" s="29"/>
      <c r="AC629" s="94"/>
      <c r="AD629" s="94"/>
      <c r="AE629" s="89"/>
      <c r="AF629" s="89"/>
      <c r="AG629" s="89"/>
      <c r="AH629" s="89"/>
      <c r="AI629" s="90"/>
      <c r="AJ629" s="90"/>
      <c r="AK629" s="90"/>
      <c r="AL629" s="90"/>
      <c r="AM629" s="91"/>
      <c r="AN629" s="91"/>
      <c r="AO629" s="92"/>
      <c r="AP629" s="92"/>
      <c r="AQ629" s="92"/>
      <c r="AR629" s="92"/>
      <c r="AS629" s="93"/>
      <c r="AT629" s="93"/>
      <c r="AU629" s="93"/>
      <c r="AV629" s="93"/>
      <c r="AW629" s="93"/>
      <c r="AX629" s="92"/>
      <c r="AY629" s="92"/>
      <c r="AZ629" s="90"/>
      <c r="BA629" s="83"/>
      <c r="BB629" s="92"/>
      <c r="BC629" s="92"/>
      <c r="BD629" s="92"/>
      <c r="BE629" s="93"/>
      <c r="BF629" s="92"/>
      <c r="BG629" s="82"/>
      <c r="BH629" s="82"/>
      <c r="BI629" s="29"/>
      <c r="BJ629" s="29"/>
      <c r="BK629" s="29"/>
    </row>
    <row r="630" ht="15.75" hidden="1" customHeight="1">
      <c r="A630" s="75"/>
      <c r="B630" s="73"/>
      <c r="C630" s="76"/>
      <c r="D630" s="76"/>
      <c r="E630" s="76"/>
      <c r="F630" s="77"/>
      <c r="G630" s="78"/>
      <c r="H630" s="76"/>
      <c r="I630" s="76"/>
      <c r="J630" s="79"/>
      <c r="K630" s="80"/>
      <c r="L630" s="81"/>
      <c r="M630" s="81"/>
      <c r="N630" s="82"/>
      <c r="O630" s="83"/>
      <c r="P630" s="84"/>
      <c r="Q630" s="84"/>
      <c r="R630" s="81"/>
      <c r="S630" s="85"/>
      <c r="T630" s="86"/>
      <c r="U630" s="86"/>
      <c r="V630" s="87"/>
      <c r="W630" s="87"/>
      <c r="X630" s="87"/>
      <c r="Y630" s="87"/>
      <c r="Z630" s="87"/>
      <c r="AA630" s="87"/>
      <c r="AB630" s="29"/>
      <c r="AC630" s="94"/>
      <c r="AD630" s="94"/>
      <c r="AE630" s="89"/>
      <c r="AF630" s="89"/>
      <c r="AG630" s="89"/>
      <c r="AH630" s="89"/>
      <c r="AI630" s="90"/>
      <c r="AJ630" s="90"/>
      <c r="AK630" s="90"/>
      <c r="AL630" s="90"/>
      <c r="AM630" s="91"/>
      <c r="AN630" s="91"/>
      <c r="AO630" s="92"/>
      <c r="AP630" s="92"/>
      <c r="AQ630" s="92"/>
      <c r="AR630" s="92"/>
      <c r="AS630" s="93"/>
      <c r="AT630" s="93"/>
      <c r="AU630" s="93"/>
      <c r="AV630" s="93"/>
      <c r="AW630" s="93"/>
      <c r="AX630" s="92"/>
      <c r="AY630" s="92"/>
      <c r="AZ630" s="90"/>
      <c r="BA630" s="83"/>
      <c r="BB630" s="92"/>
      <c r="BC630" s="92"/>
      <c r="BD630" s="92"/>
      <c r="BE630" s="93"/>
      <c r="BF630" s="92"/>
      <c r="BG630" s="82"/>
      <c r="BH630" s="82"/>
      <c r="BI630" s="29"/>
      <c r="BJ630" s="29"/>
      <c r="BK630" s="29"/>
    </row>
    <row r="631" ht="15.75" hidden="1" customHeight="1">
      <c r="A631" s="75"/>
      <c r="B631" s="73"/>
      <c r="C631" s="76"/>
      <c r="D631" s="76"/>
      <c r="E631" s="76"/>
      <c r="F631" s="77"/>
      <c r="G631" s="78"/>
      <c r="H631" s="76"/>
      <c r="I631" s="76"/>
      <c r="J631" s="79"/>
      <c r="K631" s="80"/>
      <c r="L631" s="81"/>
      <c r="M631" s="81"/>
      <c r="N631" s="82"/>
      <c r="O631" s="83"/>
      <c r="P631" s="84"/>
      <c r="Q631" s="84"/>
      <c r="R631" s="81"/>
      <c r="S631" s="85"/>
      <c r="T631" s="86"/>
      <c r="U631" s="86"/>
      <c r="V631" s="87"/>
      <c r="W631" s="87"/>
      <c r="X631" s="87"/>
      <c r="Y631" s="87"/>
      <c r="Z631" s="87"/>
      <c r="AA631" s="87"/>
      <c r="AB631" s="29"/>
      <c r="AC631" s="94"/>
      <c r="AD631" s="94"/>
      <c r="AE631" s="89"/>
      <c r="AF631" s="89"/>
      <c r="AG631" s="89"/>
      <c r="AH631" s="89"/>
      <c r="AI631" s="90"/>
      <c r="AJ631" s="90"/>
      <c r="AK631" s="90"/>
      <c r="AL631" s="90"/>
      <c r="AM631" s="91"/>
      <c r="AN631" s="91"/>
      <c r="AO631" s="92"/>
      <c r="AP631" s="92"/>
      <c r="AQ631" s="92"/>
      <c r="AR631" s="92"/>
      <c r="AS631" s="93"/>
      <c r="AT631" s="93"/>
      <c r="AU631" s="93"/>
      <c r="AV631" s="93"/>
      <c r="AW631" s="93"/>
      <c r="AX631" s="92"/>
      <c r="AY631" s="92"/>
      <c r="AZ631" s="90"/>
      <c r="BA631" s="83"/>
      <c r="BB631" s="92"/>
      <c r="BC631" s="92"/>
      <c r="BD631" s="92"/>
      <c r="BE631" s="93"/>
      <c r="BF631" s="92"/>
      <c r="BG631" s="82"/>
      <c r="BH631" s="82"/>
      <c r="BI631" s="29"/>
      <c r="BJ631" s="29"/>
      <c r="BK631" s="29"/>
    </row>
    <row r="632" ht="15.75" hidden="1" customHeight="1">
      <c r="A632" s="75"/>
      <c r="B632" s="73"/>
      <c r="C632" s="76"/>
      <c r="D632" s="76"/>
      <c r="E632" s="76"/>
      <c r="F632" s="77"/>
      <c r="G632" s="78"/>
      <c r="H632" s="76"/>
      <c r="I632" s="76"/>
      <c r="J632" s="79"/>
      <c r="K632" s="80"/>
      <c r="L632" s="81"/>
      <c r="M632" s="81"/>
      <c r="N632" s="82"/>
      <c r="O632" s="83"/>
      <c r="P632" s="84"/>
      <c r="Q632" s="84"/>
      <c r="R632" s="81"/>
      <c r="S632" s="85"/>
      <c r="T632" s="86"/>
      <c r="U632" s="86"/>
      <c r="V632" s="87"/>
      <c r="W632" s="87"/>
      <c r="X632" s="87"/>
      <c r="Y632" s="87"/>
      <c r="Z632" s="87"/>
      <c r="AA632" s="87"/>
      <c r="AB632" s="29"/>
      <c r="AC632" s="94"/>
      <c r="AD632" s="94"/>
      <c r="AE632" s="89"/>
      <c r="AF632" s="89"/>
      <c r="AG632" s="89"/>
      <c r="AH632" s="89"/>
      <c r="AI632" s="90"/>
      <c r="AJ632" s="90"/>
      <c r="AK632" s="90"/>
      <c r="AL632" s="90"/>
      <c r="AM632" s="91"/>
      <c r="AN632" s="91"/>
      <c r="AO632" s="92"/>
      <c r="AP632" s="92"/>
      <c r="AQ632" s="92"/>
      <c r="AR632" s="92"/>
      <c r="AS632" s="93"/>
      <c r="AT632" s="93"/>
      <c r="AU632" s="93"/>
      <c r="AV632" s="93"/>
      <c r="AW632" s="93"/>
      <c r="AX632" s="92"/>
      <c r="AY632" s="92"/>
      <c r="AZ632" s="90"/>
      <c r="BA632" s="83"/>
      <c r="BB632" s="92"/>
      <c r="BC632" s="92"/>
      <c r="BD632" s="92"/>
      <c r="BE632" s="93"/>
      <c r="BF632" s="92"/>
      <c r="BG632" s="82"/>
      <c r="BH632" s="82"/>
      <c r="BI632" s="29"/>
      <c r="BJ632" s="29"/>
      <c r="BK632" s="29"/>
    </row>
    <row r="633" ht="15.75" hidden="1" customHeight="1">
      <c r="A633" s="75"/>
      <c r="B633" s="73"/>
      <c r="C633" s="76"/>
      <c r="D633" s="76"/>
      <c r="E633" s="76"/>
      <c r="F633" s="77"/>
      <c r="G633" s="78"/>
      <c r="H633" s="76"/>
      <c r="I633" s="76"/>
      <c r="J633" s="79"/>
      <c r="K633" s="80"/>
      <c r="L633" s="81"/>
      <c r="M633" s="81"/>
      <c r="N633" s="82"/>
      <c r="O633" s="83"/>
      <c r="P633" s="84"/>
      <c r="Q633" s="84"/>
      <c r="R633" s="81"/>
      <c r="S633" s="85"/>
      <c r="T633" s="86"/>
      <c r="U633" s="86"/>
      <c r="V633" s="87"/>
      <c r="W633" s="87"/>
      <c r="X633" s="87"/>
      <c r="Y633" s="87"/>
      <c r="Z633" s="87"/>
      <c r="AA633" s="87"/>
      <c r="AB633" s="29"/>
      <c r="AC633" s="94"/>
      <c r="AD633" s="94"/>
      <c r="AE633" s="89"/>
      <c r="AF633" s="89"/>
      <c r="AG633" s="89"/>
      <c r="AH633" s="89"/>
      <c r="AI633" s="90"/>
      <c r="AJ633" s="90"/>
      <c r="AK633" s="90"/>
      <c r="AL633" s="90"/>
      <c r="AM633" s="91"/>
      <c r="AN633" s="91"/>
      <c r="AO633" s="92"/>
      <c r="AP633" s="92"/>
      <c r="AQ633" s="92"/>
      <c r="AR633" s="92"/>
      <c r="AS633" s="93"/>
      <c r="AT633" s="93"/>
      <c r="AU633" s="93"/>
      <c r="AV633" s="93"/>
      <c r="AW633" s="93"/>
      <c r="AX633" s="92"/>
      <c r="AY633" s="92"/>
      <c r="AZ633" s="90"/>
      <c r="BA633" s="83"/>
      <c r="BB633" s="92"/>
      <c r="BC633" s="92"/>
      <c r="BD633" s="92"/>
      <c r="BE633" s="93"/>
      <c r="BF633" s="92"/>
      <c r="BG633" s="82"/>
      <c r="BH633" s="82"/>
      <c r="BI633" s="29"/>
      <c r="BJ633" s="29"/>
      <c r="BK633" s="29"/>
    </row>
    <row r="634" ht="15.75" hidden="1" customHeight="1">
      <c r="A634" s="75"/>
      <c r="B634" s="73"/>
      <c r="C634" s="76"/>
      <c r="D634" s="76"/>
      <c r="E634" s="76"/>
      <c r="F634" s="77"/>
      <c r="G634" s="78"/>
      <c r="H634" s="76"/>
      <c r="I634" s="76"/>
      <c r="J634" s="79"/>
      <c r="K634" s="80"/>
      <c r="L634" s="81"/>
      <c r="M634" s="81"/>
      <c r="N634" s="82"/>
      <c r="O634" s="83"/>
      <c r="P634" s="84"/>
      <c r="Q634" s="84"/>
      <c r="R634" s="81"/>
      <c r="S634" s="85"/>
      <c r="T634" s="86"/>
      <c r="U634" s="86"/>
      <c r="V634" s="87"/>
      <c r="W634" s="87"/>
      <c r="X634" s="87"/>
      <c r="Y634" s="87"/>
      <c r="Z634" s="87"/>
      <c r="AA634" s="87"/>
      <c r="AB634" s="29"/>
      <c r="AC634" s="94"/>
      <c r="AD634" s="94"/>
      <c r="AE634" s="89"/>
      <c r="AF634" s="89"/>
      <c r="AG634" s="89"/>
      <c r="AH634" s="89"/>
      <c r="AI634" s="90"/>
      <c r="AJ634" s="90"/>
      <c r="AK634" s="90"/>
      <c r="AL634" s="90"/>
      <c r="AM634" s="91"/>
      <c r="AN634" s="91"/>
      <c r="AO634" s="92"/>
      <c r="AP634" s="92"/>
      <c r="AQ634" s="92"/>
      <c r="AR634" s="92"/>
      <c r="AS634" s="93"/>
      <c r="AT634" s="93"/>
      <c r="AU634" s="93"/>
      <c r="AV634" s="93"/>
      <c r="AW634" s="93"/>
      <c r="AX634" s="92"/>
      <c r="AY634" s="92"/>
      <c r="AZ634" s="90"/>
      <c r="BA634" s="83"/>
      <c r="BB634" s="92"/>
      <c r="BC634" s="92"/>
      <c r="BD634" s="92"/>
      <c r="BE634" s="93"/>
      <c r="BF634" s="92"/>
      <c r="BG634" s="82"/>
      <c r="BH634" s="82"/>
      <c r="BI634" s="29"/>
      <c r="BJ634" s="29"/>
      <c r="BK634" s="29"/>
    </row>
    <row r="635" ht="15.75" hidden="1" customHeight="1">
      <c r="A635" s="75"/>
      <c r="B635" s="73"/>
      <c r="C635" s="76"/>
      <c r="D635" s="76"/>
      <c r="E635" s="76"/>
      <c r="F635" s="77"/>
      <c r="G635" s="78"/>
      <c r="H635" s="76"/>
      <c r="I635" s="76"/>
      <c r="J635" s="79"/>
      <c r="K635" s="80"/>
      <c r="L635" s="81"/>
      <c r="M635" s="81"/>
      <c r="N635" s="82"/>
      <c r="O635" s="83"/>
      <c r="P635" s="84"/>
      <c r="Q635" s="84"/>
      <c r="R635" s="81"/>
      <c r="S635" s="85"/>
      <c r="T635" s="86"/>
      <c r="U635" s="86"/>
      <c r="V635" s="87"/>
      <c r="W635" s="87"/>
      <c r="X635" s="87"/>
      <c r="Y635" s="87"/>
      <c r="Z635" s="87"/>
      <c r="AA635" s="87"/>
      <c r="AB635" s="29"/>
      <c r="AC635" s="94"/>
      <c r="AD635" s="94"/>
      <c r="AE635" s="89"/>
      <c r="AF635" s="89"/>
      <c r="AG635" s="89"/>
      <c r="AH635" s="89"/>
      <c r="AI635" s="90"/>
      <c r="AJ635" s="90"/>
      <c r="AK635" s="90"/>
      <c r="AL635" s="90"/>
      <c r="AM635" s="91"/>
      <c r="AN635" s="91"/>
      <c r="AO635" s="92"/>
      <c r="AP635" s="92"/>
      <c r="AQ635" s="92"/>
      <c r="AR635" s="92"/>
      <c r="AS635" s="93"/>
      <c r="AT635" s="93"/>
      <c r="AU635" s="93"/>
      <c r="AV635" s="93"/>
      <c r="AW635" s="93"/>
      <c r="AX635" s="92"/>
      <c r="AY635" s="92"/>
      <c r="AZ635" s="90"/>
      <c r="BA635" s="83"/>
      <c r="BB635" s="92"/>
      <c r="BC635" s="92"/>
      <c r="BD635" s="92"/>
      <c r="BE635" s="93"/>
      <c r="BF635" s="92"/>
      <c r="BG635" s="82"/>
      <c r="BH635" s="82"/>
      <c r="BI635" s="29"/>
      <c r="BJ635" s="29"/>
      <c r="BK635" s="29"/>
    </row>
    <row r="636" ht="15.75" hidden="1" customHeight="1">
      <c r="A636" s="75"/>
      <c r="B636" s="73"/>
      <c r="C636" s="76"/>
      <c r="D636" s="76"/>
      <c r="E636" s="76"/>
      <c r="F636" s="77"/>
      <c r="G636" s="78"/>
      <c r="H636" s="76"/>
      <c r="I636" s="76"/>
      <c r="J636" s="79"/>
      <c r="K636" s="80"/>
      <c r="L636" s="81"/>
      <c r="M636" s="81"/>
      <c r="N636" s="82"/>
      <c r="O636" s="83"/>
      <c r="P636" s="84"/>
      <c r="Q636" s="84"/>
      <c r="R636" s="81"/>
      <c r="S636" s="85"/>
      <c r="T636" s="86"/>
      <c r="U636" s="86"/>
      <c r="V636" s="87"/>
      <c r="W636" s="87"/>
      <c r="X636" s="87"/>
      <c r="Y636" s="87"/>
      <c r="Z636" s="87"/>
      <c r="AA636" s="87"/>
      <c r="AB636" s="29"/>
      <c r="AC636" s="94"/>
      <c r="AD636" s="94"/>
      <c r="AE636" s="89"/>
      <c r="AF636" s="89"/>
      <c r="AG636" s="89"/>
      <c r="AH636" s="89"/>
      <c r="AI636" s="90"/>
      <c r="AJ636" s="90"/>
      <c r="AK636" s="90"/>
      <c r="AL636" s="90"/>
      <c r="AM636" s="91"/>
      <c r="AN636" s="91"/>
      <c r="AO636" s="92"/>
      <c r="AP636" s="92"/>
      <c r="AQ636" s="92"/>
      <c r="AR636" s="92"/>
      <c r="AS636" s="93"/>
      <c r="AT636" s="93"/>
      <c r="AU636" s="93"/>
      <c r="AV636" s="93"/>
      <c r="AW636" s="93"/>
      <c r="AX636" s="92"/>
      <c r="AY636" s="92"/>
      <c r="AZ636" s="90"/>
      <c r="BA636" s="83"/>
      <c r="BB636" s="92"/>
      <c r="BC636" s="92"/>
      <c r="BD636" s="92"/>
      <c r="BE636" s="93"/>
      <c r="BF636" s="92"/>
      <c r="BG636" s="82"/>
      <c r="BH636" s="82"/>
      <c r="BI636" s="29"/>
      <c r="BJ636" s="29"/>
      <c r="BK636" s="29"/>
    </row>
    <row r="637" ht="15.75" hidden="1" customHeight="1">
      <c r="A637" s="75"/>
      <c r="B637" s="73"/>
      <c r="C637" s="76"/>
      <c r="D637" s="76"/>
      <c r="E637" s="76"/>
      <c r="F637" s="77"/>
      <c r="G637" s="78"/>
      <c r="H637" s="76"/>
      <c r="I637" s="76"/>
      <c r="J637" s="79"/>
      <c r="K637" s="80"/>
      <c r="L637" s="81"/>
      <c r="M637" s="81"/>
      <c r="N637" s="82"/>
      <c r="O637" s="83"/>
      <c r="P637" s="84"/>
      <c r="Q637" s="84"/>
      <c r="R637" s="81"/>
      <c r="S637" s="85"/>
      <c r="T637" s="86"/>
      <c r="U637" s="86"/>
      <c r="V637" s="87"/>
      <c r="W637" s="87"/>
      <c r="X637" s="87"/>
      <c r="Y637" s="87"/>
      <c r="Z637" s="87"/>
      <c r="AA637" s="87"/>
      <c r="AB637" s="29"/>
      <c r="AC637" s="94"/>
      <c r="AD637" s="94"/>
      <c r="AE637" s="89"/>
      <c r="AF637" s="89"/>
      <c r="AG637" s="89"/>
      <c r="AH637" s="89"/>
      <c r="AI637" s="90"/>
      <c r="AJ637" s="90"/>
      <c r="AK637" s="90"/>
      <c r="AL637" s="90"/>
      <c r="AM637" s="91"/>
      <c r="AN637" s="91"/>
      <c r="AO637" s="92"/>
      <c r="AP637" s="92"/>
      <c r="AQ637" s="92"/>
      <c r="AR637" s="92"/>
      <c r="AS637" s="93"/>
      <c r="AT637" s="93"/>
      <c r="AU637" s="93"/>
      <c r="AV637" s="93"/>
      <c r="AW637" s="93"/>
      <c r="AX637" s="92"/>
      <c r="AY637" s="92"/>
      <c r="AZ637" s="90"/>
      <c r="BA637" s="83"/>
      <c r="BB637" s="92"/>
      <c r="BC637" s="92"/>
      <c r="BD637" s="92"/>
      <c r="BE637" s="93"/>
      <c r="BF637" s="92"/>
      <c r="BG637" s="82"/>
      <c r="BH637" s="82"/>
      <c r="BI637" s="29"/>
      <c r="BJ637" s="29"/>
      <c r="BK637" s="29"/>
    </row>
    <row r="638" ht="15.75" hidden="1" customHeight="1">
      <c r="A638" s="75"/>
      <c r="B638" s="73"/>
      <c r="C638" s="76"/>
      <c r="D638" s="76"/>
      <c r="E638" s="76"/>
      <c r="F638" s="77"/>
      <c r="G638" s="78"/>
      <c r="H638" s="76"/>
      <c r="I638" s="76"/>
      <c r="J638" s="79"/>
      <c r="K638" s="80"/>
      <c r="L638" s="81"/>
      <c r="M638" s="81"/>
      <c r="N638" s="82"/>
      <c r="O638" s="83"/>
      <c r="P638" s="84"/>
      <c r="Q638" s="84"/>
      <c r="R638" s="81"/>
      <c r="S638" s="85"/>
      <c r="T638" s="86"/>
      <c r="U638" s="86"/>
      <c r="V638" s="87"/>
      <c r="W638" s="87"/>
      <c r="X638" s="87"/>
      <c r="Y638" s="87"/>
      <c r="Z638" s="87"/>
      <c r="AA638" s="87"/>
      <c r="AB638" s="29"/>
      <c r="AC638" s="94"/>
      <c r="AD638" s="94"/>
      <c r="AE638" s="89"/>
      <c r="AF638" s="89"/>
      <c r="AG638" s="89"/>
      <c r="AH638" s="89"/>
      <c r="AI638" s="90"/>
      <c r="AJ638" s="90"/>
      <c r="AK638" s="90"/>
      <c r="AL638" s="90"/>
      <c r="AM638" s="91"/>
      <c r="AN638" s="91"/>
      <c r="AO638" s="92"/>
      <c r="AP638" s="92"/>
      <c r="AQ638" s="92"/>
      <c r="AR638" s="92"/>
      <c r="AS638" s="93"/>
      <c r="AT638" s="93"/>
      <c r="AU638" s="93"/>
      <c r="AV638" s="93"/>
      <c r="AW638" s="93"/>
      <c r="AX638" s="92"/>
      <c r="AY638" s="92"/>
      <c r="AZ638" s="90"/>
      <c r="BA638" s="83"/>
      <c r="BB638" s="92"/>
      <c r="BC638" s="92"/>
      <c r="BD638" s="92"/>
      <c r="BE638" s="93"/>
      <c r="BF638" s="92"/>
      <c r="BG638" s="82"/>
      <c r="BH638" s="82"/>
      <c r="BI638" s="29"/>
      <c r="BJ638" s="29"/>
      <c r="BK638" s="29"/>
    </row>
    <row r="639" ht="15.75" hidden="1" customHeight="1">
      <c r="A639" s="75"/>
      <c r="B639" s="73"/>
      <c r="C639" s="76"/>
      <c r="D639" s="76"/>
      <c r="E639" s="76"/>
      <c r="F639" s="77"/>
      <c r="G639" s="78"/>
      <c r="H639" s="76"/>
      <c r="I639" s="76"/>
      <c r="J639" s="79"/>
      <c r="K639" s="80"/>
      <c r="L639" s="81"/>
      <c r="M639" s="81"/>
      <c r="N639" s="82"/>
      <c r="O639" s="83"/>
      <c r="P639" s="84"/>
      <c r="Q639" s="84"/>
      <c r="R639" s="81"/>
      <c r="S639" s="85"/>
      <c r="T639" s="86"/>
      <c r="U639" s="86"/>
      <c r="V639" s="87"/>
      <c r="W639" s="87"/>
      <c r="X639" s="87"/>
      <c r="Y639" s="87"/>
      <c r="Z639" s="87"/>
      <c r="AA639" s="87"/>
      <c r="AB639" s="29"/>
      <c r="AC639" s="94"/>
      <c r="AD639" s="94"/>
      <c r="AE639" s="89"/>
      <c r="AF639" s="89"/>
      <c r="AG639" s="89"/>
      <c r="AH639" s="89"/>
      <c r="AI639" s="90"/>
      <c r="AJ639" s="90"/>
      <c r="AK639" s="90"/>
      <c r="AL639" s="90"/>
      <c r="AM639" s="91"/>
      <c r="AN639" s="91"/>
      <c r="AO639" s="92"/>
      <c r="AP639" s="92"/>
      <c r="AQ639" s="92"/>
      <c r="AR639" s="92"/>
      <c r="AS639" s="93"/>
      <c r="AT639" s="93"/>
      <c r="AU639" s="93"/>
      <c r="AV639" s="93"/>
      <c r="AW639" s="93"/>
      <c r="AX639" s="92"/>
      <c r="AY639" s="92"/>
      <c r="AZ639" s="90"/>
      <c r="BA639" s="83"/>
      <c r="BB639" s="92"/>
      <c r="BC639" s="92"/>
      <c r="BD639" s="92"/>
      <c r="BE639" s="93"/>
      <c r="BF639" s="92"/>
      <c r="BG639" s="82"/>
      <c r="BH639" s="82"/>
      <c r="BI639" s="29"/>
      <c r="BJ639" s="29"/>
      <c r="BK639" s="29"/>
    </row>
    <row r="640" ht="15.75" hidden="1" customHeight="1">
      <c r="A640" s="75"/>
      <c r="B640" s="73"/>
      <c r="C640" s="76"/>
      <c r="D640" s="76"/>
      <c r="E640" s="76"/>
      <c r="F640" s="77"/>
      <c r="G640" s="78"/>
      <c r="H640" s="76"/>
      <c r="I640" s="76"/>
      <c r="J640" s="79"/>
      <c r="K640" s="80"/>
      <c r="L640" s="81"/>
      <c r="M640" s="81"/>
      <c r="N640" s="82"/>
      <c r="O640" s="83"/>
      <c r="P640" s="84"/>
      <c r="Q640" s="84"/>
      <c r="R640" s="81"/>
      <c r="S640" s="85"/>
      <c r="T640" s="86"/>
      <c r="U640" s="86"/>
      <c r="V640" s="87"/>
      <c r="W640" s="87"/>
      <c r="X640" s="87"/>
      <c r="Y640" s="87"/>
      <c r="Z640" s="87"/>
      <c r="AA640" s="87"/>
      <c r="AB640" s="29"/>
      <c r="AC640" s="94"/>
      <c r="AD640" s="94"/>
      <c r="AE640" s="89"/>
      <c r="AF640" s="89"/>
      <c r="AG640" s="89"/>
      <c r="AH640" s="89"/>
      <c r="AI640" s="90"/>
      <c r="AJ640" s="90"/>
      <c r="AK640" s="90"/>
      <c r="AL640" s="90"/>
      <c r="AM640" s="91"/>
      <c r="AN640" s="91"/>
      <c r="AO640" s="92"/>
      <c r="AP640" s="92"/>
      <c r="AQ640" s="92"/>
      <c r="AR640" s="92"/>
      <c r="AS640" s="93"/>
      <c r="AT640" s="93"/>
      <c r="AU640" s="93"/>
      <c r="AV640" s="93"/>
      <c r="AW640" s="93"/>
      <c r="AX640" s="92"/>
      <c r="AY640" s="92"/>
      <c r="AZ640" s="90"/>
      <c r="BA640" s="83"/>
      <c r="BB640" s="92"/>
      <c r="BC640" s="92"/>
      <c r="BD640" s="92"/>
      <c r="BE640" s="93"/>
      <c r="BF640" s="92"/>
      <c r="BG640" s="82"/>
      <c r="BH640" s="82"/>
      <c r="BI640" s="29"/>
      <c r="BJ640" s="29"/>
      <c r="BK640" s="29"/>
    </row>
    <row r="641" ht="15.75" hidden="1" customHeight="1">
      <c r="A641" s="75"/>
      <c r="B641" s="73"/>
      <c r="C641" s="76"/>
      <c r="D641" s="76"/>
      <c r="E641" s="76"/>
      <c r="F641" s="77"/>
      <c r="G641" s="78"/>
      <c r="H641" s="76"/>
      <c r="I641" s="76"/>
      <c r="J641" s="79"/>
      <c r="K641" s="80"/>
      <c r="L641" s="81"/>
      <c r="M641" s="81"/>
      <c r="N641" s="82"/>
      <c r="O641" s="83"/>
      <c r="P641" s="84"/>
      <c r="Q641" s="84"/>
      <c r="R641" s="81"/>
      <c r="S641" s="85"/>
      <c r="T641" s="86"/>
      <c r="U641" s="86"/>
      <c r="V641" s="87"/>
      <c r="W641" s="87"/>
      <c r="X641" s="87"/>
      <c r="Y641" s="87"/>
      <c r="Z641" s="87"/>
      <c r="AA641" s="87"/>
      <c r="AB641" s="29"/>
      <c r="AC641" s="94"/>
      <c r="AD641" s="94"/>
      <c r="AE641" s="89"/>
      <c r="AF641" s="89"/>
      <c r="AG641" s="89"/>
      <c r="AH641" s="89"/>
      <c r="AI641" s="90"/>
      <c r="AJ641" s="90"/>
      <c r="AK641" s="90"/>
      <c r="AL641" s="90"/>
      <c r="AM641" s="91"/>
      <c r="AN641" s="91"/>
      <c r="AO641" s="92"/>
      <c r="AP641" s="92"/>
      <c r="AQ641" s="92"/>
      <c r="AR641" s="92"/>
      <c r="AS641" s="93"/>
      <c r="AT641" s="93"/>
      <c r="AU641" s="93"/>
      <c r="AV641" s="93"/>
      <c r="AW641" s="93"/>
      <c r="AX641" s="92"/>
      <c r="AY641" s="92"/>
      <c r="AZ641" s="90"/>
      <c r="BA641" s="83"/>
      <c r="BB641" s="92"/>
      <c r="BC641" s="92"/>
      <c r="BD641" s="92"/>
      <c r="BE641" s="93"/>
      <c r="BF641" s="92"/>
      <c r="BG641" s="82"/>
      <c r="BH641" s="82"/>
      <c r="BI641" s="29"/>
      <c r="BJ641" s="29"/>
      <c r="BK641" s="29"/>
    </row>
    <row r="642" ht="15.75" hidden="1" customHeight="1">
      <c r="A642" s="75"/>
      <c r="B642" s="73"/>
      <c r="C642" s="76"/>
      <c r="D642" s="76"/>
      <c r="E642" s="76"/>
      <c r="F642" s="77"/>
      <c r="G642" s="78"/>
      <c r="H642" s="76"/>
      <c r="I642" s="76"/>
      <c r="J642" s="79"/>
      <c r="K642" s="80"/>
      <c r="L642" s="81"/>
      <c r="M642" s="81"/>
      <c r="N642" s="82"/>
      <c r="O642" s="83"/>
      <c r="P642" s="84"/>
      <c r="Q642" s="84"/>
      <c r="R642" s="81"/>
      <c r="S642" s="85"/>
      <c r="T642" s="86"/>
      <c r="U642" s="86"/>
      <c r="V642" s="87"/>
      <c r="W642" s="87"/>
      <c r="X642" s="87"/>
      <c r="Y642" s="87"/>
      <c r="Z642" s="87"/>
      <c r="AA642" s="87"/>
      <c r="AB642" s="29"/>
      <c r="AC642" s="94"/>
      <c r="AD642" s="94"/>
      <c r="AE642" s="89"/>
      <c r="AF642" s="89"/>
      <c r="AG642" s="89"/>
      <c r="AH642" s="89"/>
      <c r="AI642" s="90"/>
      <c r="AJ642" s="90"/>
      <c r="AK642" s="90"/>
      <c r="AL642" s="90"/>
      <c r="AM642" s="91"/>
      <c r="AN642" s="91"/>
      <c r="AO642" s="92"/>
      <c r="AP642" s="92"/>
      <c r="AQ642" s="92"/>
      <c r="AR642" s="92"/>
      <c r="AS642" s="93"/>
      <c r="AT642" s="93"/>
      <c r="AU642" s="93"/>
      <c r="AV642" s="93"/>
      <c r="AW642" s="93"/>
      <c r="AX642" s="92"/>
      <c r="AY642" s="92"/>
      <c r="AZ642" s="90"/>
      <c r="BA642" s="83"/>
      <c r="BB642" s="92"/>
      <c r="BC642" s="92"/>
      <c r="BD642" s="92"/>
      <c r="BE642" s="93"/>
      <c r="BF642" s="92"/>
      <c r="BG642" s="82"/>
      <c r="BH642" s="82"/>
      <c r="BI642" s="29"/>
      <c r="BJ642" s="29"/>
      <c r="BK642" s="29"/>
    </row>
    <row r="643" ht="15.75" hidden="1" customHeight="1">
      <c r="A643" s="75"/>
      <c r="B643" s="73"/>
      <c r="C643" s="76"/>
      <c r="D643" s="76"/>
      <c r="E643" s="76"/>
      <c r="F643" s="77"/>
      <c r="G643" s="78"/>
      <c r="H643" s="76"/>
      <c r="I643" s="76"/>
      <c r="J643" s="79"/>
      <c r="K643" s="80"/>
      <c r="L643" s="81"/>
      <c r="M643" s="81"/>
      <c r="N643" s="82"/>
      <c r="O643" s="83"/>
      <c r="P643" s="84"/>
      <c r="Q643" s="84"/>
      <c r="R643" s="81"/>
      <c r="S643" s="85"/>
      <c r="T643" s="86"/>
      <c r="U643" s="86"/>
      <c r="V643" s="87"/>
      <c r="W643" s="87"/>
      <c r="X643" s="87"/>
      <c r="Y643" s="87"/>
      <c r="Z643" s="87"/>
      <c r="AA643" s="87"/>
      <c r="AB643" s="29"/>
      <c r="AC643" s="94"/>
      <c r="AD643" s="94"/>
      <c r="AE643" s="89"/>
      <c r="AF643" s="89"/>
      <c r="AG643" s="89"/>
      <c r="AH643" s="89"/>
      <c r="AI643" s="90"/>
      <c r="AJ643" s="90"/>
      <c r="AK643" s="90"/>
      <c r="AL643" s="90"/>
      <c r="AM643" s="91"/>
      <c r="AN643" s="91"/>
      <c r="AO643" s="92"/>
      <c r="AP643" s="92"/>
      <c r="AQ643" s="92"/>
      <c r="AR643" s="92"/>
      <c r="AS643" s="93"/>
      <c r="AT643" s="93"/>
      <c r="AU643" s="93"/>
      <c r="AV643" s="93"/>
      <c r="AW643" s="93"/>
      <c r="AX643" s="92"/>
      <c r="AY643" s="92"/>
      <c r="AZ643" s="90"/>
      <c r="BA643" s="83"/>
      <c r="BB643" s="92"/>
      <c r="BC643" s="92"/>
      <c r="BD643" s="92"/>
      <c r="BE643" s="93"/>
      <c r="BF643" s="92"/>
      <c r="BG643" s="82"/>
      <c r="BH643" s="82"/>
      <c r="BI643" s="29"/>
      <c r="BJ643" s="29"/>
      <c r="BK643" s="29"/>
    </row>
    <row r="644" ht="15.75" hidden="1" customHeight="1">
      <c r="A644" s="75"/>
      <c r="B644" s="73"/>
      <c r="C644" s="76"/>
      <c r="D644" s="76"/>
      <c r="E644" s="76"/>
      <c r="F644" s="77"/>
      <c r="G644" s="78"/>
      <c r="H644" s="76"/>
      <c r="I644" s="76"/>
      <c r="J644" s="79"/>
      <c r="K644" s="80"/>
      <c r="L644" s="81"/>
      <c r="M644" s="81"/>
      <c r="N644" s="82"/>
      <c r="O644" s="83"/>
      <c r="P644" s="84"/>
      <c r="Q644" s="84"/>
      <c r="R644" s="81"/>
      <c r="S644" s="85"/>
      <c r="T644" s="86"/>
      <c r="U644" s="86"/>
      <c r="V644" s="87"/>
      <c r="W644" s="87"/>
      <c r="X644" s="87"/>
      <c r="Y644" s="87"/>
      <c r="Z644" s="87"/>
      <c r="AA644" s="87"/>
      <c r="AB644" s="29"/>
      <c r="AC644" s="94"/>
      <c r="AD644" s="94"/>
      <c r="AE644" s="89"/>
      <c r="AF644" s="89"/>
      <c r="AG644" s="89"/>
      <c r="AH644" s="89"/>
      <c r="AI644" s="90"/>
      <c r="AJ644" s="90"/>
      <c r="AK644" s="90"/>
      <c r="AL644" s="90"/>
      <c r="AM644" s="91"/>
      <c r="AN644" s="91"/>
      <c r="AO644" s="92"/>
      <c r="AP644" s="92"/>
      <c r="AQ644" s="92"/>
      <c r="AR644" s="92"/>
      <c r="AS644" s="93"/>
      <c r="AT644" s="93"/>
      <c r="AU644" s="93"/>
      <c r="AV644" s="93"/>
      <c r="AW644" s="93"/>
      <c r="AX644" s="92"/>
      <c r="AY644" s="92"/>
      <c r="AZ644" s="90"/>
      <c r="BA644" s="83"/>
      <c r="BB644" s="92"/>
      <c r="BC644" s="92"/>
      <c r="BD644" s="92"/>
      <c r="BE644" s="93"/>
      <c r="BF644" s="92"/>
      <c r="BG644" s="82"/>
      <c r="BH644" s="82"/>
      <c r="BI644" s="29"/>
      <c r="BJ644" s="29"/>
      <c r="BK644" s="29"/>
    </row>
    <row r="645" ht="15.75" hidden="1" customHeight="1">
      <c r="A645" s="75"/>
      <c r="B645" s="73"/>
      <c r="C645" s="76"/>
      <c r="D645" s="76"/>
      <c r="E645" s="76"/>
      <c r="F645" s="77"/>
      <c r="G645" s="78"/>
      <c r="H645" s="76"/>
      <c r="I645" s="76"/>
      <c r="J645" s="79"/>
      <c r="K645" s="80"/>
      <c r="L645" s="81"/>
      <c r="M645" s="81"/>
      <c r="N645" s="82"/>
      <c r="O645" s="83"/>
      <c r="P645" s="84"/>
      <c r="Q645" s="84"/>
      <c r="R645" s="81"/>
      <c r="S645" s="85"/>
      <c r="T645" s="86"/>
      <c r="U645" s="86"/>
      <c r="V645" s="87"/>
      <c r="W645" s="87"/>
      <c r="X645" s="87"/>
      <c r="Y645" s="87"/>
      <c r="Z645" s="87"/>
      <c r="AA645" s="87"/>
      <c r="AB645" s="29"/>
      <c r="AC645" s="94"/>
      <c r="AD645" s="94"/>
      <c r="AE645" s="89"/>
      <c r="AF645" s="89"/>
      <c r="AG645" s="89"/>
      <c r="AH645" s="89"/>
      <c r="AI645" s="90"/>
      <c r="AJ645" s="90"/>
      <c r="AK645" s="90"/>
      <c r="AL645" s="90"/>
      <c r="AM645" s="91"/>
      <c r="AN645" s="91"/>
      <c r="AO645" s="92"/>
      <c r="AP645" s="92"/>
      <c r="AQ645" s="92"/>
      <c r="AR645" s="92"/>
      <c r="AS645" s="93"/>
      <c r="AT645" s="93"/>
      <c r="AU645" s="93"/>
      <c r="AV645" s="93"/>
      <c r="AW645" s="93"/>
      <c r="AX645" s="92"/>
      <c r="AY645" s="92"/>
      <c r="AZ645" s="90"/>
      <c r="BA645" s="83"/>
      <c r="BB645" s="92"/>
      <c r="BC645" s="92"/>
      <c r="BD645" s="92"/>
      <c r="BE645" s="93"/>
      <c r="BF645" s="92"/>
      <c r="BG645" s="82"/>
      <c r="BH645" s="82"/>
      <c r="BI645" s="29"/>
      <c r="BJ645" s="29"/>
      <c r="BK645" s="29"/>
    </row>
    <row r="646" ht="15.75" hidden="1" customHeight="1">
      <c r="A646" s="75"/>
      <c r="B646" s="73"/>
      <c r="C646" s="76"/>
      <c r="D646" s="76"/>
      <c r="E646" s="76"/>
      <c r="F646" s="77"/>
      <c r="G646" s="78"/>
      <c r="H646" s="76"/>
      <c r="I646" s="76"/>
      <c r="J646" s="79"/>
      <c r="K646" s="80"/>
      <c r="L646" s="81"/>
      <c r="M646" s="81"/>
      <c r="N646" s="82"/>
      <c r="O646" s="83"/>
      <c r="P646" s="84"/>
      <c r="Q646" s="84"/>
      <c r="R646" s="81"/>
      <c r="S646" s="85"/>
      <c r="T646" s="86"/>
      <c r="U646" s="86"/>
      <c r="V646" s="87"/>
      <c r="W646" s="87"/>
      <c r="X646" s="87"/>
      <c r="Y646" s="87"/>
      <c r="Z646" s="87"/>
      <c r="AA646" s="87"/>
      <c r="AB646" s="29"/>
      <c r="AC646" s="94"/>
      <c r="AD646" s="94"/>
      <c r="AE646" s="89"/>
      <c r="AF646" s="89"/>
      <c r="AG646" s="89"/>
      <c r="AH646" s="89"/>
      <c r="AI646" s="90"/>
      <c r="AJ646" s="90"/>
      <c r="AK646" s="90"/>
      <c r="AL646" s="90"/>
      <c r="AM646" s="91"/>
      <c r="AN646" s="91"/>
      <c r="AO646" s="92"/>
      <c r="AP646" s="92"/>
      <c r="AQ646" s="92"/>
      <c r="AR646" s="92"/>
      <c r="AS646" s="93"/>
      <c r="AT646" s="93"/>
      <c r="AU646" s="93"/>
      <c r="AV646" s="93"/>
      <c r="AW646" s="93"/>
      <c r="AX646" s="92"/>
      <c r="AY646" s="92"/>
      <c r="AZ646" s="90"/>
      <c r="BA646" s="83"/>
      <c r="BB646" s="92"/>
      <c r="BC646" s="92"/>
      <c r="BD646" s="92"/>
      <c r="BE646" s="93"/>
      <c r="BF646" s="92"/>
      <c r="BG646" s="82"/>
      <c r="BH646" s="82"/>
      <c r="BI646" s="29"/>
      <c r="BJ646" s="29"/>
      <c r="BK646" s="29"/>
    </row>
    <row r="647" ht="15.75" hidden="1" customHeight="1">
      <c r="A647" s="75"/>
      <c r="B647" s="73"/>
      <c r="C647" s="76"/>
      <c r="D647" s="76"/>
      <c r="E647" s="76"/>
      <c r="F647" s="77"/>
      <c r="G647" s="78"/>
      <c r="H647" s="76"/>
      <c r="I647" s="76"/>
      <c r="J647" s="79"/>
      <c r="K647" s="80"/>
      <c r="L647" s="81"/>
      <c r="M647" s="81"/>
      <c r="N647" s="82"/>
      <c r="O647" s="83"/>
      <c r="P647" s="84"/>
      <c r="Q647" s="84"/>
      <c r="R647" s="81"/>
      <c r="S647" s="85"/>
      <c r="T647" s="86"/>
      <c r="U647" s="86"/>
      <c r="V647" s="87"/>
      <c r="W647" s="87"/>
      <c r="X647" s="87"/>
      <c r="Y647" s="87"/>
      <c r="Z647" s="87"/>
      <c r="AA647" s="87"/>
      <c r="AB647" s="29"/>
      <c r="AC647" s="94"/>
      <c r="AD647" s="94"/>
      <c r="AE647" s="89"/>
      <c r="AF647" s="89"/>
      <c r="AG647" s="89"/>
      <c r="AH647" s="89"/>
      <c r="AI647" s="90"/>
      <c r="AJ647" s="90"/>
      <c r="AK647" s="90"/>
      <c r="AL647" s="90"/>
      <c r="AM647" s="91"/>
      <c r="AN647" s="91"/>
      <c r="AO647" s="92"/>
      <c r="AP647" s="92"/>
      <c r="AQ647" s="92"/>
      <c r="AR647" s="92"/>
      <c r="AS647" s="93"/>
      <c r="AT647" s="93"/>
      <c r="AU647" s="93"/>
      <c r="AV647" s="93"/>
      <c r="AW647" s="93"/>
      <c r="AX647" s="92"/>
      <c r="AY647" s="92"/>
      <c r="AZ647" s="90"/>
      <c r="BA647" s="83"/>
      <c r="BB647" s="92"/>
      <c r="BC647" s="92"/>
      <c r="BD647" s="92"/>
      <c r="BE647" s="93"/>
      <c r="BF647" s="92"/>
      <c r="BG647" s="82"/>
      <c r="BH647" s="82"/>
      <c r="BI647" s="29"/>
      <c r="BJ647" s="29"/>
      <c r="BK647" s="29"/>
    </row>
    <row r="648" ht="15.75" hidden="1" customHeight="1">
      <c r="A648" s="75"/>
      <c r="B648" s="73"/>
      <c r="C648" s="76"/>
      <c r="D648" s="76"/>
      <c r="E648" s="76"/>
      <c r="F648" s="77"/>
      <c r="G648" s="78"/>
      <c r="H648" s="76"/>
      <c r="I648" s="76"/>
      <c r="J648" s="79"/>
      <c r="K648" s="80"/>
      <c r="L648" s="81"/>
      <c r="M648" s="81"/>
      <c r="N648" s="82"/>
      <c r="O648" s="83"/>
      <c r="P648" s="84"/>
      <c r="Q648" s="84"/>
      <c r="R648" s="81"/>
      <c r="S648" s="85"/>
      <c r="T648" s="86"/>
      <c r="U648" s="86"/>
      <c r="V648" s="87"/>
      <c r="W648" s="87"/>
      <c r="X648" s="87"/>
      <c r="Y648" s="87"/>
      <c r="Z648" s="87"/>
      <c r="AA648" s="87"/>
      <c r="AB648" s="29"/>
      <c r="AC648" s="94"/>
      <c r="AD648" s="94"/>
      <c r="AE648" s="89"/>
      <c r="AF648" s="89"/>
      <c r="AG648" s="89"/>
      <c r="AH648" s="89"/>
      <c r="AI648" s="90"/>
      <c r="AJ648" s="90"/>
      <c r="AK648" s="90"/>
      <c r="AL648" s="90"/>
      <c r="AM648" s="91"/>
      <c r="AN648" s="91"/>
      <c r="AO648" s="92"/>
      <c r="AP648" s="92"/>
      <c r="AQ648" s="92"/>
      <c r="AR648" s="92"/>
      <c r="AS648" s="93"/>
      <c r="AT648" s="93"/>
      <c r="AU648" s="93"/>
      <c r="AV648" s="93"/>
      <c r="AW648" s="93"/>
      <c r="AX648" s="92"/>
      <c r="AY648" s="92"/>
      <c r="AZ648" s="90"/>
      <c r="BA648" s="83"/>
      <c r="BB648" s="92"/>
      <c r="BC648" s="92"/>
      <c r="BD648" s="92"/>
      <c r="BE648" s="93"/>
      <c r="BF648" s="92"/>
      <c r="BG648" s="82"/>
      <c r="BH648" s="82"/>
      <c r="BI648" s="29"/>
      <c r="BJ648" s="29"/>
      <c r="BK648" s="29"/>
    </row>
    <row r="649" ht="15.75" hidden="1" customHeight="1">
      <c r="A649" s="75"/>
      <c r="B649" s="73"/>
      <c r="C649" s="76"/>
      <c r="D649" s="76"/>
      <c r="E649" s="76"/>
      <c r="F649" s="77"/>
      <c r="G649" s="78"/>
      <c r="H649" s="76"/>
      <c r="I649" s="76"/>
      <c r="J649" s="79"/>
      <c r="K649" s="80"/>
      <c r="L649" s="81"/>
      <c r="M649" s="81"/>
      <c r="N649" s="82"/>
      <c r="O649" s="83"/>
      <c r="P649" s="84"/>
      <c r="Q649" s="84"/>
      <c r="R649" s="81"/>
      <c r="S649" s="85"/>
      <c r="T649" s="86"/>
      <c r="U649" s="86"/>
      <c r="V649" s="87"/>
      <c r="W649" s="87"/>
      <c r="X649" s="87"/>
      <c r="Y649" s="87"/>
      <c r="Z649" s="87"/>
      <c r="AA649" s="87"/>
      <c r="AB649" s="29"/>
      <c r="AC649" s="94"/>
      <c r="AD649" s="94"/>
      <c r="AE649" s="89"/>
      <c r="AF649" s="89"/>
      <c r="AG649" s="89"/>
      <c r="AH649" s="89"/>
      <c r="AI649" s="90"/>
      <c r="AJ649" s="90"/>
      <c r="AK649" s="90"/>
      <c r="AL649" s="90"/>
      <c r="AM649" s="91"/>
      <c r="AN649" s="91"/>
      <c r="AO649" s="92"/>
      <c r="AP649" s="92"/>
      <c r="AQ649" s="92"/>
      <c r="AR649" s="92"/>
      <c r="AS649" s="93"/>
      <c r="AT649" s="93"/>
      <c r="AU649" s="93"/>
      <c r="AV649" s="93"/>
      <c r="AW649" s="93"/>
      <c r="AX649" s="92"/>
      <c r="AY649" s="92"/>
      <c r="AZ649" s="90"/>
      <c r="BA649" s="83"/>
      <c r="BB649" s="92"/>
      <c r="BC649" s="92"/>
      <c r="BD649" s="92"/>
      <c r="BE649" s="93"/>
      <c r="BF649" s="92"/>
      <c r="BG649" s="82"/>
      <c r="BH649" s="82"/>
      <c r="BI649" s="29"/>
      <c r="BJ649" s="29"/>
      <c r="BK649" s="29"/>
    </row>
    <row r="650" ht="15.75" hidden="1" customHeight="1">
      <c r="A650" s="75"/>
      <c r="B650" s="73"/>
      <c r="C650" s="76"/>
      <c r="D650" s="76"/>
      <c r="E650" s="76"/>
      <c r="F650" s="77"/>
      <c r="G650" s="78"/>
      <c r="H650" s="76"/>
      <c r="I650" s="76"/>
      <c r="J650" s="79"/>
      <c r="K650" s="80"/>
      <c r="L650" s="81"/>
      <c r="M650" s="81"/>
      <c r="N650" s="82"/>
      <c r="O650" s="83"/>
      <c r="P650" s="84"/>
      <c r="Q650" s="84"/>
      <c r="R650" s="81"/>
      <c r="S650" s="85"/>
      <c r="T650" s="86"/>
      <c r="U650" s="86"/>
      <c r="V650" s="87"/>
      <c r="W650" s="87"/>
      <c r="X650" s="87"/>
      <c r="Y650" s="87"/>
      <c r="Z650" s="87"/>
      <c r="AA650" s="87"/>
      <c r="AB650" s="29"/>
      <c r="AC650" s="94"/>
      <c r="AD650" s="94"/>
      <c r="AE650" s="89"/>
      <c r="AF650" s="89"/>
      <c r="AG650" s="89"/>
      <c r="AH650" s="89"/>
      <c r="AI650" s="90"/>
      <c r="AJ650" s="90"/>
      <c r="AK650" s="90"/>
      <c r="AL650" s="90"/>
      <c r="AM650" s="91"/>
      <c r="AN650" s="91"/>
      <c r="AO650" s="92"/>
      <c r="AP650" s="92"/>
      <c r="AQ650" s="92"/>
      <c r="AR650" s="92"/>
      <c r="AS650" s="93"/>
      <c r="AT650" s="93"/>
      <c r="AU650" s="93"/>
      <c r="AV650" s="93"/>
      <c r="AW650" s="93"/>
      <c r="AX650" s="92"/>
      <c r="AY650" s="92"/>
      <c r="AZ650" s="90"/>
      <c r="BA650" s="83"/>
      <c r="BB650" s="92"/>
      <c r="BC650" s="92"/>
      <c r="BD650" s="92"/>
      <c r="BE650" s="93"/>
      <c r="BF650" s="92"/>
      <c r="BG650" s="82"/>
      <c r="BH650" s="82"/>
      <c r="BI650" s="29"/>
      <c r="BJ650" s="29"/>
      <c r="BK650" s="29"/>
    </row>
    <row r="651" ht="15.75" hidden="1" customHeight="1">
      <c r="A651" s="75"/>
      <c r="B651" s="73"/>
      <c r="C651" s="76"/>
      <c r="D651" s="76"/>
      <c r="E651" s="76"/>
      <c r="F651" s="77"/>
      <c r="G651" s="78"/>
      <c r="H651" s="76"/>
      <c r="I651" s="76"/>
      <c r="J651" s="79"/>
      <c r="K651" s="80"/>
      <c r="L651" s="81"/>
      <c r="M651" s="81"/>
      <c r="N651" s="82"/>
      <c r="O651" s="83"/>
      <c r="P651" s="84"/>
      <c r="Q651" s="84"/>
      <c r="R651" s="81"/>
      <c r="S651" s="85"/>
      <c r="T651" s="86"/>
      <c r="U651" s="86"/>
      <c r="V651" s="87"/>
      <c r="W651" s="87"/>
      <c r="X651" s="87"/>
      <c r="Y651" s="87"/>
      <c r="Z651" s="87"/>
      <c r="AA651" s="87"/>
      <c r="AB651" s="29"/>
      <c r="AC651" s="94"/>
      <c r="AD651" s="94"/>
      <c r="AE651" s="89"/>
      <c r="AF651" s="89"/>
      <c r="AG651" s="89"/>
      <c r="AH651" s="89"/>
      <c r="AI651" s="90"/>
      <c r="AJ651" s="90"/>
      <c r="AK651" s="90"/>
      <c r="AL651" s="90"/>
      <c r="AM651" s="91"/>
      <c r="AN651" s="91"/>
      <c r="AO651" s="92"/>
      <c r="AP651" s="92"/>
      <c r="AQ651" s="92"/>
      <c r="AR651" s="92"/>
      <c r="AS651" s="93"/>
      <c r="AT651" s="93"/>
      <c r="AU651" s="93"/>
      <c r="AV651" s="93"/>
      <c r="AW651" s="93"/>
      <c r="AX651" s="92"/>
      <c r="AY651" s="92"/>
      <c r="AZ651" s="90"/>
      <c r="BA651" s="83"/>
      <c r="BB651" s="92"/>
      <c r="BC651" s="92"/>
      <c r="BD651" s="92"/>
      <c r="BE651" s="93"/>
      <c r="BF651" s="92"/>
      <c r="BG651" s="82"/>
      <c r="BH651" s="82"/>
      <c r="BI651" s="29"/>
      <c r="BJ651" s="29"/>
      <c r="BK651" s="29"/>
    </row>
    <row r="652" ht="15.75" hidden="1" customHeight="1">
      <c r="A652" s="75"/>
      <c r="B652" s="73"/>
      <c r="C652" s="76"/>
      <c r="D652" s="76"/>
      <c r="E652" s="76"/>
      <c r="F652" s="77"/>
      <c r="G652" s="78"/>
      <c r="H652" s="76"/>
      <c r="I652" s="76"/>
      <c r="J652" s="79"/>
      <c r="K652" s="80"/>
      <c r="L652" s="81"/>
      <c r="M652" s="81"/>
      <c r="N652" s="82"/>
      <c r="O652" s="83"/>
      <c r="P652" s="84"/>
      <c r="Q652" s="84"/>
      <c r="R652" s="81"/>
      <c r="S652" s="85"/>
      <c r="T652" s="86"/>
      <c r="U652" s="86"/>
      <c r="V652" s="87"/>
      <c r="W652" s="87"/>
      <c r="X652" s="87"/>
      <c r="Y652" s="87"/>
      <c r="Z652" s="87"/>
      <c r="AA652" s="87"/>
      <c r="AB652" s="29"/>
      <c r="AC652" s="94"/>
      <c r="AD652" s="94"/>
      <c r="AE652" s="89"/>
      <c r="AF652" s="89"/>
      <c r="AG652" s="89"/>
      <c r="AH652" s="89"/>
      <c r="AI652" s="90"/>
      <c r="AJ652" s="90"/>
      <c r="AK652" s="90"/>
      <c r="AL652" s="90"/>
      <c r="AM652" s="91"/>
      <c r="AN652" s="91"/>
      <c r="AO652" s="92"/>
      <c r="AP652" s="92"/>
      <c r="AQ652" s="92"/>
      <c r="AR652" s="92"/>
      <c r="AS652" s="93"/>
      <c r="AT652" s="93"/>
      <c r="AU652" s="93"/>
      <c r="AV652" s="93"/>
      <c r="AW652" s="93"/>
      <c r="AX652" s="92"/>
      <c r="AY652" s="92"/>
      <c r="AZ652" s="90"/>
      <c r="BA652" s="83"/>
      <c r="BB652" s="92"/>
      <c r="BC652" s="92"/>
      <c r="BD652" s="92"/>
      <c r="BE652" s="93"/>
      <c r="BF652" s="92"/>
      <c r="BG652" s="82"/>
      <c r="BH652" s="82"/>
      <c r="BI652" s="29"/>
      <c r="BJ652" s="29"/>
      <c r="BK652" s="29"/>
    </row>
    <row r="653" ht="15.75" hidden="1" customHeight="1">
      <c r="A653" s="75"/>
      <c r="B653" s="73"/>
      <c r="C653" s="76"/>
      <c r="D653" s="76"/>
      <c r="E653" s="76"/>
      <c r="F653" s="77"/>
      <c r="G653" s="78"/>
      <c r="H653" s="76"/>
      <c r="I653" s="76"/>
      <c r="J653" s="79"/>
      <c r="K653" s="80"/>
      <c r="L653" s="81"/>
      <c r="M653" s="81"/>
      <c r="N653" s="82"/>
      <c r="O653" s="83"/>
      <c r="P653" s="84"/>
      <c r="Q653" s="84"/>
      <c r="R653" s="81"/>
      <c r="S653" s="85"/>
      <c r="T653" s="86"/>
      <c r="U653" s="86"/>
      <c r="V653" s="87"/>
      <c r="W653" s="87"/>
      <c r="X653" s="87"/>
      <c r="Y653" s="87"/>
      <c r="Z653" s="87"/>
      <c r="AA653" s="87"/>
      <c r="AB653" s="29"/>
      <c r="AC653" s="94"/>
      <c r="AD653" s="94"/>
      <c r="AE653" s="89"/>
      <c r="AF653" s="89"/>
      <c r="AG653" s="89"/>
      <c r="AH653" s="89"/>
      <c r="AI653" s="90"/>
      <c r="AJ653" s="90"/>
      <c r="AK653" s="90"/>
      <c r="AL653" s="90"/>
      <c r="AM653" s="91"/>
      <c r="AN653" s="91"/>
      <c r="AO653" s="92"/>
      <c r="AP653" s="92"/>
      <c r="AQ653" s="92"/>
      <c r="AR653" s="92"/>
      <c r="AS653" s="93"/>
      <c r="AT653" s="93"/>
      <c r="AU653" s="93"/>
      <c r="AV653" s="93"/>
      <c r="AW653" s="93"/>
      <c r="AX653" s="92"/>
      <c r="AY653" s="92"/>
      <c r="AZ653" s="90"/>
      <c r="BA653" s="83"/>
      <c r="BB653" s="92"/>
      <c r="BC653" s="92"/>
      <c r="BD653" s="92"/>
      <c r="BE653" s="93"/>
      <c r="BF653" s="92"/>
      <c r="BG653" s="82"/>
      <c r="BH653" s="82"/>
      <c r="BI653" s="29"/>
      <c r="BJ653" s="29"/>
      <c r="BK653" s="29"/>
    </row>
    <row r="654" ht="15.75" hidden="1" customHeight="1">
      <c r="A654" s="75"/>
      <c r="B654" s="73"/>
      <c r="C654" s="76"/>
      <c r="D654" s="76"/>
      <c r="E654" s="76"/>
      <c r="F654" s="77"/>
      <c r="G654" s="78"/>
      <c r="H654" s="76"/>
      <c r="I654" s="76"/>
      <c r="J654" s="79"/>
      <c r="K654" s="80"/>
      <c r="L654" s="81"/>
      <c r="M654" s="81"/>
      <c r="N654" s="82"/>
      <c r="O654" s="83"/>
      <c r="P654" s="84"/>
      <c r="Q654" s="84"/>
      <c r="R654" s="81"/>
      <c r="S654" s="85"/>
      <c r="T654" s="86"/>
      <c r="U654" s="86"/>
      <c r="V654" s="87"/>
      <c r="W654" s="87"/>
      <c r="X654" s="87"/>
      <c r="Y654" s="87"/>
      <c r="Z654" s="87"/>
      <c r="AA654" s="87"/>
      <c r="AB654" s="29"/>
      <c r="AC654" s="94"/>
      <c r="AD654" s="94"/>
      <c r="AE654" s="89"/>
      <c r="AF654" s="89"/>
      <c r="AG654" s="89"/>
      <c r="AH654" s="89"/>
      <c r="AI654" s="90"/>
      <c r="AJ654" s="90"/>
      <c r="AK654" s="90"/>
      <c r="AL654" s="90"/>
      <c r="AM654" s="91"/>
      <c r="AN654" s="91"/>
      <c r="AO654" s="92"/>
      <c r="AP654" s="92"/>
      <c r="AQ654" s="92"/>
      <c r="AR654" s="92"/>
      <c r="AS654" s="93"/>
      <c r="AT654" s="93"/>
      <c r="AU654" s="93"/>
      <c r="AV654" s="93"/>
      <c r="AW654" s="93"/>
      <c r="AX654" s="92"/>
      <c r="AY654" s="92"/>
      <c r="AZ654" s="90"/>
      <c r="BA654" s="83"/>
      <c r="BB654" s="92"/>
      <c r="BC654" s="92"/>
      <c r="BD654" s="92"/>
      <c r="BE654" s="93"/>
      <c r="BF654" s="92"/>
      <c r="BG654" s="82"/>
      <c r="BH654" s="82"/>
      <c r="BI654" s="29"/>
      <c r="BJ654" s="29"/>
      <c r="BK654" s="29"/>
    </row>
    <row r="655" ht="15.75" hidden="1" customHeight="1">
      <c r="A655" s="75"/>
      <c r="B655" s="73"/>
      <c r="C655" s="76"/>
      <c r="D655" s="76"/>
      <c r="E655" s="76"/>
      <c r="F655" s="77"/>
      <c r="G655" s="78"/>
      <c r="H655" s="76"/>
      <c r="I655" s="76"/>
      <c r="J655" s="79"/>
      <c r="K655" s="80"/>
      <c r="L655" s="81"/>
      <c r="M655" s="81"/>
      <c r="N655" s="82"/>
      <c r="O655" s="83"/>
      <c r="P655" s="84"/>
      <c r="Q655" s="84"/>
      <c r="R655" s="81"/>
      <c r="S655" s="85"/>
      <c r="T655" s="86"/>
      <c r="U655" s="86"/>
      <c r="V655" s="87"/>
      <c r="W655" s="87"/>
      <c r="X655" s="87"/>
      <c r="Y655" s="87"/>
      <c r="Z655" s="87"/>
      <c r="AA655" s="87"/>
      <c r="AB655" s="29"/>
      <c r="AC655" s="94"/>
      <c r="AD655" s="94"/>
      <c r="AE655" s="89"/>
      <c r="AF655" s="89"/>
      <c r="AG655" s="89"/>
      <c r="AH655" s="89"/>
      <c r="AI655" s="90"/>
      <c r="AJ655" s="90"/>
      <c r="AK655" s="90"/>
      <c r="AL655" s="90"/>
      <c r="AM655" s="91"/>
      <c r="AN655" s="91"/>
      <c r="AO655" s="92"/>
      <c r="AP655" s="92"/>
      <c r="AQ655" s="92"/>
      <c r="AR655" s="92"/>
      <c r="AS655" s="93"/>
      <c r="AT655" s="93"/>
      <c r="AU655" s="93"/>
      <c r="AV655" s="93"/>
      <c r="AW655" s="93"/>
      <c r="AX655" s="92"/>
      <c r="AY655" s="92"/>
      <c r="AZ655" s="90"/>
      <c r="BA655" s="83"/>
      <c r="BB655" s="92"/>
      <c r="BC655" s="92"/>
      <c r="BD655" s="92"/>
      <c r="BE655" s="93"/>
      <c r="BF655" s="92"/>
      <c r="BG655" s="82"/>
      <c r="BH655" s="82"/>
      <c r="BI655" s="29"/>
      <c r="BJ655" s="29"/>
      <c r="BK655" s="29"/>
    </row>
    <row r="656" ht="15.75" hidden="1" customHeight="1">
      <c r="A656" s="75"/>
      <c r="B656" s="73"/>
      <c r="C656" s="76"/>
      <c r="D656" s="76"/>
      <c r="E656" s="76"/>
      <c r="F656" s="77"/>
      <c r="G656" s="78"/>
      <c r="H656" s="76"/>
      <c r="I656" s="76"/>
      <c r="J656" s="79"/>
      <c r="K656" s="80"/>
      <c r="L656" s="81"/>
      <c r="M656" s="81"/>
      <c r="N656" s="82"/>
      <c r="O656" s="83"/>
      <c r="P656" s="84"/>
      <c r="Q656" s="84"/>
      <c r="R656" s="81"/>
      <c r="S656" s="85"/>
      <c r="T656" s="86"/>
      <c r="U656" s="86"/>
      <c r="V656" s="87"/>
      <c r="W656" s="87"/>
      <c r="X656" s="87"/>
      <c r="Y656" s="87"/>
      <c r="Z656" s="87"/>
      <c r="AA656" s="87"/>
      <c r="AB656" s="29"/>
      <c r="AC656" s="94"/>
      <c r="AD656" s="94"/>
      <c r="AE656" s="89"/>
      <c r="AF656" s="89"/>
      <c r="AG656" s="89"/>
      <c r="AH656" s="89"/>
      <c r="AI656" s="90"/>
      <c r="AJ656" s="90"/>
      <c r="AK656" s="90"/>
      <c r="AL656" s="90"/>
      <c r="AM656" s="91"/>
      <c r="AN656" s="91"/>
      <c r="AO656" s="92"/>
      <c r="AP656" s="92"/>
      <c r="AQ656" s="92"/>
      <c r="AR656" s="92"/>
      <c r="AS656" s="93"/>
      <c r="AT656" s="93"/>
      <c r="AU656" s="93"/>
      <c r="AV656" s="93"/>
      <c r="AW656" s="93"/>
      <c r="AX656" s="92"/>
      <c r="AY656" s="92"/>
      <c r="AZ656" s="90"/>
      <c r="BA656" s="83"/>
      <c r="BB656" s="92"/>
      <c r="BC656" s="92"/>
      <c r="BD656" s="92"/>
      <c r="BE656" s="93"/>
      <c r="BF656" s="92"/>
      <c r="BG656" s="82"/>
      <c r="BH656" s="82"/>
      <c r="BI656" s="29"/>
      <c r="BJ656" s="29"/>
      <c r="BK656" s="29"/>
    </row>
    <row r="657" ht="15.75" hidden="1" customHeight="1">
      <c r="A657" s="75"/>
      <c r="B657" s="73"/>
      <c r="C657" s="76"/>
      <c r="D657" s="76"/>
      <c r="E657" s="76"/>
      <c r="F657" s="77"/>
      <c r="G657" s="78"/>
      <c r="H657" s="76"/>
      <c r="I657" s="76"/>
      <c r="J657" s="79"/>
      <c r="K657" s="80"/>
      <c r="L657" s="81"/>
      <c r="M657" s="81"/>
      <c r="N657" s="82"/>
      <c r="O657" s="83"/>
      <c r="P657" s="84"/>
      <c r="Q657" s="84"/>
      <c r="R657" s="81"/>
      <c r="S657" s="85"/>
      <c r="T657" s="86"/>
      <c r="U657" s="86"/>
      <c r="V657" s="87"/>
      <c r="W657" s="87"/>
      <c r="X657" s="87"/>
      <c r="Y657" s="87"/>
      <c r="Z657" s="87"/>
      <c r="AA657" s="87"/>
      <c r="AB657" s="29"/>
      <c r="AC657" s="94"/>
      <c r="AD657" s="94"/>
      <c r="AE657" s="89"/>
      <c r="AF657" s="89"/>
      <c r="AG657" s="89"/>
      <c r="AH657" s="89"/>
      <c r="AI657" s="90"/>
      <c r="AJ657" s="90"/>
      <c r="AK657" s="90"/>
      <c r="AL657" s="90"/>
      <c r="AM657" s="91"/>
      <c r="AN657" s="91"/>
      <c r="AO657" s="92"/>
      <c r="AP657" s="92"/>
      <c r="AQ657" s="92"/>
      <c r="AR657" s="92"/>
      <c r="AS657" s="93"/>
      <c r="AT657" s="93"/>
      <c r="AU657" s="93"/>
      <c r="AV657" s="93"/>
      <c r="AW657" s="93"/>
      <c r="AX657" s="92"/>
      <c r="AY657" s="92"/>
      <c r="AZ657" s="90"/>
      <c r="BA657" s="83"/>
      <c r="BB657" s="92"/>
      <c r="BC657" s="92"/>
      <c r="BD657" s="92"/>
      <c r="BE657" s="93"/>
      <c r="BF657" s="92"/>
      <c r="BG657" s="82"/>
      <c r="BH657" s="82"/>
      <c r="BI657" s="29"/>
      <c r="BJ657" s="29"/>
      <c r="BK657" s="29"/>
    </row>
    <row r="658" ht="15.75" hidden="1" customHeight="1">
      <c r="A658" s="75"/>
      <c r="B658" s="73"/>
      <c r="C658" s="76"/>
      <c r="D658" s="76"/>
      <c r="E658" s="76"/>
      <c r="F658" s="77"/>
      <c r="G658" s="78"/>
      <c r="H658" s="76"/>
      <c r="I658" s="76"/>
      <c r="J658" s="79"/>
      <c r="K658" s="80"/>
      <c r="L658" s="81"/>
      <c r="M658" s="81"/>
      <c r="N658" s="82"/>
      <c r="O658" s="83"/>
      <c r="P658" s="84"/>
      <c r="Q658" s="84"/>
      <c r="R658" s="81"/>
      <c r="S658" s="85"/>
      <c r="T658" s="86"/>
      <c r="U658" s="86"/>
      <c r="V658" s="87"/>
      <c r="W658" s="87"/>
      <c r="X658" s="87"/>
      <c r="Y658" s="87"/>
      <c r="Z658" s="87"/>
      <c r="AA658" s="87"/>
      <c r="AB658" s="29"/>
      <c r="AC658" s="94"/>
      <c r="AD658" s="94"/>
      <c r="AE658" s="89"/>
      <c r="AF658" s="89"/>
      <c r="AG658" s="89"/>
      <c r="AH658" s="89"/>
      <c r="AI658" s="90"/>
      <c r="AJ658" s="90"/>
      <c r="AK658" s="90"/>
      <c r="AL658" s="90"/>
      <c r="AM658" s="91"/>
      <c r="AN658" s="91"/>
      <c r="AO658" s="92"/>
      <c r="AP658" s="92"/>
      <c r="AQ658" s="92"/>
      <c r="AR658" s="92"/>
      <c r="AS658" s="93"/>
      <c r="AT658" s="93"/>
      <c r="AU658" s="93"/>
      <c r="AV658" s="93"/>
      <c r="AW658" s="93"/>
      <c r="AX658" s="92"/>
      <c r="AY658" s="92"/>
      <c r="AZ658" s="90"/>
      <c r="BA658" s="83"/>
      <c r="BB658" s="92"/>
      <c r="BC658" s="92"/>
      <c r="BD658" s="92"/>
      <c r="BE658" s="93"/>
      <c r="BF658" s="92"/>
      <c r="BG658" s="82"/>
      <c r="BH658" s="82"/>
      <c r="BI658" s="29"/>
      <c r="BJ658" s="29"/>
      <c r="BK658" s="29"/>
    </row>
    <row r="659" ht="15.75" hidden="1" customHeight="1">
      <c r="A659" s="75"/>
      <c r="B659" s="73"/>
      <c r="C659" s="76"/>
      <c r="D659" s="76"/>
      <c r="E659" s="76"/>
      <c r="F659" s="77"/>
      <c r="G659" s="78"/>
      <c r="H659" s="76"/>
      <c r="I659" s="76"/>
      <c r="J659" s="79"/>
      <c r="K659" s="80"/>
      <c r="L659" s="81"/>
      <c r="M659" s="81"/>
      <c r="N659" s="82"/>
      <c r="O659" s="83"/>
      <c r="P659" s="84"/>
      <c r="Q659" s="84"/>
      <c r="R659" s="81"/>
      <c r="S659" s="85"/>
      <c r="T659" s="86"/>
      <c r="U659" s="86"/>
      <c r="V659" s="87"/>
      <c r="W659" s="87"/>
      <c r="X659" s="87"/>
      <c r="Y659" s="87"/>
      <c r="Z659" s="87"/>
      <c r="AA659" s="87"/>
      <c r="AB659" s="29"/>
      <c r="AC659" s="94"/>
      <c r="AD659" s="94"/>
      <c r="AE659" s="89"/>
      <c r="AF659" s="89"/>
      <c r="AG659" s="89"/>
      <c r="AH659" s="89"/>
      <c r="AI659" s="90"/>
      <c r="AJ659" s="90"/>
      <c r="AK659" s="90"/>
      <c r="AL659" s="90"/>
      <c r="AM659" s="91"/>
      <c r="AN659" s="91"/>
      <c r="AO659" s="92"/>
      <c r="AP659" s="92"/>
      <c r="AQ659" s="92"/>
      <c r="AR659" s="92"/>
      <c r="AS659" s="93"/>
      <c r="AT659" s="93"/>
      <c r="AU659" s="93"/>
      <c r="AV659" s="93"/>
      <c r="AW659" s="93"/>
      <c r="AX659" s="92"/>
      <c r="AY659" s="92"/>
      <c r="AZ659" s="90"/>
      <c r="BA659" s="83"/>
      <c r="BB659" s="92"/>
      <c r="BC659" s="92"/>
      <c r="BD659" s="92"/>
      <c r="BE659" s="93"/>
      <c r="BF659" s="92"/>
      <c r="BG659" s="82"/>
      <c r="BH659" s="82"/>
      <c r="BI659" s="29"/>
      <c r="BJ659" s="29"/>
      <c r="BK659" s="29"/>
    </row>
    <row r="660" ht="15.75" hidden="1" customHeight="1">
      <c r="A660" s="75"/>
      <c r="B660" s="73"/>
      <c r="C660" s="76"/>
      <c r="D660" s="76"/>
      <c r="E660" s="76"/>
      <c r="F660" s="77"/>
      <c r="G660" s="78"/>
      <c r="H660" s="76"/>
      <c r="I660" s="76"/>
      <c r="J660" s="79"/>
      <c r="K660" s="80"/>
      <c r="L660" s="81"/>
      <c r="M660" s="81"/>
      <c r="N660" s="82"/>
      <c r="O660" s="83"/>
      <c r="P660" s="84"/>
      <c r="Q660" s="84"/>
      <c r="R660" s="81"/>
      <c r="S660" s="85"/>
      <c r="T660" s="86"/>
      <c r="U660" s="86"/>
      <c r="V660" s="87"/>
      <c r="W660" s="87"/>
      <c r="X660" s="87"/>
      <c r="Y660" s="87"/>
      <c r="Z660" s="87"/>
      <c r="AA660" s="87"/>
      <c r="AB660" s="29"/>
      <c r="AC660" s="94"/>
      <c r="AD660" s="94"/>
      <c r="AE660" s="89"/>
      <c r="AF660" s="89"/>
      <c r="AG660" s="89"/>
      <c r="AH660" s="89"/>
      <c r="AI660" s="90"/>
      <c r="AJ660" s="90"/>
      <c r="AK660" s="90"/>
      <c r="AL660" s="90"/>
      <c r="AM660" s="91"/>
      <c r="AN660" s="91"/>
      <c r="AO660" s="92"/>
      <c r="AP660" s="92"/>
      <c r="AQ660" s="92"/>
      <c r="AR660" s="92"/>
      <c r="AS660" s="93"/>
      <c r="AT660" s="93"/>
      <c r="AU660" s="93"/>
      <c r="AV660" s="93"/>
      <c r="AW660" s="93"/>
      <c r="AX660" s="92"/>
      <c r="AY660" s="92"/>
      <c r="AZ660" s="90"/>
      <c r="BA660" s="83"/>
      <c r="BB660" s="92"/>
      <c r="BC660" s="92"/>
      <c r="BD660" s="92"/>
      <c r="BE660" s="93"/>
      <c r="BF660" s="92"/>
      <c r="BG660" s="82"/>
      <c r="BH660" s="82"/>
      <c r="BI660" s="29"/>
      <c r="BJ660" s="29"/>
      <c r="BK660" s="29"/>
    </row>
    <row r="661" ht="15.75" hidden="1" customHeight="1">
      <c r="A661" s="75"/>
      <c r="B661" s="73"/>
      <c r="C661" s="76"/>
      <c r="D661" s="76"/>
      <c r="E661" s="76"/>
      <c r="F661" s="77"/>
      <c r="G661" s="78"/>
      <c r="H661" s="76"/>
      <c r="I661" s="76"/>
      <c r="J661" s="79"/>
      <c r="K661" s="80"/>
      <c r="L661" s="81"/>
      <c r="M661" s="81"/>
      <c r="N661" s="82"/>
      <c r="O661" s="83"/>
      <c r="P661" s="84"/>
      <c r="Q661" s="84"/>
      <c r="R661" s="81"/>
      <c r="S661" s="85"/>
      <c r="T661" s="86"/>
      <c r="U661" s="86"/>
      <c r="V661" s="87"/>
      <c r="W661" s="87"/>
      <c r="X661" s="87"/>
      <c r="Y661" s="87"/>
      <c r="Z661" s="87"/>
      <c r="AA661" s="87"/>
      <c r="AB661" s="29"/>
      <c r="AC661" s="94"/>
      <c r="AD661" s="94"/>
      <c r="AE661" s="89"/>
      <c r="AF661" s="89"/>
      <c r="AG661" s="89"/>
      <c r="AH661" s="89"/>
      <c r="AI661" s="90"/>
      <c r="AJ661" s="90"/>
      <c r="AK661" s="90"/>
      <c r="AL661" s="90"/>
      <c r="AM661" s="91"/>
      <c r="AN661" s="91"/>
      <c r="AO661" s="92"/>
      <c r="AP661" s="92"/>
      <c r="AQ661" s="92"/>
      <c r="AR661" s="92"/>
      <c r="AS661" s="93"/>
      <c r="AT661" s="93"/>
      <c r="AU661" s="93"/>
      <c r="AV661" s="93"/>
      <c r="AW661" s="93"/>
      <c r="AX661" s="92"/>
      <c r="AY661" s="92"/>
      <c r="AZ661" s="90"/>
      <c r="BA661" s="83"/>
      <c r="BB661" s="92"/>
      <c r="BC661" s="92"/>
      <c r="BD661" s="92"/>
      <c r="BE661" s="93"/>
      <c r="BF661" s="92"/>
      <c r="BG661" s="82"/>
      <c r="BH661" s="82"/>
      <c r="BI661" s="29"/>
      <c r="BJ661" s="29"/>
      <c r="BK661" s="29"/>
    </row>
    <row r="662" ht="15.75" hidden="1" customHeight="1">
      <c r="A662" s="75"/>
      <c r="B662" s="73"/>
      <c r="C662" s="76"/>
      <c r="D662" s="76"/>
      <c r="E662" s="76"/>
      <c r="F662" s="77"/>
      <c r="G662" s="78"/>
      <c r="H662" s="76"/>
      <c r="I662" s="76"/>
      <c r="J662" s="79"/>
      <c r="K662" s="80"/>
      <c r="L662" s="81"/>
      <c r="M662" s="81"/>
      <c r="N662" s="82"/>
      <c r="O662" s="83"/>
      <c r="P662" s="84"/>
      <c r="Q662" s="84"/>
      <c r="R662" s="81"/>
      <c r="S662" s="85"/>
      <c r="T662" s="86"/>
      <c r="U662" s="86"/>
      <c r="V662" s="87"/>
      <c r="W662" s="87"/>
      <c r="X662" s="87"/>
      <c r="Y662" s="87"/>
      <c r="Z662" s="87"/>
      <c r="AA662" s="87"/>
      <c r="AB662" s="29"/>
      <c r="AC662" s="94"/>
      <c r="AD662" s="94"/>
      <c r="AE662" s="89"/>
      <c r="AF662" s="89"/>
      <c r="AG662" s="89"/>
      <c r="AH662" s="89"/>
      <c r="AI662" s="90"/>
      <c r="AJ662" s="90"/>
      <c r="AK662" s="90"/>
      <c r="AL662" s="90"/>
      <c r="AM662" s="91"/>
      <c r="AN662" s="91"/>
      <c r="AO662" s="92"/>
      <c r="AP662" s="92"/>
      <c r="AQ662" s="92"/>
      <c r="AR662" s="92"/>
      <c r="AS662" s="93"/>
      <c r="AT662" s="93"/>
      <c r="AU662" s="93"/>
      <c r="AV662" s="93"/>
      <c r="AW662" s="93"/>
      <c r="AX662" s="92"/>
      <c r="AY662" s="92"/>
      <c r="AZ662" s="90"/>
      <c r="BA662" s="83"/>
      <c r="BB662" s="92"/>
      <c r="BC662" s="92"/>
      <c r="BD662" s="92"/>
      <c r="BE662" s="93"/>
      <c r="BF662" s="92"/>
      <c r="BG662" s="82"/>
      <c r="BH662" s="82"/>
      <c r="BI662" s="29"/>
      <c r="BJ662" s="29"/>
      <c r="BK662" s="29"/>
    </row>
    <row r="663" ht="15.75" hidden="1" customHeight="1">
      <c r="A663" s="75"/>
      <c r="B663" s="73"/>
      <c r="C663" s="76"/>
      <c r="D663" s="76"/>
      <c r="E663" s="76"/>
      <c r="F663" s="77"/>
      <c r="G663" s="78"/>
      <c r="H663" s="76"/>
      <c r="I663" s="76"/>
      <c r="J663" s="79"/>
      <c r="K663" s="80"/>
      <c r="L663" s="81"/>
      <c r="M663" s="81"/>
      <c r="N663" s="82"/>
      <c r="O663" s="83"/>
      <c r="P663" s="84"/>
      <c r="Q663" s="84"/>
      <c r="R663" s="81"/>
      <c r="S663" s="85"/>
      <c r="T663" s="86"/>
      <c r="U663" s="86"/>
      <c r="V663" s="87"/>
      <c r="W663" s="87"/>
      <c r="X663" s="87"/>
      <c r="Y663" s="87"/>
      <c r="Z663" s="87"/>
      <c r="AA663" s="87"/>
      <c r="AB663" s="29"/>
      <c r="AC663" s="94"/>
      <c r="AD663" s="94"/>
      <c r="AE663" s="89"/>
      <c r="AF663" s="89"/>
      <c r="AG663" s="89"/>
      <c r="AH663" s="89"/>
      <c r="AI663" s="90"/>
      <c r="AJ663" s="90"/>
      <c r="AK663" s="90"/>
      <c r="AL663" s="90"/>
      <c r="AM663" s="91"/>
      <c r="AN663" s="91"/>
      <c r="AO663" s="92"/>
      <c r="AP663" s="92"/>
      <c r="AQ663" s="92"/>
      <c r="AR663" s="92"/>
      <c r="AS663" s="93"/>
      <c r="AT663" s="93"/>
      <c r="AU663" s="93"/>
      <c r="AV663" s="93"/>
      <c r="AW663" s="93"/>
      <c r="AX663" s="92"/>
      <c r="AY663" s="92"/>
      <c r="AZ663" s="90"/>
      <c r="BA663" s="83"/>
      <c r="BB663" s="92"/>
      <c r="BC663" s="92"/>
      <c r="BD663" s="92"/>
      <c r="BE663" s="93"/>
      <c r="BF663" s="92"/>
      <c r="BG663" s="82"/>
      <c r="BH663" s="82"/>
      <c r="BI663" s="29"/>
      <c r="BJ663" s="29"/>
      <c r="BK663" s="29"/>
    </row>
    <row r="664" ht="15.75" hidden="1" customHeight="1">
      <c r="A664" s="75"/>
      <c r="B664" s="73"/>
      <c r="C664" s="76"/>
      <c r="D664" s="76"/>
      <c r="E664" s="76"/>
      <c r="F664" s="77"/>
      <c r="G664" s="78"/>
      <c r="H664" s="76"/>
      <c r="I664" s="76"/>
      <c r="J664" s="79"/>
      <c r="K664" s="80"/>
      <c r="L664" s="81"/>
      <c r="M664" s="81"/>
      <c r="N664" s="82"/>
      <c r="O664" s="83"/>
      <c r="P664" s="84"/>
      <c r="Q664" s="84"/>
      <c r="R664" s="81"/>
      <c r="S664" s="85"/>
      <c r="T664" s="86"/>
      <c r="U664" s="86"/>
      <c r="V664" s="87"/>
      <c r="W664" s="87"/>
      <c r="X664" s="87"/>
      <c r="Y664" s="87"/>
      <c r="Z664" s="87"/>
      <c r="AA664" s="87"/>
      <c r="AB664" s="29"/>
      <c r="AC664" s="94"/>
      <c r="AD664" s="94"/>
      <c r="AE664" s="89"/>
      <c r="AF664" s="89"/>
      <c r="AG664" s="89"/>
      <c r="AH664" s="89"/>
      <c r="AI664" s="90"/>
      <c r="AJ664" s="90"/>
      <c r="AK664" s="90"/>
      <c r="AL664" s="90"/>
      <c r="AM664" s="91"/>
      <c r="AN664" s="91"/>
      <c r="AO664" s="92"/>
      <c r="AP664" s="92"/>
      <c r="AQ664" s="92"/>
      <c r="AR664" s="92"/>
      <c r="AS664" s="93"/>
      <c r="AT664" s="93"/>
      <c r="AU664" s="93"/>
      <c r="AV664" s="93"/>
      <c r="AW664" s="93"/>
      <c r="AX664" s="92"/>
      <c r="AY664" s="92"/>
      <c r="AZ664" s="90"/>
      <c r="BA664" s="83"/>
      <c r="BB664" s="92"/>
      <c r="BC664" s="92"/>
      <c r="BD664" s="92"/>
      <c r="BE664" s="93"/>
      <c r="BF664" s="92"/>
      <c r="BG664" s="82"/>
      <c r="BH664" s="82"/>
      <c r="BI664" s="29"/>
      <c r="BJ664" s="29"/>
      <c r="BK664" s="29"/>
    </row>
    <row r="665" ht="15.75" hidden="1" customHeight="1">
      <c r="A665" s="75"/>
      <c r="B665" s="73"/>
      <c r="C665" s="76"/>
      <c r="D665" s="76"/>
      <c r="E665" s="76"/>
      <c r="F665" s="77"/>
      <c r="G665" s="78"/>
      <c r="H665" s="76"/>
      <c r="I665" s="76"/>
      <c r="J665" s="79"/>
      <c r="K665" s="80"/>
      <c r="L665" s="81"/>
      <c r="M665" s="81"/>
      <c r="N665" s="82"/>
      <c r="O665" s="83"/>
      <c r="P665" s="84"/>
      <c r="Q665" s="84"/>
      <c r="R665" s="81"/>
      <c r="S665" s="85"/>
      <c r="T665" s="86"/>
      <c r="U665" s="86"/>
      <c r="V665" s="87"/>
      <c r="W665" s="87"/>
      <c r="X665" s="87"/>
      <c r="Y665" s="87"/>
      <c r="Z665" s="87"/>
      <c r="AA665" s="87"/>
      <c r="AB665" s="29"/>
      <c r="AC665" s="94"/>
      <c r="AD665" s="94"/>
      <c r="AE665" s="89"/>
      <c r="AF665" s="89"/>
      <c r="AG665" s="89"/>
      <c r="AH665" s="89"/>
      <c r="AI665" s="90"/>
      <c r="AJ665" s="90"/>
      <c r="AK665" s="90"/>
      <c r="AL665" s="90"/>
      <c r="AM665" s="91"/>
      <c r="AN665" s="91"/>
      <c r="AO665" s="92"/>
      <c r="AP665" s="92"/>
      <c r="AQ665" s="92"/>
      <c r="AR665" s="92"/>
      <c r="AS665" s="93"/>
      <c r="AT665" s="93"/>
      <c r="AU665" s="93"/>
      <c r="AV665" s="93"/>
      <c r="AW665" s="93"/>
      <c r="AX665" s="92"/>
      <c r="AY665" s="92"/>
      <c r="AZ665" s="90"/>
      <c r="BA665" s="83"/>
      <c r="BB665" s="92"/>
      <c r="BC665" s="92"/>
      <c r="BD665" s="92"/>
      <c r="BE665" s="93"/>
      <c r="BF665" s="92"/>
      <c r="BG665" s="82"/>
      <c r="BH665" s="82"/>
      <c r="BI665" s="29"/>
      <c r="BJ665" s="29"/>
      <c r="BK665" s="29"/>
    </row>
    <row r="666" ht="15.75" hidden="1" customHeight="1">
      <c r="A666" s="75"/>
      <c r="B666" s="73"/>
      <c r="C666" s="76"/>
      <c r="D666" s="76"/>
      <c r="E666" s="76"/>
      <c r="F666" s="77"/>
      <c r="G666" s="78"/>
      <c r="H666" s="76"/>
      <c r="I666" s="76"/>
      <c r="J666" s="79"/>
      <c r="K666" s="80"/>
      <c r="L666" s="81"/>
      <c r="M666" s="81"/>
      <c r="N666" s="82"/>
      <c r="O666" s="83"/>
      <c r="P666" s="84"/>
      <c r="Q666" s="84"/>
      <c r="R666" s="81"/>
      <c r="S666" s="85"/>
      <c r="T666" s="86"/>
      <c r="U666" s="86"/>
      <c r="V666" s="87"/>
      <c r="W666" s="87"/>
      <c r="X666" s="87"/>
      <c r="Y666" s="87"/>
      <c r="Z666" s="87"/>
      <c r="AA666" s="87"/>
      <c r="AB666" s="29"/>
      <c r="AC666" s="94"/>
      <c r="AD666" s="94"/>
      <c r="AE666" s="89"/>
      <c r="AF666" s="89"/>
      <c r="AG666" s="89"/>
      <c r="AH666" s="89"/>
      <c r="AI666" s="90"/>
      <c r="AJ666" s="90"/>
      <c r="AK666" s="90"/>
      <c r="AL666" s="90"/>
      <c r="AM666" s="91"/>
      <c r="AN666" s="91"/>
      <c r="AO666" s="92"/>
      <c r="AP666" s="92"/>
      <c r="AQ666" s="92"/>
      <c r="AR666" s="92"/>
      <c r="AS666" s="93"/>
      <c r="AT666" s="93"/>
      <c r="AU666" s="93"/>
      <c r="AV666" s="93"/>
      <c r="AW666" s="93"/>
      <c r="AX666" s="92"/>
      <c r="AY666" s="92"/>
      <c r="AZ666" s="90"/>
      <c r="BA666" s="83"/>
      <c r="BB666" s="92"/>
      <c r="BC666" s="92"/>
      <c r="BD666" s="92"/>
      <c r="BE666" s="93"/>
      <c r="BF666" s="92"/>
      <c r="BG666" s="82"/>
      <c r="BH666" s="82"/>
      <c r="BI666" s="29"/>
      <c r="BJ666" s="29"/>
      <c r="BK666" s="29"/>
    </row>
    <row r="667" ht="15.75" hidden="1" customHeight="1">
      <c r="A667" s="75"/>
      <c r="B667" s="73"/>
      <c r="C667" s="76"/>
      <c r="D667" s="76"/>
      <c r="E667" s="76"/>
      <c r="F667" s="77"/>
      <c r="G667" s="78"/>
      <c r="H667" s="76"/>
      <c r="I667" s="76"/>
      <c r="J667" s="79"/>
      <c r="K667" s="80"/>
      <c r="L667" s="81"/>
      <c r="M667" s="81"/>
      <c r="N667" s="82"/>
      <c r="O667" s="83"/>
      <c r="P667" s="84"/>
      <c r="Q667" s="84"/>
      <c r="R667" s="81"/>
      <c r="S667" s="85"/>
      <c r="T667" s="86"/>
      <c r="U667" s="86"/>
      <c r="V667" s="87"/>
      <c r="W667" s="87"/>
      <c r="X667" s="87"/>
      <c r="Y667" s="87"/>
      <c r="Z667" s="87"/>
      <c r="AA667" s="87"/>
      <c r="AB667" s="29"/>
      <c r="AC667" s="94"/>
      <c r="AD667" s="94"/>
      <c r="AE667" s="89"/>
      <c r="AF667" s="89"/>
      <c r="AG667" s="89"/>
      <c r="AH667" s="89"/>
      <c r="AI667" s="90"/>
      <c r="AJ667" s="90"/>
      <c r="AK667" s="90"/>
      <c r="AL667" s="90"/>
      <c r="AM667" s="91"/>
      <c r="AN667" s="91"/>
      <c r="AO667" s="92"/>
      <c r="AP667" s="92"/>
      <c r="AQ667" s="92"/>
      <c r="AR667" s="92"/>
      <c r="AS667" s="93"/>
      <c r="AT667" s="93"/>
      <c r="AU667" s="93"/>
      <c r="AV667" s="93"/>
      <c r="AW667" s="93"/>
      <c r="AX667" s="92"/>
      <c r="AY667" s="92"/>
      <c r="AZ667" s="90"/>
      <c r="BA667" s="83"/>
      <c r="BB667" s="92"/>
      <c r="BC667" s="92"/>
      <c r="BD667" s="92"/>
      <c r="BE667" s="93"/>
      <c r="BF667" s="92"/>
      <c r="BG667" s="82"/>
      <c r="BH667" s="82"/>
      <c r="BI667" s="29"/>
      <c r="BJ667" s="29"/>
      <c r="BK667" s="29"/>
    </row>
    <row r="668" ht="15.75" hidden="1" customHeight="1">
      <c r="A668" s="75"/>
      <c r="B668" s="73"/>
      <c r="C668" s="76"/>
      <c r="D668" s="76"/>
      <c r="E668" s="76"/>
      <c r="F668" s="77"/>
      <c r="G668" s="78"/>
      <c r="H668" s="76"/>
      <c r="I668" s="76"/>
      <c r="J668" s="79"/>
      <c r="K668" s="80"/>
      <c r="L668" s="81"/>
      <c r="M668" s="81"/>
      <c r="N668" s="82"/>
      <c r="O668" s="83"/>
      <c r="P668" s="84"/>
      <c r="Q668" s="84"/>
      <c r="R668" s="81"/>
      <c r="S668" s="85"/>
      <c r="T668" s="86"/>
      <c r="U668" s="86"/>
      <c r="V668" s="87"/>
      <c r="W668" s="87"/>
      <c r="X668" s="87"/>
      <c r="Y668" s="87"/>
      <c r="Z668" s="87"/>
      <c r="AA668" s="87"/>
      <c r="AB668" s="29"/>
      <c r="AC668" s="94"/>
      <c r="AD668" s="94"/>
      <c r="AE668" s="89"/>
      <c r="AF668" s="89"/>
      <c r="AG668" s="89"/>
      <c r="AH668" s="89"/>
      <c r="AI668" s="90"/>
      <c r="AJ668" s="90"/>
      <c r="AK668" s="90"/>
      <c r="AL668" s="90"/>
      <c r="AM668" s="91"/>
      <c r="AN668" s="91"/>
      <c r="AO668" s="92"/>
      <c r="AP668" s="92"/>
      <c r="AQ668" s="92"/>
      <c r="AR668" s="92"/>
      <c r="AS668" s="93"/>
      <c r="AT668" s="93"/>
      <c r="AU668" s="93"/>
      <c r="AV668" s="93"/>
      <c r="AW668" s="93"/>
      <c r="AX668" s="92"/>
      <c r="AY668" s="92"/>
      <c r="AZ668" s="90"/>
      <c r="BA668" s="83"/>
      <c r="BB668" s="92"/>
      <c r="BC668" s="92"/>
      <c r="BD668" s="92"/>
      <c r="BE668" s="93"/>
      <c r="BF668" s="92"/>
      <c r="BG668" s="82"/>
      <c r="BH668" s="82"/>
      <c r="BI668" s="29"/>
      <c r="BJ668" s="29"/>
      <c r="BK668" s="29"/>
    </row>
    <row r="669" ht="15.75" hidden="1" customHeight="1">
      <c r="A669" s="75"/>
      <c r="B669" s="73"/>
      <c r="C669" s="76"/>
      <c r="D669" s="76"/>
      <c r="E669" s="76"/>
      <c r="F669" s="77"/>
      <c r="G669" s="78"/>
      <c r="H669" s="76"/>
      <c r="I669" s="76"/>
      <c r="J669" s="79"/>
      <c r="K669" s="80"/>
      <c r="L669" s="81"/>
      <c r="M669" s="81"/>
      <c r="N669" s="82"/>
      <c r="O669" s="83"/>
      <c r="P669" s="84"/>
      <c r="Q669" s="84"/>
      <c r="R669" s="81"/>
      <c r="S669" s="85"/>
      <c r="T669" s="86"/>
      <c r="U669" s="86"/>
      <c r="V669" s="87"/>
      <c r="W669" s="87"/>
      <c r="X669" s="87"/>
      <c r="Y669" s="87"/>
      <c r="Z669" s="87"/>
      <c r="AA669" s="87"/>
      <c r="AB669" s="29"/>
      <c r="AC669" s="94"/>
      <c r="AD669" s="94"/>
      <c r="AE669" s="89"/>
      <c r="AF669" s="89"/>
      <c r="AG669" s="89"/>
      <c r="AH669" s="89"/>
      <c r="AI669" s="90"/>
      <c r="AJ669" s="90"/>
      <c r="AK669" s="90"/>
      <c r="AL669" s="90"/>
      <c r="AM669" s="91"/>
      <c r="AN669" s="91"/>
      <c r="AO669" s="92"/>
      <c r="AP669" s="92"/>
      <c r="AQ669" s="92"/>
      <c r="AR669" s="92"/>
      <c r="AS669" s="93"/>
      <c r="AT669" s="93"/>
      <c r="AU669" s="93"/>
      <c r="AV669" s="93"/>
      <c r="AW669" s="93"/>
      <c r="AX669" s="92"/>
      <c r="AY669" s="92"/>
      <c r="AZ669" s="90"/>
      <c r="BA669" s="83"/>
      <c r="BB669" s="92"/>
      <c r="BC669" s="92"/>
      <c r="BD669" s="92"/>
      <c r="BE669" s="93"/>
      <c r="BF669" s="92"/>
      <c r="BG669" s="82"/>
      <c r="BH669" s="82"/>
      <c r="BI669" s="29"/>
      <c r="BJ669" s="29"/>
      <c r="BK669" s="29"/>
    </row>
    <row r="670" ht="15.75" hidden="1" customHeight="1">
      <c r="A670" s="75"/>
      <c r="B670" s="73"/>
      <c r="C670" s="76"/>
      <c r="D670" s="76"/>
      <c r="E670" s="76"/>
      <c r="F670" s="77"/>
      <c r="G670" s="78"/>
      <c r="H670" s="76"/>
      <c r="I670" s="76"/>
      <c r="J670" s="79"/>
      <c r="K670" s="80"/>
      <c r="L670" s="81"/>
      <c r="M670" s="81"/>
      <c r="N670" s="82"/>
      <c r="O670" s="83"/>
      <c r="P670" s="84"/>
      <c r="Q670" s="84"/>
      <c r="R670" s="81"/>
      <c r="S670" s="85"/>
      <c r="T670" s="86"/>
      <c r="U670" s="86"/>
      <c r="V670" s="87"/>
      <c r="W670" s="87"/>
      <c r="X670" s="87"/>
      <c r="Y670" s="87"/>
      <c r="Z670" s="87"/>
      <c r="AA670" s="87"/>
      <c r="AB670" s="29"/>
      <c r="AC670" s="94"/>
      <c r="AD670" s="94"/>
      <c r="AE670" s="89"/>
      <c r="AF670" s="89"/>
      <c r="AG670" s="89"/>
      <c r="AH670" s="89"/>
      <c r="AI670" s="90"/>
      <c r="AJ670" s="90"/>
      <c r="AK670" s="90"/>
      <c r="AL670" s="90"/>
      <c r="AM670" s="91"/>
      <c r="AN670" s="91"/>
      <c r="AO670" s="92"/>
      <c r="AP670" s="92"/>
      <c r="AQ670" s="92"/>
      <c r="AR670" s="92"/>
      <c r="AS670" s="93"/>
      <c r="AT670" s="93"/>
      <c r="AU670" s="93"/>
      <c r="AV670" s="93"/>
      <c r="AW670" s="93"/>
      <c r="AX670" s="92"/>
      <c r="AY670" s="92"/>
      <c r="AZ670" s="90"/>
      <c r="BA670" s="83"/>
      <c r="BB670" s="92"/>
      <c r="BC670" s="92"/>
      <c r="BD670" s="92"/>
      <c r="BE670" s="93"/>
      <c r="BF670" s="92"/>
      <c r="BG670" s="82"/>
      <c r="BH670" s="82"/>
      <c r="BI670" s="29"/>
      <c r="BJ670" s="29"/>
      <c r="BK670" s="29"/>
    </row>
    <row r="671" ht="15.75" hidden="1" customHeight="1">
      <c r="A671" s="75"/>
      <c r="B671" s="73"/>
      <c r="C671" s="76"/>
      <c r="D671" s="76"/>
      <c r="E671" s="76"/>
      <c r="F671" s="77"/>
      <c r="G671" s="78"/>
      <c r="H671" s="76"/>
      <c r="I671" s="76"/>
      <c r="J671" s="79"/>
      <c r="K671" s="80"/>
      <c r="L671" s="81"/>
      <c r="M671" s="81"/>
      <c r="N671" s="82"/>
      <c r="O671" s="83"/>
      <c r="P671" s="84"/>
      <c r="Q671" s="84"/>
      <c r="R671" s="81"/>
      <c r="S671" s="85"/>
      <c r="T671" s="86"/>
      <c r="U671" s="86"/>
      <c r="V671" s="87"/>
      <c r="W671" s="87"/>
      <c r="X671" s="87"/>
      <c r="Y671" s="87"/>
      <c r="Z671" s="87"/>
      <c r="AA671" s="87"/>
      <c r="AB671" s="29"/>
      <c r="AC671" s="94"/>
      <c r="AD671" s="94"/>
      <c r="AE671" s="89"/>
      <c r="AF671" s="89"/>
      <c r="AG671" s="89"/>
      <c r="AH671" s="89"/>
      <c r="AI671" s="90"/>
      <c r="AJ671" s="90"/>
      <c r="AK671" s="90"/>
      <c r="AL671" s="90"/>
      <c r="AM671" s="91"/>
      <c r="AN671" s="91"/>
      <c r="AO671" s="92"/>
      <c r="AP671" s="92"/>
      <c r="AQ671" s="92"/>
      <c r="AR671" s="92"/>
      <c r="AS671" s="93"/>
      <c r="AT671" s="93"/>
      <c r="AU671" s="93"/>
      <c r="AV671" s="93"/>
      <c r="AW671" s="93"/>
      <c r="AX671" s="92"/>
      <c r="AY671" s="92"/>
      <c r="AZ671" s="90"/>
      <c r="BA671" s="83"/>
      <c r="BB671" s="92"/>
      <c r="BC671" s="92"/>
      <c r="BD671" s="92"/>
      <c r="BE671" s="93"/>
      <c r="BF671" s="92"/>
      <c r="BG671" s="82"/>
      <c r="BH671" s="82"/>
      <c r="BI671" s="29"/>
      <c r="BJ671" s="29"/>
      <c r="BK671" s="29"/>
    </row>
    <row r="672" ht="15.75" hidden="1" customHeight="1">
      <c r="A672" s="75"/>
      <c r="B672" s="73"/>
      <c r="C672" s="76"/>
      <c r="D672" s="76"/>
      <c r="E672" s="76"/>
      <c r="F672" s="77"/>
      <c r="G672" s="78"/>
      <c r="H672" s="76"/>
      <c r="I672" s="76"/>
      <c r="J672" s="79"/>
      <c r="K672" s="80"/>
      <c r="L672" s="81"/>
      <c r="M672" s="81"/>
      <c r="N672" s="82"/>
      <c r="O672" s="83"/>
      <c r="P672" s="84"/>
      <c r="Q672" s="84"/>
      <c r="R672" s="81"/>
      <c r="S672" s="85"/>
      <c r="T672" s="86"/>
      <c r="U672" s="86"/>
      <c r="V672" s="87"/>
      <c r="W672" s="87"/>
      <c r="X672" s="87"/>
      <c r="Y672" s="87"/>
      <c r="Z672" s="87"/>
      <c r="AA672" s="87"/>
      <c r="AB672" s="29"/>
      <c r="AC672" s="94"/>
      <c r="AD672" s="94"/>
      <c r="AE672" s="89"/>
      <c r="AF672" s="89"/>
      <c r="AG672" s="89"/>
      <c r="AH672" s="89"/>
      <c r="AI672" s="90"/>
      <c r="AJ672" s="90"/>
      <c r="AK672" s="90"/>
      <c r="AL672" s="90"/>
      <c r="AM672" s="91"/>
      <c r="AN672" s="91"/>
      <c r="AO672" s="92"/>
      <c r="AP672" s="92"/>
      <c r="AQ672" s="92"/>
      <c r="AR672" s="92"/>
      <c r="AS672" s="93"/>
      <c r="AT672" s="93"/>
      <c r="AU672" s="93"/>
      <c r="AV672" s="93"/>
      <c r="AW672" s="93"/>
      <c r="AX672" s="92"/>
      <c r="AY672" s="92"/>
      <c r="AZ672" s="90"/>
      <c r="BA672" s="83"/>
      <c r="BB672" s="92"/>
      <c r="BC672" s="92"/>
      <c r="BD672" s="92"/>
      <c r="BE672" s="93"/>
      <c r="BF672" s="92"/>
      <c r="BG672" s="82"/>
      <c r="BH672" s="82"/>
      <c r="BI672" s="29"/>
      <c r="BJ672" s="29"/>
      <c r="BK672" s="29"/>
    </row>
    <row r="673" ht="15.75" hidden="1" customHeight="1">
      <c r="A673" s="75"/>
      <c r="B673" s="73"/>
      <c r="C673" s="76"/>
      <c r="D673" s="76"/>
      <c r="E673" s="76"/>
      <c r="F673" s="77"/>
      <c r="G673" s="78"/>
      <c r="H673" s="76"/>
      <c r="I673" s="76"/>
      <c r="J673" s="79"/>
      <c r="K673" s="80"/>
      <c r="L673" s="81"/>
      <c r="M673" s="81"/>
      <c r="N673" s="82"/>
      <c r="O673" s="83"/>
      <c r="P673" s="84"/>
      <c r="Q673" s="84"/>
      <c r="R673" s="81"/>
      <c r="S673" s="85"/>
      <c r="T673" s="86"/>
      <c r="U673" s="86"/>
      <c r="V673" s="87"/>
      <c r="W673" s="87"/>
      <c r="X673" s="87"/>
      <c r="Y673" s="87"/>
      <c r="Z673" s="87"/>
      <c r="AA673" s="87"/>
      <c r="AB673" s="29"/>
      <c r="AC673" s="94"/>
      <c r="AD673" s="94"/>
      <c r="AE673" s="89"/>
      <c r="AF673" s="89"/>
      <c r="AG673" s="89"/>
      <c r="AH673" s="89"/>
      <c r="AI673" s="90"/>
      <c r="AJ673" s="90"/>
      <c r="AK673" s="90"/>
      <c r="AL673" s="90"/>
      <c r="AM673" s="91"/>
      <c r="AN673" s="91"/>
      <c r="AO673" s="92"/>
      <c r="AP673" s="92"/>
      <c r="AQ673" s="92"/>
      <c r="AR673" s="92"/>
      <c r="AS673" s="93"/>
      <c r="AT673" s="93"/>
      <c r="AU673" s="93"/>
      <c r="AV673" s="93"/>
      <c r="AW673" s="93"/>
      <c r="AX673" s="92"/>
      <c r="AY673" s="92"/>
      <c r="AZ673" s="90"/>
      <c r="BA673" s="83"/>
      <c r="BB673" s="92"/>
      <c r="BC673" s="92"/>
      <c r="BD673" s="92"/>
      <c r="BE673" s="93"/>
      <c r="BF673" s="92"/>
      <c r="BG673" s="82"/>
      <c r="BH673" s="82"/>
      <c r="BI673" s="29"/>
      <c r="BJ673" s="29"/>
      <c r="BK673" s="29"/>
    </row>
    <row r="674" ht="15.75" hidden="1" customHeight="1">
      <c r="A674" s="75"/>
      <c r="B674" s="73"/>
      <c r="C674" s="76"/>
      <c r="D674" s="76"/>
      <c r="E674" s="76"/>
      <c r="F674" s="77"/>
      <c r="G674" s="78"/>
      <c r="H674" s="76"/>
      <c r="I674" s="76"/>
      <c r="J674" s="79"/>
      <c r="K674" s="80"/>
      <c r="L674" s="81"/>
      <c r="M674" s="81"/>
      <c r="N674" s="82"/>
      <c r="O674" s="83"/>
      <c r="P674" s="84"/>
      <c r="Q674" s="84"/>
      <c r="R674" s="81"/>
      <c r="S674" s="85"/>
      <c r="T674" s="86"/>
      <c r="U674" s="86"/>
      <c r="V674" s="87"/>
      <c r="W674" s="87"/>
      <c r="X674" s="87"/>
      <c r="Y674" s="87"/>
      <c r="Z674" s="87"/>
      <c r="AA674" s="87"/>
      <c r="AB674" s="29"/>
      <c r="AC674" s="94"/>
      <c r="AD674" s="94"/>
      <c r="AE674" s="89"/>
      <c r="AF674" s="89"/>
      <c r="AG674" s="89"/>
      <c r="AH674" s="89"/>
      <c r="AI674" s="90"/>
      <c r="AJ674" s="90"/>
      <c r="AK674" s="90"/>
      <c r="AL674" s="90"/>
      <c r="AM674" s="91"/>
      <c r="AN674" s="91"/>
      <c r="AO674" s="92"/>
      <c r="AP674" s="92"/>
      <c r="AQ674" s="92"/>
      <c r="AR674" s="92"/>
      <c r="AS674" s="93"/>
      <c r="AT674" s="93"/>
      <c r="AU674" s="93"/>
      <c r="AV674" s="93"/>
      <c r="AW674" s="93"/>
      <c r="AX674" s="92"/>
      <c r="AY674" s="92"/>
      <c r="AZ674" s="90"/>
      <c r="BA674" s="83"/>
      <c r="BB674" s="92"/>
      <c r="BC674" s="92"/>
      <c r="BD674" s="92"/>
      <c r="BE674" s="93"/>
      <c r="BF674" s="92"/>
      <c r="BG674" s="82"/>
      <c r="BH674" s="82"/>
      <c r="BI674" s="29"/>
      <c r="BJ674" s="29"/>
      <c r="BK674" s="29"/>
    </row>
    <row r="675" ht="15.75" hidden="1" customHeight="1">
      <c r="A675" s="75"/>
      <c r="B675" s="73"/>
      <c r="C675" s="76"/>
      <c r="D675" s="76"/>
      <c r="E675" s="76"/>
      <c r="F675" s="77"/>
      <c r="G675" s="78"/>
      <c r="H675" s="76"/>
      <c r="I675" s="76"/>
      <c r="J675" s="79"/>
      <c r="K675" s="80"/>
      <c r="L675" s="81"/>
      <c r="M675" s="81"/>
      <c r="N675" s="82"/>
      <c r="O675" s="83"/>
      <c r="P675" s="84"/>
      <c r="Q675" s="84"/>
      <c r="R675" s="81"/>
      <c r="S675" s="85"/>
      <c r="T675" s="86"/>
      <c r="U675" s="86"/>
      <c r="V675" s="87"/>
      <c r="W675" s="87"/>
      <c r="X675" s="87"/>
      <c r="Y675" s="87"/>
      <c r="Z675" s="87"/>
      <c r="AA675" s="87"/>
      <c r="AB675" s="29"/>
      <c r="AC675" s="94"/>
      <c r="AD675" s="94"/>
      <c r="AE675" s="89"/>
      <c r="AF675" s="89"/>
      <c r="AG675" s="89"/>
      <c r="AH675" s="89"/>
      <c r="AI675" s="90"/>
      <c r="AJ675" s="90"/>
      <c r="AK675" s="90"/>
      <c r="AL675" s="90"/>
      <c r="AM675" s="91"/>
      <c r="AN675" s="91"/>
      <c r="AO675" s="92"/>
      <c r="AP675" s="92"/>
      <c r="AQ675" s="92"/>
      <c r="AR675" s="92"/>
      <c r="AS675" s="93"/>
      <c r="AT675" s="93"/>
      <c r="AU675" s="93"/>
      <c r="AV675" s="93"/>
      <c r="AW675" s="93"/>
      <c r="AX675" s="92"/>
      <c r="AY675" s="92"/>
      <c r="AZ675" s="90"/>
      <c r="BA675" s="83"/>
      <c r="BB675" s="92"/>
      <c r="BC675" s="92"/>
      <c r="BD675" s="92"/>
      <c r="BE675" s="93"/>
      <c r="BF675" s="92"/>
      <c r="BG675" s="82"/>
      <c r="BH675" s="82"/>
      <c r="BI675" s="29"/>
      <c r="BJ675" s="29"/>
      <c r="BK675" s="29"/>
    </row>
    <row r="676" ht="15.75" hidden="1" customHeight="1">
      <c r="A676" s="75"/>
      <c r="B676" s="73"/>
      <c r="C676" s="76"/>
      <c r="D676" s="76"/>
      <c r="E676" s="76"/>
      <c r="F676" s="77"/>
      <c r="G676" s="78"/>
      <c r="H676" s="76"/>
      <c r="I676" s="76"/>
      <c r="J676" s="79"/>
      <c r="K676" s="80"/>
      <c r="L676" s="81"/>
      <c r="M676" s="81"/>
      <c r="N676" s="82"/>
      <c r="O676" s="83"/>
      <c r="P676" s="84"/>
      <c r="Q676" s="84"/>
      <c r="R676" s="81"/>
      <c r="S676" s="85"/>
      <c r="T676" s="86"/>
      <c r="U676" s="86"/>
      <c r="V676" s="87"/>
      <c r="W676" s="87"/>
      <c r="X676" s="87"/>
      <c r="Y676" s="87"/>
      <c r="Z676" s="87"/>
      <c r="AA676" s="87"/>
      <c r="AB676" s="29"/>
      <c r="AC676" s="94"/>
      <c r="AD676" s="94"/>
      <c r="AE676" s="89"/>
      <c r="AF676" s="89"/>
      <c r="AG676" s="89"/>
      <c r="AH676" s="89"/>
      <c r="AI676" s="90"/>
      <c r="AJ676" s="90"/>
      <c r="AK676" s="90"/>
      <c r="AL676" s="90"/>
      <c r="AM676" s="91"/>
      <c r="AN676" s="91"/>
      <c r="AO676" s="92"/>
      <c r="AP676" s="92"/>
      <c r="AQ676" s="92"/>
      <c r="AR676" s="92"/>
      <c r="AS676" s="93"/>
      <c r="AT676" s="93"/>
      <c r="AU676" s="93"/>
      <c r="AV676" s="93"/>
      <c r="AW676" s="93"/>
      <c r="AX676" s="92"/>
      <c r="AY676" s="92"/>
      <c r="AZ676" s="90"/>
      <c r="BA676" s="83"/>
      <c r="BB676" s="92"/>
      <c r="BC676" s="92"/>
      <c r="BD676" s="92"/>
      <c r="BE676" s="93"/>
      <c r="BF676" s="92"/>
      <c r="BG676" s="82"/>
      <c r="BH676" s="82"/>
      <c r="BI676" s="29"/>
      <c r="BJ676" s="29"/>
      <c r="BK676" s="29"/>
    </row>
    <row r="677" ht="15.75" hidden="1" customHeight="1">
      <c r="A677" s="75"/>
      <c r="B677" s="73"/>
      <c r="C677" s="76"/>
      <c r="D677" s="76"/>
      <c r="E677" s="76"/>
      <c r="F677" s="77"/>
      <c r="G677" s="78"/>
      <c r="H677" s="76"/>
      <c r="I677" s="76"/>
      <c r="J677" s="79"/>
      <c r="K677" s="80"/>
      <c r="L677" s="81"/>
      <c r="M677" s="81"/>
      <c r="N677" s="82"/>
      <c r="O677" s="83"/>
      <c r="P677" s="84"/>
      <c r="Q677" s="84"/>
      <c r="R677" s="81"/>
      <c r="S677" s="85"/>
      <c r="T677" s="86"/>
      <c r="U677" s="86"/>
      <c r="V677" s="87"/>
      <c r="W677" s="87"/>
      <c r="X677" s="87"/>
      <c r="Y677" s="87"/>
      <c r="Z677" s="87"/>
      <c r="AA677" s="87"/>
      <c r="AB677" s="29"/>
      <c r="AC677" s="94"/>
      <c r="AD677" s="94"/>
      <c r="AE677" s="89"/>
      <c r="AF677" s="89"/>
      <c r="AG677" s="89"/>
      <c r="AH677" s="89"/>
      <c r="AI677" s="90"/>
      <c r="AJ677" s="90"/>
      <c r="AK677" s="90"/>
      <c r="AL677" s="90"/>
      <c r="AM677" s="91"/>
      <c r="AN677" s="91"/>
      <c r="AO677" s="92"/>
      <c r="AP677" s="92"/>
      <c r="AQ677" s="92"/>
      <c r="AR677" s="92"/>
      <c r="AS677" s="93"/>
      <c r="AT677" s="93"/>
      <c r="AU677" s="93"/>
      <c r="AV677" s="93"/>
      <c r="AW677" s="93"/>
      <c r="AX677" s="92"/>
      <c r="AY677" s="92"/>
      <c r="AZ677" s="90"/>
      <c r="BA677" s="83"/>
      <c r="BB677" s="92"/>
      <c r="BC677" s="92"/>
      <c r="BD677" s="92"/>
      <c r="BE677" s="93"/>
      <c r="BF677" s="92"/>
      <c r="BG677" s="82"/>
      <c r="BH677" s="82"/>
      <c r="BI677" s="29"/>
      <c r="BJ677" s="29"/>
      <c r="BK677" s="29"/>
    </row>
    <row r="678" ht="15.75" hidden="1" customHeight="1">
      <c r="A678" s="75"/>
      <c r="B678" s="73"/>
      <c r="C678" s="76"/>
      <c r="D678" s="76"/>
      <c r="E678" s="76"/>
      <c r="F678" s="77"/>
      <c r="G678" s="78"/>
      <c r="H678" s="76"/>
      <c r="I678" s="76"/>
      <c r="J678" s="79"/>
      <c r="K678" s="80"/>
      <c r="L678" s="81"/>
      <c r="M678" s="81"/>
      <c r="N678" s="82"/>
      <c r="O678" s="83"/>
      <c r="P678" s="84"/>
      <c r="Q678" s="84"/>
      <c r="R678" s="81"/>
      <c r="S678" s="85"/>
      <c r="T678" s="86"/>
      <c r="U678" s="86"/>
      <c r="V678" s="87"/>
      <c r="W678" s="87"/>
      <c r="X678" s="87"/>
      <c r="Y678" s="87"/>
      <c r="Z678" s="87"/>
      <c r="AA678" s="87"/>
      <c r="AB678" s="29"/>
      <c r="AC678" s="94"/>
      <c r="AD678" s="94"/>
      <c r="AE678" s="89"/>
      <c r="AF678" s="89"/>
      <c r="AG678" s="89"/>
      <c r="AH678" s="89"/>
      <c r="AI678" s="90"/>
      <c r="AJ678" s="90"/>
      <c r="AK678" s="90"/>
      <c r="AL678" s="90"/>
      <c r="AM678" s="91"/>
      <c r="AN678" s="91"/>
      <c r="AO678" s="92"/>
      <c r="AP678" s="92"/>
      <c r="AQ678" s="92"/>
      <c r="AR678" s="92"/>
      <c r="AS678" s="93"/>
      <c r="AT678" s="93"/>
      <c r="AU678" s="93"/>
      <c r="AV678" s="93"/>
      <c r="AW678" s="93"/>
      <c r="AX678" s="92"/>
      <c r="AY678" s="92"/>
      <c r="AZ678" s="90"/>
      <c r="BA678" s="83"/>
      <c r="BB678" s="92"/>
      <c r="BC678" s="92"/>
      <c r="BD678" s="92"/>
      <c r="BE678" s="93"/>
      <c r="BF678" s="92"/>
      <c r="BG678" s="82"/>
      <c r="BH678" s="82"/>
      <c r="BI678" s="29"/>
      <c r="BJ678" s="29"/>
      <c r="BK678" s="29"/>
    </row>
    <row r="679" ht="15.75" hidden="1" customHeight="1">
      <c r="A679" s="75"/>
      <c r="B679" s="73"/>
      <c r="C679" s="76"/>
      <c r="D679" s="76"/>
      <c r="E679" s="76"/>
      <c r="F679" s="77"/>
      <c r="G679" s="78"/>
      <c r="H679" s="76"/>
      <c r="I679" s="76"/>
      <c r="J679" s="79"/>
      <c r="K679" s="80"/>
      <c r="L679" s="81"/>
      <c r="M679" s="81"/>
      <c r="N679" s="82"/>
      <c r="O679" s="83"/>
      <c r="P679" s="84"/>
      <c r="Q679" s="84"/>
      <c r="R679" s="81"/>
      <c r="S679" s="85"/>
      <c r="T679" s="86"/>
      <c r="U679" s="86"/>
      <c r="V679" s="87"/>
      <c r="W679" s="87"/>
      <c r="X679" s="87"/>
      <c r="Y679" s="87"/>
      <c r="Z679" s="87"/>
      <c r="AA679" s="87"/>
      <c r="AB679" s="29"/>
      <c r="AC679" s="94"/>
      <c r="AD679" s="94"/>
      <c r="AE679" s="89"/>
      <c r="AF679" s="89"/>
      <c r="AG679" s="89"/>
      <c r="AH679" s="89"/>
      <c r="AI679" s="90"/>
      <c r="AJ679" s="90"/>
      <c r="AK679" s="90"/>
      <c r="AL679" s="90"/>
      <c r="AM679" s="91"/>
      <c r="AN679" s="91"/>
      <c r="AO679" s="92"/>
      <c r="AP679" s="92"/>
      <c r="AQ679" s="92"/>
      <c r="AR679" s="92"/>
      <c r="AS679" s="93"/>
      <c r="AT679" s="93"/>
      <c r="AU679" s="93"/>
      <c r="AV679" s="93"/>
      <c r="AW679" s="93"/>
      <c r="AX679" s="92"/>
      <c r="AY679" s="92"/>
      <c r="AZ679" s="90"/>
      <c r="BA679" s="83"/>
      <c r="BB679" s="92"/>
      <c r="BC679" s="92"/>
      <c r="BD679" s="92"/>
      <c r="BE679" s="93"/>
      <c r="BF679" s="92"/>
      <c r="BG679" s="82"/>
      <c r="BH679" s="82"/>
      <c r="BI679" s="29"/>
      <c r="BJ679" s="29"/>
      <c r="BK679" s="29"/>
    </row>
    <row r="680" ht="15.75" hidden="1" customHeight="1">
      <c r="A680" s="75"/>
      <c r="B680" s="73"/>
      <c r="C680" s="76"/>
      <c r="D680" s="76"/>
      <c r="E680" s="76"/>
      <c r="F680" s="77"/>
      <c r="G680" s="78"/>
      <c r="H680" s="76"/>
      <c r="I680" s="76"/>
      <c r="J680" s="79"/>
      <c r="K680" s="80"/>
      <c r="L680" s="81"/>
      <c r="M680" s="81"/>
      <c r="N680" s="82"/>
      <c r="O680" s="83"/>
      <c r="P680" s="84"/>
      <c r="Q680" s="84"/>
      <c r="R680" s="81"/>
      <c r="S680" s="85"/>
      <c r="T680" s="86"/>
      <c r="U680" s="86"/>
      <c r="V680" s="87"/>
      <c r="W680" s="87"/>
      <c r="X680" s="87"/>
      <c r="Y680" s="87"/>
      <c r="Z680" s="87"/>
      <c r="AA680" s="87"/>
      <c r="AB680" s="29"/>
      <c r="AC680" s="94"/>
      <c r="AD680" s="94"/>
      <c r="AE680" s="89"/>
      <c r="AF680" s="89"/>
      <c r="AG680" s="89"/>
      <c r="AH680" s="89"/>
      <c r="AI680" s="90"/>
      <c r="AJ680" s="90"/>
      <c r="AK680" s="90"/>
      <c r="AL680" s="90"/>
      <c r="AM680" s="91"/>
      <c r="AN680" s="91"/>
      <c r="AO680" s="92"/>
      <c r="AP680" s="92"/>
      <c r="AQ680" s="92"/>
      <c r="AR680" s="92"/>
      <c r="AS680" s="93"/>
      <c r="AT680" s="93"/>
      <c r="AU680" s="93"/>
      <c r="AV680" s="93"/>
      <c r="AW680" s="93"/>
      <c r="AX680" s="92"/>
      <c r="AY680" s="92"/>
      <c r="AZ680" s="90"/>
      <c r="BA680" s="83"/>
      <c r="BB680" s="92"/>
      <c r="BC680" s="92"/>
      <c r="BD680" s="92"/>
      <c r="BE680" s="93"/>
      <c r="BF680" s="92"/>
      <c r="BG680" s="82"/>
      <c r="BH680" s="82"/>
      <c r="BI680" s="29"/>
      <c r="BJ680" s="29"/>
      <c r="BK680" s="29"/>
    </row>
    <row r="681" ht="15.75" hidden="1" customHeight="1">
      <c r="A681" s="75"/>
      <c r="B681" s="73"/>
      <c r="C681" s="76"/>
      <c r="D681" s="76"/>
      <c r="E681" s="76"/>
      <c r="F681" s="77"/>
      <c r="G681" s="78"/>
      <c r="H681" s="76"/>
      <c r="I681" s="76"/>
      <c r="J681" s="79"/>
      <c r="K681" s="80"/>
      <c r="L681" s="81"/>
      <c r="M681" s="81"/>
      <c r="N681" s="82"/>
      <c r="O681" s="83"/>
      <c r="P681" s="84"/>
      <c r="Q681" s="84"/>
      <c r="R681" s="81"/>
      <c r="S681" s="85"/>
      <c r="T681" s="86"/>
      <c r="U681" s="86"/>
      <c r="V681" s="87"/>
      <c r="W681" s="87"/>
      <c r="X681" s="87"/>
      <c r="Y681" s="87"/>
      <c r="Z681" s="87"/>
      <c r="AA681" s="87"/>
      <c r="AB681" s="29"/>
      <c r="AC681" s="94"/>
      <c r="AD681" s="94"/>
      <c r="AE681" s="89"/>
      <c r="AF681" s="89"/>
      <c r="AG681" s="89"/>
      <c r="AH681" s="89"/>
      <c r="AI681" s="90"/>
      <c r="AJ681" s="90"/>
      <c r="AK681" s="90"/>
      <c r="AL681" s="90"/>
      <c r="AM681" s="91"/>
      <c r="AN681" s="91"/>
      <c r="AO681" s="92"/>
      <c r="AP681" s="92"/>
      <c r="AQ681" s="92"/>
      <c r="AR681" s="92"/>
      <c r="AS681" s="93"/>
      <c r="AT681" s="93"/>
      <c r="AU681" s="93"/>
      <c r="AV681" s="93"/>
      <c r="AW681" s="93"/>
      <c r="AX681" s="92"/>
      <c r="AY681" s="92"/>
      <c r="AZ681" s="90"/>
      <c r="BA681" s="83"/>
      <c r="BB681" s="92"/>
      <c r="BC681" s="92"/>
      <c r="BD681" s="92"/>
      <c r="BE681" s="93"/>
      <c r="BF681" s="92"/>
      <c r="BG681" s="82"/>
      <c r="BH681" s="82"/>
      <c r="BI681" s="29"/>
      <c r="BJ681" s="29"/>
      <c r="BK681" s="29"/>
    </row>
    <row r="682" ht="15.75" hidden="1" customHeight="1">
      <c r="A682" s="75"/>
      <c r="B682" s="73"/>
      <c r="C682" s="76"/>
      <c r="D682" s="76"/>
      <c r="E682" s="76"/>
      <c r="F682" s="77"/>
      <c r="G682" s="78"/>
      <c r="H682" s="76"/>
      <c r="I682" s="76"/>
      <c r="J682" s="79"/>
      <c r="K682" s="80"/>
      <c r="L682" s="81"/>
      <c r="M682" s="81"/>
      <c r="N682" s="82"/>
      <c r="O682" s="83"/>
      <c r="P682" s="84"/>
      <c r="Q682" s="84"/>
      <c r="R682" s="81"/>
      <c r="S682" s="85"/>
      <c r="T682" s="86"/>
      <c r="U682" s="86"/>
      <c r="V682" s="87"/>
      <c r="W682" s="87"/>
      <c r="X682" s="87"/>
      <c r="Y682" s="87"/>
      <c r="Z682" s="87"/>
      <c r="AA682" s="87"/>
      <c r="AB682" s="29"/>
      <c r="AC682" s="94"/>
      <c r="AD682" s="94"/>
      <c r="AE682" s="89"/>
      <c r="AF682" s="89"/>
      <c r="AG682" s="89"/>
      <c r="AH682" s="89"/>
      <c r="AI682" s="90"/>
      <c r="AJ682" s="90"/>
      <c r="AK682" s="90"/>
      <c r="AL682" s="90"/>
      <c r="AM682" s="91"/>
      <c r="AN682" s="91"/>
      <c r="AO682" s="92"/>
      <c r="AP682" s="92"/>
      <c r="AQ682" s="92"/>
      <c r="AR682" s="92"/>
      <c r="AS682" s="93"/>
      <c r="AT682" s="93"/>
      <c r="AU682" s="93"/>
      <c r="AV682" s="93"/>
      <c r="AW682" s="93"/>
      <c r="AX682" s="92"/>
      <c r="AY682" s="92"/>
      <c r="AZ682" s="90"/>
      <c r="BA682" s="83"/>
      <c r="BB682" s="92"/>
      <c r="BC682" s="92"/>
      <c r="BD682" s="92"/>
      <c r="BE682" s="93"/>
      <c r="BF682" s="92"/>
      <c r="BG682" s="82"/>
      <c r="BH682" s="82"/>
      <c r="BI682" s="29"/>
      <c r="BJ682" s="29"/>
      <c r="BK682" s="29"/>
    </row>
    <row r="683" ht="15.75" hidden="1" customHeight="1">
      <c r="A683" s="75"/>
      <c r="B683" s="73"/>
      <c r="C683" s="76"/>
      <c r="D683" s="76"/>
      <c r="E683" s="76"/>
      <c r="F683" s="77"/>
      <c r="G683" s="78"/>
      <c r="H683" s="76"/>
      <c r="I683" s="76"/>
      <c r="J683" s="79"/>
      <c r="K683" s="80"/>
      <c r="L683" s="81"/>
      <c r="M683" s="81"/>
      <c r="N683" s="82"/>
      <c r="O683" s="83"/>
      <c r="P683" s="84"/>
      <c r="Q683" s="84"/>
      <c r="R683" s="81"/>
      <c r="S683" s="85"/>
      <c r="T683" s="86"/>
      <c r="U683" s="86"/>
      <c r="V683" s="87"/>
      <c r="W683" s="87"/>
      <c r="X683" s="87"/>
      <c r="Y683" s="87"/>
      <c r="Z683" s="87"/>
      <c r="AA683" s="87"/>
      <c r="AB683" s="29"/>
      <c r="AC683" s="94"/>
      <c r="AD683" s="94"/>
      <c r="AE683" s="89"/>
      <c r="AF683" s="89"/>
      <c r="AG683" s="89"/>
      <c r="AH683" s="89"/>
      <c r="AI683" s="90"/>
      <c r="AJ683" s="90"/>
      <c r="AK683" s="90"/>
      <c r="AL683" s="90"/>
      <c r="AM683" s="91"/>
      <c r="AN683" s="91"/>
      <c r="AO683" s="92"/>
      <c r="AP683" s="92"/>
      <c r="AQ683" s="92"/>
      <c r="AR683" s="92"/>
      <c r="AS683" s="93"/>
      <c r="AT683" s="93"/>
      <c r="AU683" s="93"/>
      <c r="AV683" s="93"/>
      <c r="AW683" s="93"/>
      <c r="AX683" s="92"/>
      <c r="AY683" s="92"/>
      <c r="AZ683" s="90"/>
      <c r="BA683" s="83"/>
      <c r="BB683" s="92"/>
      <c r="BC683" s="92"/>
      <c r="BD683" s="92"/>
      <c r="BE683" s="93"/>
      <c r="BF683" s="92"/>
      <c r="BG683" s="82"/>
      <c r="BH683" s="82"/>
      <c r="BI683" s="29"/>
      <c r="BJ683" s="29"/>
      <c r="BK683" s="29"/>
    </row>
    <row r="684" ht="15.75" hidden="1" customHeight="1">
      <c r="A684" s="75"/>
      <c r="B684" s="73"/>
      <c r="C684" s="76"/>
      <c r="D684" s="76"/>
      <c r="E684" s="76"/>
      <c r="F684" s="77"/>
      <c r="G684" s="78"/>
      <c r="H684" s="76"/>
      <c r="I684" s="76"/>
      <c r="J684" s="79"/>
      <c r="K684" s="80"/>
      <c r="L684" s="81"/>
      <c r="M684" s="81"/>
      <c r="N684" s="82"/>
      <c r="O684" s="83"/>
      <c r="P684" s="84"/>
      <c r="Q684" s="84"/>
      <c r="R684" s="81"/>
      <c r="S684" s="85"/>
      <c r="T684" s="86"/>
      <c r="U684" s="86"/>
      <c r="V684" s="87"/>
      <c r="W684" s="87"/>
      <c r="X684" s="87"/>
      <c r="Y684" s="87"/>
      <c r="Z684" s="87"/>
      <c r="AA684" s="87"/>
      <c r="AB684" s="29"/>
      <c r="AC684" s="94"/>
      <c r="AD684" s="94"/>
      <c r="AE684" s="89"/>
      <c r="AF684" s="89"/>
      <c r="AG684" s="89"/>
      <c r="AH684" s="89"/>
      <c r="AI684" s="90"/>
      <c r="AJ684" s="90"/>
      <c r="AK684" s="90"/>
      <c r="AL684" s="90"/>
      <c r="AM684" s="91"/>
      <c r="AN684" s="91"/>
      <c r="AO684" s="92"/>
      <c r="AP684" s="92"/>
      <c r="AQ684" s="92"/>
      <c r="AR684" s="92"/>
      <c r="AS684" s="93"/>
      <c r="AT684" s="93"/>
      <c r="AU684" s="93"/>
      <c r="AV684" s="93"/>
      <c r="AW684" s="93"/>
      <c r="AX684" s="92"/>
      <c r="AY684" s="92"/>
      <c r="AZ684" s="90"/>
      <c r="BA684" s="83"/>
      <c r="BB684" s="92"/>
      <c r="BC684" s="92"/>
      <c r="BD684" s="92"/>
      <c r="BE684" s="93"/>
      <c r="BF684" s="92"/>
      <c r="BG684" s="82"/>
      <c r="BH684" s="82"/>
      <c r="BI684" s="29"/>
      <c r="BJ684" s="29"/>
      <c r="BK684" s="29"/>
    </row>
    <row r="685" ht="15.75" hidden="1" customHeight="1">
      <c r="A685" s="75"/>
      <c r="B685" s="73"/>
      <c r="C685" s="76"/>
      <c r="D685" s="76"/>
      <c r="E685" s="76"/>
      <c r="F685" s="77"/>
      <c r="G685" s="78"/>
      <c r="H685" s="76"/>
      <c r="I685" s="76"/>
      <c r="J685" s="79"/>
      <c r="K685" s="80"/>
      <c r="L685" s="81"/>
      <c r="M685" s="81"/>
      <c r="N685" s="82"/>
      <c r="O685" s="83"/>
      <c r="P685" s="84"/>
      <c r="Q685" s="84"/>
      <c r="R685" s="81"/>
      <c r="S685" s="85"/>
      <c r="T685" s="86"/>
      <c r="U685" s="86"/>
      <c r="V685" s="87"/>
      <c r="W685" s="87"/>
      <c r="X685" s="87"/>
      <c r="Y685" s="87"/>
      <c r="Z685" s="87"/>
      <c r="AA685" s="87"/>
      <c r="AB685" s="29"/>
      <c r="AC685" s="94"/>
      <c r="AD685" s="94"/>
      <c r="AE685" s="89"/>
      <c r="AF685" s="89"/>
      <c r="AG685" s="89"/>
      <c r="AH685" s="89"/>
      <c r="AI685" s="90"/>
      <c r="AJ685" s="90"/>
      <c r="AK685" s="90"/>
      <c r="AL685" s="90"/>
      <c r="AM685" s="91"/>
      <c r="AN685" s="91"/>
      <c r="AO685" s="92"/>
      <c r="AP685" s="92"/>
      <c r="AQ685" s="92"/>
      <c r="AR685" s="92"/>
      <c r="AS685" s="93"/>
      <c r="AT685" s="93"/>
      <c r="AU685" s="93"/>
      <c r="AV685" s="93"/>
      <c r="AW685" s="93"/>
      <c r="AX685" s="92"/>
      <c r="AY685" s="92"/>
      <c r="AZ685" s="90"/>
      <c r="BA685" s="83"/>
      <c r="BB685" s="92"/>
      <c r="BC685" s="92"/>
      <c r="BD685" s="92"/>
      <c r="BE685" s="93"/>
      <c r="BF685" s="92"/>
      <c r="BG685" s="82"/>
      <c r="BH685" s="82"/>
      <c r="BI685" s="29"/>
      <c r="BJ685" s="29"/>
      <c r="BK685" s="29"/>
    </row>
    <row r="686" ht="15.75" hidden="1" customHeight="1">
      <c r="A686" s="75"/>
      <c r="B686" s="73"/>
      <c r="C686" s="76"/>
      <c r="D686" s="76"/>
      <c r="E686" s="76"/>
      <c r="F686" s="77"/>
      <c r="G686" s="78"/>
      <c r="H686" s="76"/>
      <c r="I686" s="76"/>
      <c r="J686" s="79"/>
      <c r="K686" s="80"/>
      <c r="L686" s="81"/>
      <c r="M686" s="81"/>
      <c r="N686" s="82"/>
      <c r="O686" s="83"/>
      <c r="P686" s="84"/>
      <c r="Q686" s="84"/>
      <c r="R686" s="81"/>
      <c r="S686" s="85"/>
      <c r="T686" s="86"/>
      <c r="U686" s="86"/>
      <c r="V686" s="87"/>
      <c r="W686" s="87"/>
      <c r="X686" s="87"/>
      <c r="Y686" s="87"/>
      <c r="Z686" s="87"/>
      <c r="AA686" s="87"/>
      <c r="AB686" s="29"/>
      <c r="AC686" s="94"/>
      <c r="AD686" s="94"/>
      <c r="AE686" s="89"/>
      <c r="AF686" s="89"/>
      <c r="AG686" s="89"/>
      <c r="AH686" s="89"/>
      <c r="AI686" s="90"/>
      <c r="AJ686" s="90"/>
      <c r="AK686" s="90"/>
      <c r="AL686" s="90"/>
      <c r="AM686" s="91"/>
      <c r="AN686" s="91"/>
      <c r="AO686" s="92"/>
      <c r="AP686" s="92"/>
      <c r="AQ686" s="92"/>
      <c r="AR686" s="92"/>
      <c r="AS686" s="93"/>
      <c r="AT686" s="93"/>
      <c r="AU686" s="93"/>
      <c r="AV686" s="93"/>
      <c r="AW686" s="93"/>
      <c r="AX686" s="92"/>
      <c r="AY686" s="92"/>
      <c r="AZ686" s="90"/>
      <c r="BA686" s="83"/>
      <c r="BB686" s="92"/>
      <c r="BC686" s="92"/>
      <c r="BD686" s="92"/>
      <c r="BE686" s="93"/>
      <c r="BF686" s="92"/>
      <c r="BG686" s="82"/>
      <c r="BH686" s="82"/>
      <c r="BI686" s="29"/>
      <c r="BJ686" s="29"/>
      <c r="BK686" s="29"/>
    </row>
    <row r="687" ht="15.75" hidden="1" customHeight="1">
      <c r="A687" s="75"/>
      <c r="B687" s="73"/>
      <c r="C687" s="76"/>
      <c r="D687" s="76"/>
      <c r="E687" s="76"/>
      <c r="F687" s="77"/>
      <c r="G687" s="78"/>
      <c r="H687" s="76"/>
      <c r="I687" s="76"/>
      <c r="J687" s="79"/>
      <c r="K687" s="80"/>
      <c r="L687" s="81"/>
      <c r="M687" s="81"/>
      <c r="N687" s="82"/>
      <c r="O687" s="83"/>
      <c r="P687" s="84"/>
      <c r="Q687" s="84"/>
      <c r="R687" s="81"/>
      <c r="S687" s="85"/>
      <c r="T687" s="86"/>
      <c r="U687" s="86"/>
      <c r="V687" s="87"/>
      <c r="W687" s="87"/>
      <c r="X687" s="87"/>
      <c r="Y687" s="87"/>
      <c r="Z687" s="87"/>
      <c r="AA687" s="87"/>
      <c r="AB687" s="29"/>
      <c r="AC687" s="94"/>
      <c r="AD687" s="94"/>
      <c r="AE687" s="89"/>
      <c r="AF687" s="89"/>
      <c r="AG687" s="89"/>
      <c r="AH687" s="89"/>
      <c r="AI687" s="90"/>
      <c r="AJ687" s="90"/>
      <c r="AK687" s="90"/>
      <c r="AL687" s="90"/>
      <c r="AM687" s="91"/>
      <c r="AN687" s="91"/>
      <c r="AO687" s="92"/>
      <c r="AP687" s="92"/>
      <c r="AQ687" s="92"/>
      <c r="AR687" s="92"/>
      <c r="AS687" s="93"/>
      <c r="AT687" s="93"/>
      <c r="AU687" s="93"/>
      <c r="AV687" s="93"/>
      <c r="AW687" s="93"/>
      <c r="AX687" s="92"/>
      <c r="AY687" s="92"/>
      <c r="AZ687" s="90"/>
      <c r="BA687" s="83"/>
      <c r="BB687" s="92"/>
      <c r="BC687" s="92"/>
      <c r="BD687" s="92"/>
      <c r="BE687" s="93"/>
      <c r="BF687" s="92"/>
      <c r="BG687" s="82"/>
      <c r="BH687" s="82"/>
      <c r="BI687" s="29"/>
      <c r="BJ687" s="29"/>
      <c r="BK687" s="29"/>
    </row>
    <row r="688" ht="15.75" hidden="1" customHeight="1">
      <c r="A688" s="75"/>
      <c r="B688" s="73"/>
      <c r="C688" s="76"/>
      <c r="D688" s="76"/>
      <c r="E688" s="76"/>
      <c r="F688" s="77"/>
      <c r="G688" s="78"/>
      <c r="H688" s="76"/>
      <c r="I688" s="76"/>
      <c r="J688" s="79"/>
      <c r="K688" s="80"/>
      <c r="L688" s="81"/>
      <c r="M688" s="81"/>
      <c r="N688" s="82"/>
      <c r="O688" s="83"/>
      <c r="P688" s="84"/>
      <c r="Q688" s="84"/>
      <c r="R688" s="81"/>
      <c r="S688" s="85"/>
      <c r="T688" s="86"/>
      <c r="U688" s="86"/>
      <c r="V688" s="87"/>
      <c r="W688" s="87"/>
      <c r="X688" s="87"/>
      <c r="Y688" s="87"/>
      <c r="Z688" s="87"/>
      <c r="AA688" s="87"/>
      <c r="AB688" s="29"/>
      <c r="AC688" s="94"/>
      <c r="AD688" s="94"/>
      <c r="AE688" s="89"/>
      <c r="AF688" s="89"/>
      <c r="AG688" s="89"/>
      <c r="AH688" s="89"/>
      <c r="AI688" s="90"/>
      <c r="AJ688" s="90"/>
      <c r="AK688" s="90"/>
      <c r="AL688" s="90"/>
      <c r="AM688" s="91"/>
      <c r="AN688" s="91"/>
      <c r="AO688" s="92"/>
      <c r="AP688" s="92"/>
      <c r="AQ688" s="92"/>
      <c r="AR688" s="92"/>
      <c r="AS688" s="93"/>
      <c r="AT688" s="93"/>
      <c r="AU688" s="93"/>
      <c r="AV688" s="93"/>
      <c r="AW688" s="93"/>
      <c r="AX688" s="92"/>
      <c r="AY688" s="92"/>
      <c r="AZ688" s="90"/>
      <c r="BA688" s="83"/>
      <c r="BB688" s="92"/>
      <c r="BC688" s="92"/>
      <c r="BD688" s="92"/>
      <c r="BE688" s="93"/>
      <c r="BF688" s="92"/>
      <c r="BG688" s="82"/>
      <c r="BH688" s="82"/>
      <c r="BI688" s="29"/>
      <c r="BJ688" s="29"/>
      <c r="BK688" s="29"/>
    </row>
    <row r="689" ht="15.75" hidden="1" customHeight="1">
      <c r="A689" s="75"/>
      <c r="B689" s="73"/>
      <c r="C689" s="76"/>
      <c r="D689" s="76"/>
      <c r="E689" s="76"/>
      <c r="F689" s="77"/>
      <c r="G689" s="78"/>
      <c r="H689" s="76"/>
      <c r="I689" s="76"/>
      <c r="J689" s="79"/>
      <c r="K689" s="80"/>
      <c r="L689" s="81"/>
      <c r="M689" s="81"/>
      <c r="N689" s="82"/>
      <c r="O689" s="83"/>
      <c r="P689" s="84"/>
      <c r="Q689" s="84"/>
      <c r="R689" s="81"/>
      <c r="S689" s="85"/>
      <c r="T689" s="86"/>
      <c r="U689" s="86"/>
      <c r="V689" s="87"/>
      <c r="W689" s="87"/>
      <c r="X689" s="87"/>
      <c r="Y689" s="87"/>
      <c r="Z689" s="87"/>
      <c r="AA689" s="87"/>
      <c r="AB689" s="29"/>
      <c r="AC689" s="94"/>
      <c r="AD689" s="94"/>
      <c r="AE689" s="89"/>
      <c r="AF689" s="89"/>
      <c r="AG689" s="89"/>
      <c r="AH689" s="89"/>
      <c r="AI689" s="90"/>
      <c r="AJ689" s="90"/>
      <c r="AK689" s="90"/>
      <c r="AL689" s="90"/>
      <c r="AM689" s="91"/>
      <c r="AN689" s="91"/>
      <c r="AO689" s="92"/>
      <c r="AP689" s="92"/>
      <c r="AQ689" s="92"/>
      <c r="AR689" s="92"/>
      <c r="AS689" s="93"/>
      <c r="AT689" s="93"/>
      <c r="AU689" s="93"/>
      <c r="AV689" s="93"/>
      <c r="AW689" s="93"/>
      <c r="AX689" s="92"/>
      <c r="AY689" s="92"/>
      <c r="AZ689" s="90"/>
      <c r="BA689" s="83"/>
      <c r="BB689" s="92"/>
      <c r="BC689" s="92"/>
      <c r="BD689" s="92"/>
      <c r="BE689" s="93"/>
      <c r="BF689" s="92"/>
      <c r="BG689" s="82"/>
      <c r="BH689" s="82"/>
      <c r="BI689" s="29"/>
      <c r="BJ689" s="29"/>
      <c r="BK689" s="29"/>
    </row>
    <row r="690" ht="15.75" hidden="1" customHeight="1">
      <c r="A690" s="75"/>
      <c r="B690" s="73"/>
      <c r="C690" s="76"/>
      <c r="D690" s="76"/>
      <c r="E690" s="76"/>
      <c r="F690" s="77"/>
      <c r="G690" s="78"/>
      <c r="H690" s="76"/>
      <c r="I690" s="76"/>
      <c r="J690" s="79"/>
      <c r="K690" s="80"/>
      <c r="L690" s="81"/>
      <c r="M690" s="81"/>
      <c r="N690" s="82"/>
      <c r="O690" s="83"/>
      <c r="P690" s="84"/>
      <c r="Q690" s="84"/>
      <c r="R690" s="81"/>
      <c r="S690" s="85"/>
      <c r="T690" s="86"/>
      <c r="U690" s="86"/>
      <c r="V690" s="87"/>
      <c r="W690" s="87"/>
      <c r="X690" s="87"/>
      <c r="Y690" s="87"/>
      <c r="Z690" s="87"/>
      <c r="AA690" s="87"/>
      <c r="AB690" s="29"/>
      <c r="AC690" s="94"/>
      <c r="AD690" s="94"/>
      <c r="AE690" s="89"/>
      <c r="AF690" s="89"/>
      <c r="AG690" s="89"/>
      <c r="AH690" s="89"/>
      <c r="AI690" s="90"/>
      <c r="AJ690" s="90"/>
      <c r="AK690" s="90"/>
      <c r="AL690" s="90"/>
      <c r="AM690" s="91"/>
      <c r="AN690" s="91"/>
      <c r="AO690" s="92"/>
      <c r="AP690" s="92"/>
      <c r="AQ690" s="92"/>
      <c r="AR690" s="92"/>
      <c r="AS690" s="93"/>
      <c r="AT690" s="93"/>
      <c r="AU690" s="93"/>
      <c r="AV690" s="93"/>
      <c r="AW690" s="93"/>
      <c r="AX690" s="92"/>
      <c r="AY690" s="92"/>
      <c r="AZ690" s="90"/>
      <c r="BA690" s="83"/>
      <c r="BB690" s="92"/>
      <c r="BC690" s="92"/>
      <c r="BD690" s="92"/>
      <c r="BE690" s="93"/>
      <c r="BF690" s="92"/>
      <c r="BG690" s="82"/>
      <c r="BH690" s="82"/>
      <c r="BI690" s="29"/>
      <c r="BJ690" s="29"/>
      <c r="BK690" s="29"/>
    </row>
    <row r="691" ht="15.75" hidden="1" customHeight="1">
      <c r="A691" s="75"/>
      <c r="B691" s="73"/>
      <c r="C691" s="76"/>
      <c r="D691" s="76"/>
      <c r="E691" s="76"/>
      <c r="F691" s="77"/>
      <c r="G691" s="78"/>
      <c r="H691" s="76"/>
      <c r="I691" s="76"/>
      <c r="J691" s="79"/>
      <c r="K691" s="80"/>
      <c r="L691" s="81"/>
      <c r="M691" s="81"/>
      <c r="N691" s="82"/>
      <c r="O691" s="83"/>
      <c r="P691" s="84"/>
      <c r="Q691" s="84"/>
      <c r="R691" s="81"/>
      <c r="S691" s="85"/>
      <c r="T691" s="86"/>
      <c r="U691" s="86"/>
      <c r="V691" s="87"/>
      <c r="W691" s="87"/>
      <c r="X691" s="87"/>
      <c r="Y691" s="87"/>
      <c r="Z691" s="87"/>
      <c r="AA691" s="87"/>
      <c r="AB691" s="29"/>
      <c r="AC691" s="94"/>
      <c r="AD691" s="94"/>
      <c r="AE691" s="89"/>
      <c r="AF691" s="89"/>
      <c r="AG691" s="89"/>
      <c r="AH691" s="89"/>
      <c r="AI691" s="90"/>
      <c r="AJ691" s="90"/>
      <c r="AK691" s="90"/>
      <c r="AL691" s="90"/>
      <c r="AM691" s="91"/>
      <c r="AN691" s="91"/>
      <c r="AO691" s="92"/>
      <c r="AP691" s="92"/>
      <c r="AQ691" s="92"/>
      <c r="AR691" s="92"/>
      <c r="AS691" s="93"/>
      <c r="AT691" s="93"/>
      <c r="AU691" s="93"/>
      <c r="AV691" s="93"/>
      <c r="AW691" s="93"/>
      <c r="AX691" s="92"/>
      <c r="AY691" s="92"/>
      <c r="AZ691" s="90"/>
      <c r="BA691" s="83"/>
      <c r="BB691" s="92"/>
      <c r="BC691" s="92"/>
      <c r="BD691" s="92"/>
      <c r="BE691" s="93"/>
      <c r="BF691" s="92"/>
      <c r="BG691" s="82"/>
      <c r="BH691" s="82"/>
      <c r="BI691" s="29"/>
      <c r="BJ691" s="29"/>
      <c r="BK691" s="29"/>
    </row>
    <row r="692" ht="15.75" hidden="1" customHeight="1">
      <c r="A692" s="75"/>
      <c r="B692" s="73"/>
      <c r="C692" s="76"/>
      <c r="D692" s="76"/>
      <c r="E692" s="76"/>
      <c r="F692" s="77"/>
      <c r="G692" s="78"/>
      <c r="H692" s="76"/>
      <c r="I692" s="76"/>
      <c r="J692" s="79"/>
      <c r="K692" s="80"/>
      <c r="L692" s="81"/>
      <c r="M692" s="81"/>
      <c r="N692" s="82"/>
      <c r="O692" s="83"/>
      <c r="P692" s="84"/>
      <c r="Q692" s="84"/>
      <c r="R692" s="81"/>
      <c r="S692" s="85"/>
      <c r="T692" s="86"/>
      <c r="U692" s="86"/>
      <c r="V692" s="87"/>
      <c r="W692" s="87"/>
      <c r="X692" s="87"/>
      <c r="Y692" s="87"/>
      <c r="Z692" s="87"/>
      <c r="AA692" s="87"/>
      <c r="AB692" s="29"/>
      <c r="AC692" s="94"/>
      <c r="AD692" s="94"/>
      <c r="AE692" s="89"/>
      <c r="AF692" s="89"/>
      <c r="AG692" s="89"/>
      <c r="AH692" s="89"/>
      <c r="AI692" s="90"/>
      <c r="AJ692" s="90"/>
      <c r="AK692" s="90"/>
      <c r="AL692" s="90"/>
      <c r="AM692" s="91"/>
      <c r="AN692" s="91"/>
      <c r="AO692" s="92"/>
      <c r="AP692" s="92"/>
      <c r="AQ692" s="92"/>
      <c r="AR692" s="92"/>
      <c r="AS692" s="93"/>
      <c r="AT692" s="93"/>
      <c r="AU692" s="93"/>
      <c r="AV692" s="93"/>
      <c r="AW692" s="93"/>
      <c r="AX692" s="92"/>
      <c r="AY692" s="92"/>
      <c r="AZ692" s="90"/>
      <c r="BA692" s="83"/>
      <c r="BB692" s="92"/>
      <c r="BC692" s="92"/>
      <c r="BD692" s="92"/>
      <c r="BE692" s="93"/>
      <c r="BF692" s="92"/>
      <c r="BG692" s="82"/>
      <c r="BH692" s="82"/>
      <c r="BI692" s="29"/>
      <c r="BJ692" s="29"/>
      <c r="BK692" s="29"/>
    </row>
    <row r="693" ht="15.75" hidden="1" customHeight="1">
      <c r="A693" s="75"/>
      <c r="B693" s="73"/>
      <c r="C693" s="76"/>
      <c r="D693" s="76"/>
      <c r="E693" s="76"/>
      <c r="F693" s="77"/>
      <c r="G693" s="78"/>
      <c r="H693" s="76"/>
      <c r="I693" s="76"/>
      <c r="J693" s="79"/>
      <c r="K693" s="80"/>
      <c r="L693" s="81"/>
      <c r="M693" s="81"/>
      <c r="N693" s="82"/>
      <c r="O693" s="83"/>
      <c r="P693" s="84"/>
      <c r="Q693" s="84"/>
      <c r="R693" s="81"/>
      <c r="S693" s="85"/>
      <c r="T693" s="86"/>
      <c r="U693" s="86"/>
      <c r="V693" s="87"/>
      <c r="W693" s="87"/>
      <c r="X693" s="87"/>
      <c r="Y693" s="87"/>
      <c r="Z693" s="87"/>
      <c r="AA693" s="87"/>
      <c r="AB693" s="29"/>
      <c r="AC693" s="94"/>
      <c r="AD693" s="94"/>
      <c r="AE693" s="89"/>
      <c r="AF693" s="89"/>
      <c r="AG693" s="89"/>
      <c r="AH693" s="89"/>
      <c r="AI693" s="90"/>
      <c r="AJ693" s="90"/>
      <c r="AK693" s="90"/>
      <c r="AL693" s="90"/>
      <c r="AM693" s="91"/>
      <c r="AN693" s="91"/>
      <c r="AO693" s="92"/>
      <c r="AP693" s="92"/>
      <c r="AQ693" s="92"/>
      <c r="AR693" s="92"/>
      <c r="AS693" s="93"/>
      <c r="AT693" s="93"/>
      <c r="AU693" s="93"/>
      <c r="AV693" s="93"/>
      <c r="AW693" s="93"/>
      <c r="AX693" s="92"/>
      <c r="AY693" s="92"/>
      <c r="AZ693" s="90"/>
      <c r="BA693" s="83"/>
      <c r="BB693" s="92"/>
      <c r="BC693" s="92"/>
      <c r="BD693" s="92"/>
      <c r="BE693" s="93"/>
      <c r="BF693" s="92"/>
      <c r="BG693" s="82"/>
      <c r="BH693" s="82"/>
      <c r="BI693" s="29"/>
      <c r="BJ693" s="29"/>
      <c r="BK693" s="29"/>
    </row>
    <row r="694" ht="15.75" hidden="1" customHeight="1">
      <c r="A694" s="75"/>
      <c r="B694" s="73"/>
      <c r="C694" s="76"/>
      <c r="D694" s="76"/>
      <c r="E694" s="76"/>
      <c r="F694" s="77"/>
      <c r="G694" s="78"/>
      <c r="H694" s="76"/>
      <c r="I694" s="76"/>
      <c r="J694" s="79"/>
      <c r="K694" s="80"/>
      <c r="L694" s="81"/>
      <c r="M694" s="81"/>
      <c r="N694" s="82"/>
      <c r="O694" s="83"/>
      <c r="P694" s="84"/>
      <c r="Q694" s="84"/>
      <c r="R694" s="81"/>
      <c r="S694" s="85"/>
      <c r="T694" s="86"/>
      <c r="U694" s="86"/>
      <c r="V694" s="87"/>
      <c r="W694" s="87"/>
      <c r="X694" s="87"/>
      <c r="Y694" s="87"/>
      <c r="Z694" s="87"/>
      <c r="AA694" s="87"/>
      <c r="AB694" s="29"/>
      <c r="AC694" s="94"/>
      <c r="AD694" s="94"/>
      <c r="AE694" s="89"/>
      <c r="AF694" s="89"/>
      <c r="AG694" s="89"/>
      <c r="AH694" s="89"/>
      <c r="AI694" s="90"/>
      <c r="AJ694" s="90"/>
      <c r="AK694" s="90"/>
      <c r="AL694" s="90"/>
      <c r="AM694" s="91"/>
      <c r="AN694" s="91"/>
      <c r="AO694" s="92"/>
      <c r="AP694" s="92"/>
      <c r="AQ694" s="92"/>
      <c r="AR694" s="92"/>
      <c r="AS694" s="93"/>
      <c r="AT694" s="93"/>
      <c r="AU694" s="93"/>
      <c r="AV694" s="93"/>
      <c r="AW694" s="93"/>
      <c r="AX694" s="92"/>
      <c r="AY694" s="92"/>
      <c r="AZ694" s="90"/>
      <c r="BA694" s="83"/>
      <c r="BB694" s="92"/>
      <c r="BC694" s="92"/>
      <c r="BD694" s="92"/>
      <c r="BE694" s="93"/>
      <c r="BF694" s="92"/>
      <c r="BG694" s="82"/>
      <c r="BH694" s="82"/>
      <c r="BI694" s="29"/>
      <c r="BJ694" s="29"/>
      <c r="BK694" s="29"/>
    </row>
    <row r="695" ht="15.75" hidden="1" customHeight="1">
      <c r="A695" s="75"/>
      <c r="B695" s="73"/>
      <c r="C695" s="76"/>
      <c r="D695" s="76"/>
      <c r="E695" s="76"/>
      <c r="F695" s="77"/>
      <c r="G695" s="78"/>
      <c r="H695" s="76"/>
      <c r="I695" s="76"/>
      <c r="J695" s="79"/>
      <c r="K695" s="80"/>
      <c r="L695" s="81"/>
      <c r="M695" s="81"/>
      <c r="N695" s="82"/>
      <c r="O695" s="83"/>
      <c r="P695" s="84"/>
      <c r="Q695" s="84"/>
      <c r="R695" s="81"/>
      <c r="S695" s="85"/>
      <c r="T695" s="86"/>
      <c r="U695" s="86"/>
      <c r="V695" s="87"/>
      <c r="W695" s="87"/>
      <c r="X695" s="87"/>
      <c r="Y695" s="87"/>
      <c r="Z695" s="87"/>
      <c r="AA695" s="87"/>
      <c r="AB695" s="29"/>
      <c r="AC695" s="94"/>
      <c r="AD695" s="94"/>
      <c r="AE695" s="89"/>
      <c r="AF695" s="89"/>
      <c r="AG695" s="89"/>
      <c r="AH695" s="89"/>
      <c r="AI695" s="90"/>
      <c r="AJ695" s="90"/>
      <c r="AK695" s="90"/>
      <c r="AL695" s="90"/>
      <c r="AM695" s="91"/>
      <c r="AN695" s="91"/>
      <c r="AO695" s="92"/>
      <c r="AP695" s="92"/>
      <c r="AQ695" s="92"/>
      <c r="AR695" s="92"/>
      <c r="AS695" s="93"/>
      <c r="AT695" s="93"/>
      <c r="AU695" s="93"/>
      <c r="AV695" s="93"/>
      <c r="AW695" s="93"/>
      <c r="AX695" s="92"/>
      <c r="AY695" s="92"/>
      <c r="AZ695" s="90"/>
      <c r="BA695" s="83"/>
      <c r="BB695" s="92"/>
      <c r="BC695" s="92"/>
      <c r="BD695" s="92"/>
      <c r="BE695" s="93"/>
      <c r="BF695" s="92"/>
      <c r="BG695" s="82"/>
      <c r="BH695" s="82"/>
      <c r="BI695" s="29"/>
      <c r="BJ695" s="29"/>
      <c r="BK695" s="29"/>
    </row>
    <row r="696" ht="15.75" hidden="1" customHeight="1">
      <c r="A696" s="75"/>
      <c r="B696" s="73"/>
      <c r="C696" s="76"/>
      <c r="D696" s="76"/>
      <c r="E696" s="76"/>
      <c r="F696" s="77"/>
      <c r="G696" s="78"/>
      <c r="H696" s="76"/>
      <c r="I696" s="76"/>
      <c r="J696" s="79"/>
      <c r="K696" s="80"/>
      <c r="L696" s="81"/>
      <c r="M696" s="81"/>
      <c r="N696" s="82"/>
      <c r="O696" s="83"/>
      <c r="P696" s="84"/>
      <c r="Q696" s="84"/>
      <c r="R696" s="81"/>
      <c r="S696" s="85"/>
      <c r="T696" s="86"/>
      <c r="U696" s="86"/>
      <c r="V696" s="87"/>
      <c r="W696" s="87"/>
      <c r="X696" s="87"/>
      <c r="Y696" s="87"/>
      <c r="Z696" s="87"/>
      <c r="AA696" s="87"/>
      <c r="AB696" s="29"/>
      <c r="AC696" s="94"/>
      <c r="AD696" s="94"/>
      <c r="AE696" s="89"/>
      <c r="AF696" s="89"/>
      <c r="AG696" s="89"/>
      <c r="AH696" s="89"/>
      <c r="AI696" s="90"/>
      <c r="AJ696" s="90"/>
      <c r="AK696" s="90"/>
      <c r="AL696" s="90"/>
      <c r="AM696" s="91"/>
      <c r="AN696" s="91"/>
      <c r="AO696" s="92"/>
      <c r="AP696" s="92"/>
      <c r="AQ696" s="92"/>
      <c r="AR696" s="92"/>
      <c r="AS696" s="93"/>
      <c r="AT696" s="93"/>
      <c r="AU696" s="93"/>
      <c r="AV696" s="93"/>
      <c r="AW696" s="93"/>
      <c r="AX696" s="92"/>
      <c r="AY696" s="92"/>
      <c r="AZ696" s="90"/>
      <c r="BA696" s="83"/>
      <c r="BB696" s="92"/>
      <c r="BC696" s="92"/>
      <c r="BD696" s="92"/>
      <c r="BE696" s="93"/>
      <c r="BF696" s="92"/>
      <c r="BG696" s="82"/>
      <c r="BH696" s="82"/>
      <c r="BI696" s="29"/>
      <c r="BJ696" s="29"/>
      <c r="BK696" s="29"/>
    </row>
    <row r="697" ht="15.75" hidden="1" customHeight="1">
      <c r="A697" s="75"/>
      <c r="B697" s="73"/>
      <c r="C697" s="76"/>
      <c r="D697" s="76"/>
      <c r="E697" s="76"/>
      <c r="F697" s="77"/>
      <c r="G697" s="78"/>
      <c r="H697" s="76"/>
      <c r="I697" s="76"/>
      <c r="J697" s="79"/>
      <c r="K697" s="80"/>
      <c r="L697" s="81"/>
      <c r="M697" s="81"/>
      <c r="N697" s="82"/>
      <c r="O697" s="83"/>
      <c r="P697" s="84"/>
      <c r="Q697" s="84"/>
      <c r="R697" s="81"/>
      <c r="S697" s="85"/>
      <c r="T697" s="86"/>
      <c r="U697" s="86"/>
      <c r="V697" s="87"/>
      <c r="W697" s="87"/>
      <c r="X697" s="87"/>
      <c r="Y697" s="87"/>
      <c r="Z697" s="87"/>
      <c r="AA697" s="87"/>
      <c r="AB697" s="29"/>
      <c r="AC697" s="94"/>
      <c r="AD697" s="94"/>
      <c r="AE697" s="89"/>
      <c r="AF697" s="89"/>
      <c r="AG697" s="89"/>
      <c r="AH697" s="89"/>
      <c r="AI697" s="90"/>
      <c r="AJ697" s="90"/>
      <c r="AK697" s="90"/>
      <c r="AL697" s="90"/>
      <c r="AM697" s="91"/>
      <c r="AN697" s="91"/>
      <c r="AO697" s="92"/>
      <c r="AP697" s="92"/>
      <c r="AQ697" s="92"/>
      <c r="AR697" s="92"/>
      <c r="AS697" s="93"/>
      <c r="AT697" s="93"/>
      <c r="AU697" s="93"/>
      <c r="AV697" s="93"/>
      <c r="AW697" s="93"/>
      <c r="AX697" s="92"/>
      <c r="AY697" s="92"/>
      <c r="AZ697" s="90"/>
      <c r="BA697" s="83"/>
      <c r="BB697" s="92"/>
      <c r="BC697" s="92"/>
      <c r="BD697" s="92"/>
      <c r="BE697" s="93"/>
      <c r="BF697" s="92"/>
      <c r="BG697" s="82"/>
      <c r="BH697" s="82"/>
      <c r="BI697" s="29"/>
      <c r="BJ697" s="29"/>
      <c r="BK697" s="29"/>
    </row>
    <row r="698" ht="15.75" hidden="1" customHeight="1">
      <c r="A698" s="75"/>
      <c r="B698" s="73"/>
      <c r="C698" s="76"/>
      <c r="D698" s="76"/>
      <c r="E698" s="76"/>
      <c r="F698" s="77"/>
      <c r="G698" s="78"/>
      <c r="H698" s="76"/>
      <c r="I698" s="76"/>
      <c r="J698" s="79"/>
      <c r="K698" s="80"/>
      <c r="L698" s="81"/>
      <c r="M698" s="81"/>
      <c r="N698" s="82"/>
      <c r="O698" s="83"/>
      <c r="P698" s="84"/>
      <c r="Q698" s="84"/>
      <c r="R698" s="81"/>
      <c r="S698" s="85"/>
      <c r="T698" s="86"/>
      <c r="U698" s="86"/>
      <c r="V698" s="87"/>
      <c r="W698" s="87"/>
      <c r="X698" s="87"/>
      <c r="Y698" s="87"/>
      <c r="Z698" s="87"/>
      <c r="AA698" s="87"/>
      <c r="AB698" s="29"/>
      <c r="AC698" s="94"/>
      <c r="AD698" s="94"/>
      <c r="AE698" s="89"/>
      <c r="AF698" s="89"/>
      <c r="AG698" s="89"/>
      <c r="AH698" s="89"/>
      <c r="AI698" s="90"/>
      <c r="AJ698" s="90"/>
      <c r="AK698" s="90"/>
      <c r="AL698" s="90"/>
      <c r="AM698" s="91"/>
      <c r="AN698" s="91"/>
      <c r="AO698" s="92"/>
      <c r="AP698" s="92"/>
      <c r="AQ698" s="92"/>
      <c r="AR698" s="92"/>
      <c r="AS698" s="93"/>
      <c r="AT698" s="93"/>
      <c r="AU698" s="93"/>
      <c r="AV698" s="93"/>
      <c r="AW698" s="93"/>
      <c r="AX698" s="92"/>
      <c r="AY698" s="92"/>
      <c r="AZ698" s="90"/>
      <c r="BA698" s="83"/>
      <c r="BB698" s="92"/>
      <c r="BC698" s="92"/>
      <c r="BD698" s="92"/>
      <c r="BE698" s="93"/>
      <c r="BF698" s="92"/>
      <c r="BG698" s="82"/>
      <c r="BH698" s="82"/>
      <c r="BI698" s="29"/>
      <c r="BJ698" s="29"/>
      <c r="BK698" s="29"/>
    </row>
    <row r="699" ht="15.75" hidden="1" customHeight="1">
      <c r="A699" s="75"/>
      <c r="B699" s="73"/>
      <c r="C699" s="76"/>
      <c r="D699" s="76"/>
      <c r="E699" s="76"/>
      <c r="F699" s="77"/>
      <c r="G699" s="78"/>
      <c r="H699" s="76"/>
      <c r="I699" s="76"/>
      <c r="J699" s="79"/>
      <c r="K699" s="80"/>
      <c r="L699" s="81"/>
      <c r="M699" s="81"/>
      <c r="N699" s="82"/>
      <c r="O699" s="83"/>
      <c r="P699" s="84"/>
      <c r="Q699" s="84"/>
      <c r="R699" s="81"/>
      <c r="S699" s="85"/>
      <c r="T699" s="86"/>
      <c r="U699" s="86"/>
      <c r="V699" s="87"/>
      <c r="W699" s="87"/>
      <c r="X699" s="87"/>
      <c r="Y699" s="87"/>
      <c r="Z699" s="87"/>
      <c r="AA699" s="87"/>
      <c r="AB699" s="29"/>
      <c r="AC699" s="94"/>
      <c r="AD699" s="94"/>
      <c r="AE699" s="89"/>
      <c r="AF699" s="89"/>
      <c r="AG699" s="89"/>
      <c r="AH699" s="89"/>
      <c r="AI699" s="90"/>
      <c r="AJ699" s="90"/>
      <c r="AK699" s="90"/>
      <c r="AL699" s="90"/>
      <c r="AM699" s="91"/>
      <c r="AN699" s="91"/>
      <c r="AO699" s="92"/>
      <c r="AP699" s="92"/>
      <c r="AQ699" s="92"/>
      <c r="AR699" s="92"/>
      <c r="AS699" s="93"/>
      <c r="AT699" s="93"/>
      <c r="AU699" s="93"/>
      <c r="AV699" s="93"/>
      <c r="AW699" s="93"/>
      <c r="AX699" s="92"/>
      <c r="AY699" s="92"/>
      <c r="AZ699" s="90"/>
      <c r="BA699" s="83"/>
      <c r="BB699" s="92"/>
      <c r="BC699" s="92"/>
      <c r="BD699" s="92"/>
      <c r="BE699" s="93"/>
      <c r="BF699" s="92"/>
      <c r="BG699" s="82"/>
      <c r="BH699" s="82"/>
      <c r="BI699" s="29"/>
      <c r="BJ699" s="29"/>
      <c r="BK699" s="29"/>
    </row>
    <row r="700" ht="15.75" hidden="1" customHeight="1">
      <c r="A700" s="75"/>
      <c r="B700" s="73"/>
      <c r="C700" s="76"/>
      <c r="D700" s="76"/>
      <c r="E700" s="76"/>
      <c r="F700" s="77"/>
      <c r="G700" s="78"/>
      <c r="H700" s="76"/>
      <c r="I700" s="76"/>
      <c r="J700" s="79"/>
      <c r="K700" s="80"/>
      <c r="L700" s="81"/>
      <c r="M700" s="81"/>
      <c r="N700" s="82"/>
      <c r="O700" s="83"/>
      <c r="P700" s="84"/>
      <c r="Q700" s="84"/>
      <c r="R700" s="81"/>
      <c r="S700" s="85"/>
      <c r="T700" s="86"/>
      <c r="U700" s="86"/>
      <c r="V700" s="87"/>
      <c r="W700" s="87"/>
      <c r="X700" s="87"/>
      <c r="Y700" s="87"/>
      <c r="Z700" s="87"/>
      <c r="AA700" s="87"/>
      <c r="AB700" s="29"/>
      <c r="AC700" s="94"/>
      <c r="AD700" s="94"/>
      <c r="AE700" s="89"/>
      <c r="AF700" s="89"/>
      <c r="AG700" s="89"/>
      <c r="AH700" s="89"/>
      <c r="AI700" s="90"/>
      <c r="AJ700" s="90"/>
      <c r="AK700" s="90"/>
      <c r="AL700" s="90"/>
      <c r="AM700" s="91"/>
      <c r="AN700" s="91"/>
      <c r="AO700" s="92"/>
      <c r="AP700" s="92"/>
      <c r="AQ700" s="92"/>
      <c r="AR700" s="92"/>
      <c r="AS700" s="93"/>
      <c r="AT700" s="93"/>
      <c r="AU700" s="93"/>
      <c r="AV700" s="93"/>
      <c r="AW700" s="93"/>
      <c r="AX700" s="92"/>
      <c r="AY700" s="92"/>
      <c r="AZ700" s="90"/>
      <c r="BA700" s="83"/>
      <c r="BB700" s="92"/>
      <c r="BC700" s="92"/>
      <c r="BD700" s="92"/>
      <c r="BE700" s="93"/>
      <c r="BF700" s="92"/>
      <c r="BG700" s="82"/>
      <c r="BH700" s="82"/>
      <c r="BI700" s="29"/>
      <c r="BJ700" s="29"/>
      <c r="BK700" s="29"/>
    </row>
    <row r="701" ht="15.75" hidden="1" customHeight="1">
      <c r="A701" s="75"/>
      <c r="B701" s="73"/>
      <c r="C701" s="76"/>
      <c r="D701" s="76"/>
      <c r="E701" s="76"/>
      <c r="F701" s="77"/>
      <c r="G701" s="78"/>
      <c r="H701" s="76"/>
      <c r="I701" s="76"/>
      <c r="J701" s="79"/>
      <c r="K701" s="80"/>
      <c r="L701" s="81"/>
      <c r="M701" s="81"/>
      <c r="N701" s="82"/>
      <c r="O701" s="83"/>
      <c r="P701" s="84"/>
      <c r="Q701" s="84"/>
      <c r="R701" s="81"/>
      <c r="S701" s="85"/>
      <c r="T701" s="86"/>
      <c r="U701" s="86"/>
      <c r="V701" s="87"/>
      <c r="W701" s="87"/>
      <c r="X701" s="87"/>
      <c r="Y701" s="87"/>
      <c r="Z701" s="87"/>
      <c r="AA701" s="87"/>
      <c r="AB701" s="29"/>
      <c r="AC701" s="94"/>
      <c r="AD701" s="94"/>
      <c r="AE701" s="89"/>
      <c r="AF701" s="89"/>
      <c r="AG701" s="89"/>
      <c r="AH701" s="89"/>
      <c r="AI701" s="90"/>
      <c r="AJ701" s="90"/>
      <c r="AK701" s="90"/>
      <c r="AL701" s="90"/>
      <c r="AM701" s="91"/>
      <c r="AN701" s="91"/>
      <c r="AO701" s="92"/>
      <c r="AP701" s="92"/>
      <c r="AQ701" s="92"/>
      <c r="AR701" s="92"/>
      <c r="AS701" s="93"/>
      <c r="AT701" s="93"/>
      <c r="AU701" s="93"/>
      <c r="AV701" s="93"/>
      <c r="AW701" s="93"/>
      <c r="AX701" s="92"/>
      <c r="AY701" s="92"/>
      <c r="AZ701" s="90"/>
      <c r="BA701" s="83"/>
      <c r="BB701" s="92"/>
      <c r="BC701" s="92"/>
      <c r="BD701" s="92"/>
      <c r="BE701" s="93"/>
      <c r="BF701" s="92"/>
      <c r="BG701" s="82"/>
      <c r="BH701" s="82"/>
      <c r="BI701" s="29"/>
      <c r="BJ701" s="29"/>
      <c r="BK701" s="29"/>
    </row>
    <row r="702" ht="15.75" hidden="1" customHeight="1">
      <c r="A702" s="75"/>
      <c r="B702" s="73"/>
      <c r="C702" s="76"/>
      <c r="D702" s="76"/>
      <c r="E702" s="76"/>
      <c r="F702" s="77"/>
      <c r="G702" s="78"/>
      <c r="H702" s="76"/>
      <c r="I702" s="76"/>
      <c r="J702" s="79"/>
      <c r="K702" s="80"/>
      <c r="L702" s="81"/>
      <c r="M702" s="81"/>
      <c r="N702" s="82"/>
      <c r="O702" s="83"/>
      <c r="P702" s="84"/>
      <c r="Q702" s="84"/>
      <c r="R702" s="81"/>
      <c r="S702" s="85"/>
      <c r="T702" s="86"/>
      <c r="U702" s="86"/>
      <c r="V702" s="87"/>
      <c r="W702" s="87"/>
      <c r="X702" s="87"/>
      <c r="Y702" s="87"/>
      <c r="Z702" s="87"/>
      <c r="AA702" s="87"/>
      <c r="AB702" s="29"/>
      <c r="AC702" s="94"/>
      <c r="AD702" s="94"/>
      <c r="AE702" s="89"/>
      <c r="AF702" s="89"/>
      <c r="AG702" s="89"/>
      <c r="AH702" s="89"/>
      <c r="AI702" s="90"/>
      <c r="AJ702" s="90"/>
      <c r="AK702" s="90"/>
      <c r="AL702" s="90"/>
      <c r="AM702" s="91"/>
      <c r="AN702" s="91"/>
      <c r="AO702" s="92"/>
      <c r="AP702" s="92"/>
      <c r="AQ702" s="92"/>
      <c r="AR702" s="92"/>
      <c r="AS702" s="93"/>
      <c r="AT702" s="93"/>
      <c r="AU702" s="93"/>
      <c r="AV702" s="93"/>
      <c r="AW702" s="93"/>
      <c r="AX702" s="92"/>
      <c r="AY702" s="92"/>
      <c r="AZ702" s="90"/>
      <c r="BA702" s="83"/>
      <c r="BB702" s="92"/>
      <c r="BC702" s="92"/>
      <c r="BD702" s="92"/>
      <c r="BE702" s="93"/>
      <c r="BF702" s="92"/>
      <c r="BG702" s="82"/>
      <c r="BH702" s="82"/>
      <c r="BI702" s="29"/>
      <c r="BJ702" s="29"/>
      <c r="BK702" s="29"/>
    </row>
    <row r="703" ht="15.75" hidden="1" customHeight="1">
      <c r="A703" s="75"/>
      <c r="B703" s="73"/>
      <c r="C703" s="76"/>
      <c r="D703" s="76"/>
      <c r="E703" s="76"/>
      <c r="F703" s="77"/>
      <c r="G703" s="78"/>
      <c r="H703" s="76"/>
      <c r="I703" s="76"/>
      <c r="J703" s="79"/>
      <c r="K703" s="80"/>
      <c r="L703" s="81"/>
      <c r="M703" s="81"/>
      <c r="N703" s="82"/>
      <c r="O703" s="83"/>
      <c r="P703" s="84"/>
      <c r="Q703" s="84"/>
      <c r="R703" s="81"/>
      <c r="S703" s="85"/>
      <c r="T703" s="86"/>
      <c r="U703" s="86"/>
      <c r="V703" s="87"/>
      <c r="W703" s="87"/>
      <c r="X703" s="87"/>
      <c r="Y703" s="87"/>
      <c r="Z703" s="87"/>
      <c r="AA703" s="87"/>
      <c r="AB703" s="29"/>
      <c r="AC703" s="94"/>
      <c r="AD703" s="94"/>
      <c r="AE703" s="89"/>
      <c r="AF703" s="89"/>
      <c r="AG703" s="89"/>
      <c r="AH703" s="89"/>
      <c r="AI703" s="90"/>
      <c r="AJ703" s="90"/>
      <c r="AK703" s="90"/>
      <c r="AL703" s="90"/>
      <c r="AM703" s="91"/>
      <c r="AN703" s="91"/>
      <c r="AO703" s="92"/>
      <c r="AP703" s="92"/>
      <c r="AQ703" s="92"/>
      <c r="AR703" s="92"/>
      <c r="AS703" s="93"/>
      <c r="AT703" s="93"/>
      <c r="AU703" s="93"/>
      <c r="AV703" s="93"/>
      <c r="AW703" s="93"/>
      <c r="AX703" s="92"/>
      <c r="AY703" s="92"/>
      <c r="AZ703" s="90"/>
      <c r="BA703" s="83"/>
      <c r="BB703" s="92"/>
      <c r="BC703" s="92"/>
      <c r="BD703" s="92"/>
      <c r="BE703" s="93"/>
      <c r="BF703" s="92"/>
      <c r="BG703" s="82"/>
      <c r="BH703" s="82"/>
      <c r="BI703" s="29"/>
      <c r="BJ703" s="29"/>
      <c r="BK703" s="29"/>
    </row>
    <row r="704" ht="15.75" hidden="1" customHeight="1">
      <c r="A704" s="75"/>
      <c r="B704" s="73"/>
      <c r="C704" s="76"/>
      <c r="D704" s="76"/>
      <c r="E704" s="76"/>
      <c r="F704" s="77"/>
      <c r="G704" s="78"/>
      <c r="H704" s="76"/>
      <c r="I704" s="76"/>
      <c r="J704" s="79"/>
      <c r="K704" s="80"/>
      <c r="L704" s="81"/>
      <c r="M704" s="81"/>
      <c r="N704" s="82"/>
      <c r="O704" s="83"/>
      <c r="P704" s="84"/>
      <c r="Q704" s="84"/>
      <c r="R704" s="81"/>
      <c r="S704" s="85"/>
      <c r="T704" s="86"/>
      <c r="U704" s="86"/>
      <c r="V704" s="87"/>
      <c r="W704" s="87"/>
      <c r="X704" s="87"/>
      <c r="Y704" s="87"/>
      <c r="Z704" s="87"/>
      <c r="AA704" s="87"/>
      <c r="AB704" s="29"/>
      <c r="AC704" s="94"/>
      <c r="AD704" s="94"/>
      <c r="AE704" s="89"/>
      <c r="AF704" s="89"/>
      <c r="AG704" s="89"/>
      <c r="AH704" s="89"/>
      <c r="AI704" s="90"/>
      <c r="AJ704" s="90"/>
      <c r="AK704" s="90"/>
      <c r="AL704" s="90"/>
      <c r="AM704" s="91"/>
      <c r="AN704" s="91"/>
      <c r="AO704" s="92"/>
      <c r="AP704" s="92"/>
      <c r="AQ704" s="92"/>
      <c r="AR704" s="92"/>
      <c r="AS704" s="93"/>
      <c r="AT704" s="93"/>
      <c r="AU704" s="93"/>
      <c r="AV704" s="93"/>
      <c r="AW704" s="93"/>
      <c r="AX704" s="92"/>
      <c r="AY704" s="92"/>
      <c r="AZ704" s="90"/>
      <c r="BA704" s="83"/>
      <c r="BB704" s="92"/>
      <c r="BC704" s="92"/>
      <c r="BD704" s="92"/>
      <c r="BE704" s="93"/>
      <c r="BF704" s="92"/>
      <c r="BG704" s="82"/>
      <c r="BH704" s="82"/>
      <c r="BI704" s="29"/>
      <c r="BJ704" s="29"/>
      <c r="BK704" s="29"/>
    </row>
    <row r="705" ht="15.75" hidden="1" customHeight="1">
      <c r="A705" s="75"/>
      <c r="B705" s="73"/>
      <c r="C705" s="76"/>
      <c r="D705" s="76"/>
      <c r="E705" s="76"/>
      <c r="F705" s="77"/>
      <c r="G705" s="78"/>
      <c r="H705" s="76"/>
      <c r="I705" s="76"/>
      <c r="J705" s="79"/>
      <c r="K705" s="80"/>
      <c r="L705" s="81"/>
      <c r="M705" s="81"/>
      <c r="N705" s="82"/>
      <c r="O705" s="83"/>
      <c r="P705" s="84"/>
      <c r="Q705" s="84"/>
      <c r="R705" s="81"/>
      <c r="S705" s="85"/>
      <c r="T705" s="86"/>
      <c r="U705" s="86"/>
      <c r="V705" s="87"/>
      <c r="W705" s="87"/>
      <c r="X705" s="87"/>
      <c r="Y705" s="87"/>
      <c r="Z705" s="87"/>
      <c r="AA705" s="87"/>
      <c r="AB705" s="29"/>
      <c r="AC705" s="94"/>
      <c r="AD705" s="94"/>
      <c r="AE705" s="89"/>
      <c r="AF705" s="89"/>
      <c r="AG705" s="89"/>
      <c r="AH705" s="89"/>
      <c r="AI705" s="90"/>
      <c r="AJ705" s="90"/>
      <c r="AK705" s="90"/>
      <c r="AL705" s="90"/>
      <c r="AM705" s="91"/>
      <c r="AN705" s="91"/>
      <c r="AO705" s="92"/>
      <c r="AP705" s="92"/>
      <c r="AQ705" s="92"/>
      <c r="AR705" s="92"/>
      <c r="AS705" s="93"/>
      <c r="AT705" s="93"/>
      <c r="AU705" s="93"/>
      <c r="AV705" s="93"/>
      <c r="AW705" s="93"/>
      <c r="AX705" s="92"/>
      <c r="AY705" s="92"/>
      <c r="AZ705" s="90"/>
      <c r="BA705" s="83"/>
      <c r="BB705" s="92"/>
      <c r="BC705" s="92"/>
      <c r="BD705" s="92"/>
      <c r="BE705" s="93"/>
      <c r="BF705" s="92"/>
      <c r="BG705" s="82"/>
      <c r="BH705" s="82"/>
      <c r="BI705" s="29"/>
      <c r="BJ705" s="29"/>
      <c r="BK705" s="29"/>
    </row>
    <row r="706" ht="15.75" hidden="1" customHeight="1">
      <c r="A706" s="75"/>
      <c r="B706" s="73"/>
      <c r="C706" s="76"/>
      <c r="D706" s="76"/>
      <c r="E706" s="76"/>
      <c r="F706" s="77"/>
      <c r="G706" s="78"/>
      <c r="H706" s="76"/>
      <c r="I706" s="76"/>
      <c r="J706" s="79"/>
      <c r="K706" s="80"/>
      <c r="L706" s="81"/>
      <c r="M706" s="81"/>
      <c r="N706" s="82"/>
      <c r="O706" s="83"/>
      <c r="P706" s="84"/>
      <c r="Q706" s="84"/>
      <c r="R706" s="81"/>
      <c r="S706" s="85"/>
      <c r="T706" s="86"/>
      <c r="U706" s="86"/>
      <c r="V706" s="87"/>
      <c r="W706" s="87"/>
      <c r="X706" s="87"/>
      <c r="Y706" s="87"/>
      <c r="Z706" s="87"/>
      <c r="AA706" s="87"/>
      <c r="AB706" s="29"/>
      <c r="AC706" s="94"/>
      <c r="AD706" s="94"/>
      <c r="AE706" s="89"/>
      <c r="AF706" s="89"/>
      <c r="AG706" s="89"/>
      <c r="AH706" s="89"/>
      <c r="AI706" s="90"/>
      <c r="AJ706" s="90"/>
      <c r="AK706" s="90"/>
      <c r="AL706" s="90"/>
      <c r="AM706" s="91"/>
      <c r="AN706" s="91"/>
      <c r="AO706" s="92"/>
      <c r="AP706" s="92"/>
      <c r="AQ706" s="92"/>
      <c r="AR706" s="92"/>
      <c r="AS706" s="93"/>
      <c r="AT706" s="93"/>
      <c r="AU706" s="93"/>
      <c r="AV706" s="93"/>
      <c r="AW706" s="93"/>
      <c r="AX706" s="92"/>
      <c r="AY706" s="92"/>
      <c r="AZ706" s="90"/>
      <c r="BA706" s="83"/>
      <c r="BB706" s="92"/>
      <c r="BC706" s="92"/>
      <c r="BD706" s="92"/>
      <c r="BE706" s="93"/>
      <c r="BF706" s="92"/>
      <c r="BG706" s="82"/>
      <c r="BH706" s="82"/>
      <c r="BI706" s="29"/>
      <c r="BJ706" s="29"/>
      <c r="BK706" s="29"/>
    </row>
    <row r="707" ht="15.75" hidden="1" customHeight="1">
      <c r="A707" s="75"/>
      <c r="B707" s="73"/>
      <c r="C707" s="76"/>
      <c r="D707" s="76"/>
      <c r="E707" s="76"/>
      <c r="F707" s="77"/>
      <c r="G707" s="78"/>
      <c r="H707" s="76"/>
      <c r="I707" s="76"/>
      <c r="J707" s="79"/>
      <c r="K707" s="80"/>
      <c r="L707" s="81"/>
      <c r="M707" s="81"/>
      <c r="N707" s="82"/>
      <c r="O707" s="83"/>
      <c r="P707" s="84"/>
      <c r="Q707" s="84"/>
      <c r="R707" s="81"/>
      <c r="S707" s="85"/>
      <c r="T707" s="86"/>
      <c r="U707" s="86"/>
      <c r="V707" s="87"/>
      <c r="W707" s="87"/>
      <c r="X707" s="87"/>
      <c r="Y707" s="87"/>
      <c r="Z707" s="87"/>
      <c r="AA707" s="87"/>
      <c r="AB707" s="29"/>
      <c r="AC707" s="94"/>
      <c r="AD707" s="94"/>
      <c r="AE707" s="89"/>
      <c r="AF707" s="89"/>
      <c r="AG707" s="89"/>
      <c r="AH707" s="89"/>
      <c r="AI707" s="90"/>
      <c r="AJ707" s="90"/>
      <c r="AK707" s="90"/>
      <c r="AL707" s="90"/>
      <c r="AM707" s="91"/>
      <c r="AN707" s="91"/>
      <c r="AO707" s="92"/>
      <c r="AP707" s="92"/>
      <c r="AQ707" s="92"/>
      <c r="AR707" s="92"/>
      <c r="AS707" s="93"/>
      <c r="AT707" s="93"/>
      <c r="AU707" s="93"/>
      <c r="AV707" s="93"/>
      <c r="AW707" s="93"/>
      <c r="AX707" s="92"/>
      <c r="AY707" s="92"/>
      <c r="AZ707" s="90"/>
      <c r="BA707" s="83"/>
      <c r="BB707" s="92"/>
      <c r="BC707" s="92"/>
      <c r="BD707" s="92"/>
      <c r="BE707" s="93"/>
      <c r="BF707" s="92"/>
      <c r="BG707" s="82"/>
      <c r="BH707" s="82"/>
      <c r="BI707" s="29"/>
      <c r="BJ707" s="29"/>
      <c r="BK707" s="29"/>
    </row>
    <row r="708" ht="15.75" hidden="1" customHeight="1">
      <c r="A708" s="75"/>
      <c r="B708" s="73"/>
      <c r="C708" s="76"/>
      <c r="D708" s="76"/>
      <c r="E708" s="76"/>
      <c r="F708" s="77"/>
      <c r="G708" s="78"/>
      <c r="H708" s="76"/>
      <c r="I708" s="76"/>
      <c r="J708" s="79"/>
      <c r="K708" s="80"/>
      <c r="L708" s="81"/>
      <c r="M708" s="81"/>
      <c r="N708" s="82"/>
      <c r="O708" s="83"/>
      <c r="P708" s="84"/>
      <c r="Q708" s="84"/>
      <c r="R708" s="81"/>
      <c r="S708" s="85"/>
      <c r="T708" s="86"/>
      <c r="U708" s="86"/>
      <c r="V708" s="87"/>
      <c r="W708" s="87"/>
      <c r="X708" s="87"/>
      <c r="Y708" s="87"/>
      <c r="Z708" s="87"/>
      <c r="AA708" s="87"/>
      <c r="AB708" s="29"/>
      <c r="AC708" s="94"/>
      <c r="AD708" s="94"/>
      <c r="AE708" s="89"/>
      <c r="AF708" s="89"/>
      <c r="AG708" s="89"/>
      <c r="AH708" s="89"/>
      <c r="AI708" s="90"/>
      <c r="AJ708" s="90"/>
      <c r="AK708" s="90"/>
      <c r="AL708" s="90"/>
      <c r="AM708" s="91"/>
      <c r="AN708" s="91"/>
      <c r="AO708" s="92"/>
      <c r="AP708" s="92"/>
      <c r="AQ708" s="92"/>
      <c r="AR708" s="92"/>
      <c r="AS708" s="93"/>
      <c r="AT708" s="93"/>
      <c r="AU708" s="93"/>
      <c r="AV708" s="93"/>
      <c r="AW708" s="93"/>
      <c r="AX708" s="92"/>
      <c r="AY708" s="92"/>
      <c r="AZ708" s="90"/>
      <c r="BA708" s="83"/>
      <c r="BB708" s="92"/>
      <c r="BC708" s="92"/>
      <c r="BD708" s="92"/>
      <c r="BE708" s="93"/>
      <c r="BF708" s="92"/>
      <c r="BG708" s="82"/>
      <c r="BH708" s="82"/>
      <c r="BI708" s="29"/>
      <c r="BJ708" s="29"/>
      <c r="BK708" s="29"/>
    </row>
    <row r="709" ht="15.75" hidden="1" customHeight="1">
      <c r="A709" s="75"/>
      <c r="B709" s="73"/>
      <c r="C709" s="76"/>
      <c r="D709" s="76"/>
      <c r="E709" s="76"/>
      <c r="F709" s="77"/>
      <c r="G709" s="78"/>
      <c r="H709" s="76"/>
      <c r="I709" s="76"/>
      <c r="J709" s="79"/>
      <c r="K709" s="80"/>
      <c r="L709" s="81"/>
      <c r="M709" s="81"/>
      <c r="N709" s="82"/>
      <c r="O709" s="83"/>
      <c r="P709" s="84"/>
      <c r="Q709" s="84"/>
      <c r="R709" s="81"/>
      <c r="S709" s="85"/>
      <c r="T709" s="86"/>
      <c r="U709" s="86"/>
      <c r="V709" s="87"/>
      <c r="W709" s="87"/>
      <c r="X709" s="87"/>
      <c r="Y709" s="87"/>
      <c r="Z709" s="87"/>
      <c r="AA709" s="87"/>
      <c r="AB709" s="29"/>
      <c r="AC709" s="94"/>
      <c r="AD709" s="94"/>
      <c r="AE709" s="89"/>
      <c r="AF709" s="89"/>
      <c r="AG709" s="89"/>
      <c r="AH709" s="89"/>
      <c r="AI709" s="90"/>
      <c r="AJ709" s="90"/>
      <c r="AK709" s="90"/>
      <c r="AL709" s="90"/>
      <c r="AM709" s="91"/>
      <c r="AN709" s="91"/>
      <c r="AO709" s="92"/>
      <c r="AP709" s="92"/>
      <c r="AQ709" s="92"/>
      <c r="AR709" s="92"/>
      <c r="AS709" s="93"/>
      <c r="AT709" s="93"/>
      <c r="AU709" s="93"/>
      <c r="AV709" s="93"/>
      <c r="AW709" s="93"/>
      <c r="AX709" s="92"/>
      <c r="AY709" s="92"/>
      <c r="AZ709" s="90"/>
      <c r="BA709" s="83"/>
      <c r="BB709" s="92"/>
      <c r="BC709" s="92"/>
      <c r="BD709" s="92"/>
      <c r="BE709" s="93"/>
      <c r="BF709" s="92"/>
      <c r="BG709" s="82"/>
      <c r="BH709" s="82"/>
      <c r="BI709" s="29"/>
      <c r="BJ709" s="29"/>
      <c r="BK709" s="29"/>
    </row>
    <row r="710" ht="15.75" hidden="1" customHeight="1">
      <c r="A710" s="75"/>
      <c r="B710" s="73"/>
      <c r="C710" s="76"/>
      <c r="D710" s="76"/>
      <c r="E710" s="76"/>
      <c r="F710" s="77"/>
      <c r="G710" s="78"/>
      <c r="H710" s="76"/>
      <c r="I710" s="76"/>
      <c r="J710" s="79"/>
      <c r="K710" s="80"/>
      <c r="L710" s="81"/>
      <c r="M710" s="81"/>
      <c r="N710" s="82"/>
      <c r="O710" s="83"/>
      <c r="P710" s="84"/>
      <c r="Q710" s="84"/>
      <c r="R710" s="81"/>
      <c r="S710" s="85"/>
      <c r="T710" s="86"/>
      <c r="U710" s="86"/>
      <c r="V710" s="87"/>
      <c r="W710" s="87"/>
      <c r="X710" s="87"/>
      <c r="Y710" s="87"/>
      <c r="Z710" s="87"/>
      <c r="AA710" s="87"/>
      <c r="AB710" s="29"/>
      <c r="AC710" s="94"/>
      <c r="AD710" s="94"/>
      <c r="AE710" s="89"/>
      <c r="AF710" s="89"/>
      <c r="AG710" s="89"/>
      <c r="AH710" s="89"/>
      <c r="AI710" s="90"/>
      <c r="AJ710" s="90"/>
      <c r="AK710" s="90"/>
      <c r="AL710" s="90"/>
      <c r="AM710" s="91"/>
      <c r="AN710" s="91"/>
      <c r="AO710" s="92"/>
      <c r="AP710" s="92"/>
      <c r="AQ710" s="92"/>
      <c r="AR710" s="92"/>
      <c r="AS710" s="93"/>
      <c r="AT710" s="93"/>
      <c r="AU710" s="93"/>
      <c r="AV710" s="93"/>
      <c r="AW710" s="93"/>
      <c r="AX710" s="92"/>
      <c r="AY710" s="92"/>
      <c r="AZ710" s="90"/>
      <c r="BA710" s="83"/>
      <c r="BB710" s="92"/>
      <c r="BC710" s="92"/>
      <c r="BD710" s="92"/>
      <c r="BE710" s="93"/>
      <c r="BF710" s="92"/>
      <c r="BG710" s="82"/>
      <c r="BH710" s="82"/>
      <c r="BI710" s="29"/>
      <c r="BJ710" s="29"/>
      <c r="BK710" s="29"/>
    </row>
    <row r="711" ht="15.75" hidden="1" customHeight="1">
      <c r="A711" s="75"/>
      <c r="B711" s="73"/>
      <c r="C711" s="76"/>
      <c r="D711" s="76"/>
      <c r="E711" s="76"/>
      <c r="F711" s="77"/>
      <c r="G711" s="78"/>
      <c r="H711" s="76"/>
      <c r="I711" s="76"/>
      <c r="J711" s="79"/>
      <c r="K711" s="80"/>
      <c r="L711" s="81"/>
      <c r="M711" s="81"/>
      <c r="N711" s="82"/>
      <c r="O711" s="83"/>
      <c r="P711" s="84"/>
      <c r="Q711" s="84"/>
      <c r="R711" s="81"/>
      <c r="S711" s="85"/>
      <c r="T711" s="86"/>
      <c r="U711" s="86"/>
      <c r="V711" s="87"/>
      <c r="W711" s="87"/>
      <c r="X711" s="87"/>
      <c r="Y711" s="87"/>
      <c r="Z711" s="87"/>
      <c r="AA711" s="87"/>
      <c r="AB711" s="29"/>
      <c r="AC711" s="94"/>
      <c r="AD711" s="94"/>
      <c r="AE711" s="89"/>
      <c r="AF711" s="89"/>
      <c r="AG711" s="89"/>
      <c r="AH711" s="89"/>
      <c r="AI711" s="90"/>
      <c r="AJ711" s="90"/>
      <c r="AK711" s="90"/>
      <c r="AL711" s="90"/>
      <c r="AM711" s="91"/>
      <c r="AN711" s="91"/>
      <c r="AO711" s="92"/>
      <c r="AP711" s="92"/>
      <c r="AQ711" s="92"/>
      <c r="AR711" s="92"/>
      <c r="AS711" s="93"/>
      <c r="AT711" s="93"/>
      <c r="AU711" s="93"/>
      <c r="AV711" s="93"/>
      <c r="AW711" s="93"/>
      <c r="AX711" s="92"/>
      <c r="AY711" s="92"/>
      <c r="AZ711" s="90"/>
      <c r="BA711" s="83"/>
      <c r="BB711" s="92"/>
      <c r="BC711" s="92"/>
      <c r="BD711" s="92"/>
      <c r="BE711" s="93"/>
      <c r="BF711" s="92"/>
      <c r="BG711" s="82"/>
      <c r="BH711" s="82"/>
      <c r="BI711" s="29"/>
      <c r="BJ711" s="29"/>
      <c r="BK711" s="29"/>
    </row>
    <row r="712" ht="15.75" hidden="1" customHeight="1">
      <c r="A712" s="75"/>
      <c r="B712" s="73"/>
      <c r="C712" s="76"/>
      <c r="D712" s="76"/>
      <c r="E712" s="76"/>
      <c r="F712" s="77"/>
      <c r="G712" s="78"/>
      <c r="H712" s="76"/>
      <c r="I712" s="76"/>
      <c r="J712" s="79"/>
      <c r="K712" s="80"/>
      <c r="L712" s="81"/>
      <c r="M712" s="81"/>
      <c r="N712" s="82"/>
      <c r="O712" s="83"/>
      <c r="P712" s="84"/>
      <c r="Q712" s="84"/>
      <c r="R712" s="81"/>
      <c r="S712" s="85"/>
      <c r="T712" s="86"/>
      <c r="U712" s="86"/>
      <c r="V712" s="87"/>
      <c r="W712" s="87"/>
      <c r="X712" s="87"/>
      <c r="Y712" s="87"/>
      <c r="Z712" s="87"/>
      <c r="AA712" s="87"/>
      <c r="AB712" s="29"/>
      <c r="AC712" s="94"/>
      <c r="AD712" s="94"/>
      <c r="AE712" s="89"/>
      <c r="AF712" s="89"/>
      <c r="AG712" s="89"/>
      <c r="AH712" s="89"/>
      <c r="AI712" s="90"/>
      <c r="AJ712" s="90"/>
      <c r="AK712" s="90"/>
      <c r="AL712" s="90"/>
      <c r="AM712" s="91"/>
      <c r="AN712" s="91"/>
      <c r="AO712" s="92"/>
      <c r="AP712" s="92"/>
      <c r="AQ712" s="92"/>
      <c r="AR712" s="92"/>
      <c r="AS712" s="93"/>
      <c r="AT712" s="93"/>
      <c r="AU712" s="93"/>
      <c r="AV712" s="93"/>
      <c r="AW712" s="93"/>
      <c r="AX712" s="92"/>
      <c r="AY712" s="92"/>
      <c r="AZ712" s="90"/>
      <c r="BA712" s="83"/>
      <c r="BB712" s="92"/>
      <c r="BC712" s="92"/>
      <c r="BD712" s="92"/>
      <c r="BE712" s="93"/>
      <c r="BF712" s="92"/>
      <c r="BG712" s="82"/>
      <c r="BH712" s="82"/>
      <c r="BI712" s="29"/>
      <c r="BJ712" s="29"/>
      <c r="BK712" s="29"/>
    </row>
    <row r="713" ht="15.75" hidden="1" customHeight="1">
      <c r="A713" s="75"/>
      <c r="B713" s="73"/>
      <c r="C713" s="76"/>
      <c r="D713" s="76"/>
      <c r="E713" s="76"/>
      <c r="F713" s="77"/>
      <c r="G713" s="78"/>
      <c r="H713" s="76"/>
      <c r="I713" s="76"/>
      <c r="J713" s="79"/>
      <c r="K713" s="80"/>
      <c r="L713" s="81"/>
      <c r="M713" s="81"/>
      <c r="N713" s="82"/>
      <c r="O713" s="83"/>
      <c r="P713" s="84"/>
      <c r="Q713" s="84"/>
      <c r="R713" s="81"/>
      <c r="S713" s="85"/>
      <c r="T713" s="86"/>
      <c r="U713" s="86"/>
      <c r="V713" s="87"/>
      <c r="W713" s="87"/>
      <c r="X713" s="87"/>
      <c r="Y713" s="87"/>
      <c r="Z713" s="87"/>
      <c r="AA713" s="87"/>
      <c r="AB713" s="29"/>
      <c r="AC713" s="94"/>
      <c r="AD713" s="94"/>
      <c r="AE713" s="89"/>
      <c r="AF713" s="89"/>
      <c r="AG713" s="89"/>
      <c r="AH713" s="89"/>
      <c r="AI713" s="90"/>
      <c r="AJ713" s="90"/>
      <c r="AK713" s="90"/>
      <c r="AL713" s="90"/>
      <c r="AM713" s="91"/>
      <c r="AN713" s="91"/>
      <c r="AO713" s="92"/>
      <c r="AP713" s="92"/>
      <c r="AQ713" s="92"/>
      <c r="AR713" s="92"/>
      <c r="AS713" s="93"/>
      <c r="AT713" s="93"/>
      <c r="AU713" s="93"/>
      <c r="AV713" s="93"/>
      <c r="AW713" s="93"/>
      <c r="AX713" s="92"/>
      <c r="AY713" s="92"/>
      <c r="AZ713" s="90"/>
      <c r="BA713" s="83"/>
      <c r="BB713" s="92"/>
      <c r="BC713" s="92"/>
      <c r="BD713" s="92"/>
      <c r="BE713" s="93"/>
      <c r="BF713" s="92"/>
      <c r="BG713" s="82"/>
      <c r="BH713" s="82"/>
      <c r="BI713" s="29"/>
      <c r="BJ713" s="29"/>
      <c r="BK713" s="29"/>
    </row>
    <row r="714" ht="15.75" hidden="1" customHeight="1">
      <c r="A714" s="75"/>
      <c r="B714" s="73"/>
      <c r="C714" s="76"/>
      <c r="D714" s="76"/>
      <c r="E714" s="76"/>
      <c r="F714" s="77"/>
      <c r="G714" s="78"/>
      <c r="H714" s="76"/>
      <c r="I714" s="76"/>
      <c r="J714" s="79"/>
      <c r="K714" s="80"/>
      <c r="L714" s="81"/>
      <c r="M714" s="81"/>
      <c r="N714" s="82"/>
      <c r="O714" s="83"/>
      <c r="P714" s="84"/>
      <c r="Q714" s="84"/>
      <c r="R714" s="81"/>
      <c r="S714" s="85"/>
      <c r="T714" s="86"/>
      <c r="U714" s="86"/>
      <c r="V714" s="87"/>
      <c r="W714" s="87"/>
      <c r="X714" s="87"/>
      <c r="Y714" s="87"/>
      <c r="Z714" s="87"/>
      <c r="AA714" s="87"/>
      <c r="AB714" s="29"/>
      <c r="AC714" s="94"/>
      <c r="AD714" s="94"/>
      <c r="AE714" s="89"/>
      <c r="AF714" s="89"/>
      <c r="AG714" s="89"/>
      <c r="AH714" s="89"/>
      <c r="AI714" s="90"/>
      <c r="AJ714" s="90"/>
      <c r="AK714" s="90"/>
      <c r="AL714" s="90"/>
      <c r="AM714" s="91"/>
      <c r="AN714" s="91"/>
      <c r="AO714" s="92"/>
      <c r="AP714" s="92"/>
      <c r="AQ714" s="92"/>
      <c r="AR714" s="92"/>
      <c r="AS714" s="93"/>
      <c r="AT714" s="93"/>
      <c r="AU714" s="93"/>
      <c r="AV714" s="93"/>
      <c r="AW714" s="93"/>
      <c r="AX714" s="92"/>
      <c r="AY714" s="92"/>
      <c r="AZ714" s="90"/>
      <c r="BA714" s="83"/>
      <c r="BB714" s="92"/>
      <c r="BC714" s="92"/>
      <c r="BD714" s="92"/>
      <c r="BE714" s="93"/>
      <c r="BF714" s="92"/>
      <c r="BG714" s="82"/>
      <c r="BH714" s="82"/>
      <c r="BI714" s="29"/>
      <c r="BJ714" s="29"/>
      <c r="BK714" s="29"/>
    </row>
    <row r="715" ht="15.75" hidden="1" customHeight="1">
      <c r="A715" s="75"/>
      <c r="B715" s="73"/>
      <c r="C715" s="76"/>
      <c r="D715" s="76"/>
      <c r="E715" s="76"/>
      <c r="F715" s="77"/>
      <c r="G715" s="78"/>
      <c r="H715" s="76"/>
      <c r="I715" s="76"/>
      <c r="J715" s="79"/>
      <c r="K715" s="80"/>
      <c r="L715" s="81"/>
      <c r="M715" s="81"/>
      <c r="N715" s="82"/>
      <c r="O715" s="83"/>
      <c r="P715" s="84"/>
      <c r="Q715" s="84"/>
      <c r="R715" s="81"/>
      <c r="S715" s="85"/>
      <c r="T715" s="86"/>
      <c r="U715" s="86"/>
      <c r="V715" s="87"/>
      <c r="W715" s="87"/>
      <c r="X715" s="87"/>
      <c r="Y715" s="87"/>
      <c r="Z715" s="87"/>
      <c r="AA715" s="87"/>
      <c r="AB715" s="29"/>
      <c r="AC715" s="94"/>
      <c r="AD715" s="94"/>
      <c r="AE715" s="89"/>
      <c r="AF715" s="89"/>
      <c r="AG715" s="89"/>
      <c r="AH715" s="89"/>
      <c r="AI715" s="90"/>
      <c r="AJ715" s="90"/>
      <c r="AK715" s="90"/>
      <c r="AL715" s="90"/>
      <c r="AM715" s="91"/>
      <c r="AN715" s="91"/>
      <c r="AO715" s="92"/>
      <c r="AP715" s="92"/>
      <c r="AQ715" s="92"/>
      <c r="AR715" s="92"/>
      <c r="AS715" s="93"/>
      <c r="AT715" s="93"/>
      <c r="AU715" s="93"/>
      <c r="AV715" s="93"/>
      <c r="AW715" s="93"/>
      <c r="AX715" s="92"/>
      <c r="AY715" s="92"/>
      <c r="AZ715" s="90"/>
      <c r="BA715" s="83"/>
      <c r="BB715" s="92"/>
      <c r="BC715" s="92"/>
      <c r="BD715" s="92"/>
      <c r="BE715" s="93"/>
      <c r="BF715" s="92"/>
      <c r="BG715" s="82"/>
      <c r="BH715" s="82"/>
      <c r="BI715" s="29"/>
      <c r="BJ715" s="29"/>
      <c r="BK715" s="29"/>
    </row>
    <row r="716" ht="15.75" hidden="1" customHeight="1">
      <c r="A716" s="75"/>
      <c r="B716" s="73"/>
      <c r="C716" s="76"/>
      <c r="D716" s="76"/>
      <c r="E716" s="76"/>
      <c r="F716" s="77"/>
      <c r="G716" s="78"/>
      <c r="H716" s="76"/>
      <c r="I716" s="76"/>
      <c r="J716" s="79"/>
      <c r="K716" s="80"/>
      <c r="L716" s="81"/>
      <c r="M716" s="81"/>
      <c r="N716" s="82"/>
      <c r="O716" s="83"/>
      <c r="P716" s="84"/>
      <c r="Q716" s="84"/>
      <c r="R716" s="81"/>
      <c r="S716" s="85"/>
      <c r="T716" s="86"/>
      <c r="U716" s="86"/>
      <c r="V716" s="87"/>
      <c r="W716" s="87"/>
      <c r="X716" s="87"/>
      <c r="Y716" s="87"/>
      <c r="Z716" s="87"/>
      <c r="AA716" s="87"/>
      <c r="AB716" s="29"/>
      <c r="AC716" s="94"/>
      <c r="AD716" s="94"/>
      <c r="AE716" s="89"/>
      <c r="AF716" s="89"/>
      <c r="AG716" s="89"/>
      <c r="AH716" s="89"/>
      <c r="AI716" s="90"/>
      <c r="AJ716" s="90"/>
      <c r="AK716" s="90"/>
      <c r="AL716" s="90"/>
      <c r="AM716" s="91"/>
      <c r="AN716" s="91"/>
      <c r="AO716" s="92"/>
      <c r="AP716" s="92"/>
      <c r="AQ716" s="92"/>
      <c r="AR716" s="92"/>
      <c r="AS716" s="93"/>
      <c r="AT716" s="93"/>
      <c r="AU716" s="93"/>
      <c r="AV716" s="93"/>
      <c r="AW716" s="93"/>
      <c r="AX716" s="92"/>
      <c r="AY716" s="92"/>
      <c r="AZ716" s="90"/>
      <c r="BA716" s="83"/>
      <c r="BB716" s="92"/>
      <c r="BC716" s="92"/>
      <c r="BD716" s="92"/>
      <c r="BE716" s="93"/>
      <c r="BF716" s="92"/>
      <c r="BG716" s="82"/>
      <c r="BH716" s="82"/>
      <c r="BI716" s="29"/>
      <c r="BJ716" s="29"/>
      <c r="BK716" s="29"/>
    </row>
    <row r="717" ht="15.75" hidden="1" customHeight="1">
      <c r="A717" s="75"/>
      <c r="B717" s="73"/>
      <c r="C717" s="76"/>
      <c r="D717" s="76"/>
      <c r="E717" s="76"/>
      <c r="F717" s="77"/>
      <c r="G717" s="78"/>
      <c r="H717" s="76"/>
      <c r="I717" s="76"/>
      <c r="J717" s="79"/>
      <c r="K717" s="80"/>
      <c r="L717" s="81"/>
      <c r="M717" s="81"/>
      <c r="N717" s="82"/>
      <c r="O717" s="83"/>
      <c r="P717" s="84"/>
      <c r="Q717" s="84"/>
      <c r="R717" s="81"/>
      <c r="S717" s="85"/>
      <c r="T717" s="86"/>
      <c r="U717" s="86"/>
      <c r="V717" s="87"/>
      <c r="W717" s="87"/>
      <c r="X717" s="87"/>
      <c r="Y717" s="87"/>
      <c r="Z717" s="87"/>
      <c r="AA717" s="87"/>
      <c r="AB717" s="29"/>
      <c r="AC717" s="94"/>
      <c r="AD717" s="94"/>
      <c r="AE717" s="89"/>
      <c r="AF717" s="89"/>
      <c r="AG717" s="89"/>
      <c r="AH717" s="89"/>
      <c r="AI717" s="90"/>
      <c r="AJ717" s="90"/>
      <c r="AK717" s="90"/>
      <c r="AL717" s="90"/>
      <c r="AM717" s="91"/>
      <c r="AN717" s="91"/>
      <c r="AO717" s="92"/>
      <c r="AP717" s="92"/>
      <c r="AQ717" s="92"/>
      <c r="AR717" s="92"/>
      <c r="AS717" s="93"/>
      <c r="AT717" s="93"/>
      <c r="AU717" s="93"/>
      <c r="AV717" s="93"/>
      <c r="AW717" s="93"/>
      <c r="AX717" s="92"/>
      <c r="AY717" s="92"/>
      <c r="AZ717" s="90"/>
      <c r="BA717" s="83"/>
      <c r="BB717" s="92"/>
      <c r="BC717" s="92"/>
      <c r="BD717" s="92"/>
      <c r="BE717" s="93"/>
      <c r="BF717" s="92"/>
      <c r="BG717" s="82"/>
      <c r="BH717" s="82"/>
      <c r="BI717" s="29"/>
      <c r="BJ717" s="29"/>
      <c r="BK717" s="29"/>
    </row>
    <row r="718" ht="15.75" hidden="1" customHeight="1">
      <c r="A718" s="75"/>
      <c r="B718" s="73"/>
      <c r="C718" s="76"/>
      <c r="D718" s="76"/>
      <c r="E718" s="76"/>
      <c r="F718" s="77"/>
      <c r="G718" s="78"/>
      <c r="H718" s="76"/>
      <c r="I718" s="76"/>
      <c r="J718" s="79"/>
      <c r="K718" s="80"/>
      <c r="L718" s="81"/>
      <c r="M718" s="81"/>
      <c r="N718" s="82"/>
      <c r="O718" s="83"/>
      <c r="P718" s="84"/>
      <c r="Q718" s="84"/>
      <c r="R718" s="81"/>
      <c r="S718" s="85"/>
      <c r="T718" s="86"/>
      <c r="U718" s="86"/>
      <c r="V718" s="87"/>
      <c r="W718" s="87"/>
      <c r="X718" s="87"/>
      <c r="Y718" s="87"/>
      <c r="Z718" s="87"/>
      <c r="AA718" s="87"/>
      <c r="AB718" s="29"/>
      <c r="AC718" s="94"/>
      <c r="AD718" s="94"/>
      <c r="AE718" s="89"/>
      <c r="AF718" s="89"/>
      <c r="AG718" s="89"/>
      <c r="AH718" s="89"/>
      <c r="AI718" s="90"/>
      <c r="AJ718" s="90"/>
      <c r="AK718" s="90"/>
      <c r="AL718" s="90"/>
      <c r="AM718" s="91"/>
      <c r="AN718" s="91"/>
      <c r="AO718" s="92"/>
      <c r="AP718" s="92"/>
      <c r="AQ718" s="92"/>
      <c r="AR718" s="92"/>
      <c r="AS718" s="93"/>
      <c r="AT718" s="93"/>
      <c r="AU718" s="93"/>
      <c r="AV718" s="93"/>
      <c r="AW718" s="93"/>
      <c r="AX718" s="92"/>
      <c r="AY718" s="92"/>
      <c r="AZ718" s="90"/>
      <c r="BA718" s="83"/>
      <c r="BB718" s="92"/>
      <c r="BC718" s="92"/>
      <c r="BD718" s="92"/>
      <c r="BE718" s="93"/>
      <c r="BF718" s="92"/>
      <c r="BG718" s="82"/>
      <c r="BH718" s="82"/>
      <c r="BI718" s="29"/>
      <c r="BJ718" s="29"/>
      <c r="BK718" s="29"/>
    </row>
    <row r="719" ht="15.75" hidden="1" customHeight="1">
      <c r="A719" s="75"/>
      <c r="B719" s="73"/>
      <c r="C719" s="76"/>
      <c r="D719" s="76"/>
      <c r="E719" s="76"/>
      <c r="F719" s="77"/>
      <c r="G719" s="78"/>
      <c r="H719" s="76"/>
      <c r="I719" s="76"/>
      <c r="J719" s="79"/>
      <c r="K719" s="80"/>
      <c r="L719" s="81"/>
      <c r="M719" s="81"/>
      <c r="N719" s="82"/>
      <c r="O719" s="83"/>
      <c r="P719" s="84"/>
      <c r="Q719" s="84"/>
      <c r="R719" s="81"/>
      <c r="S719" s="85"/>
      <c r="T719" s="86"/>
      <c r="U719" s="86"/>
      <c r="V719" s="87"/>
      <c r="W719" s="87"/>
      <c r="X719" s="87"/>
      <c r="Y719" s="87"/>
      <c r="Z719" s="87"/>
      <c r="AA719" s="87"/>
      <c r="AB719" s="29"/>
      <c r="AC719" s="94"/>
      <c r="AD719" s="94"/>
      <c r="AE719" s="89"/>
      <c r="AF719" s="89"/>
      <c r="AG719" s="89"/>
      <c r="AH719" s="89"/>
      <c r="AI719" s="90"/>
      <c r="AJ719" s="90"/>
      <c r="AK719" s="90"/>
      <c r="AL719" s="90"/>
      <c r="AM719" s="91"/>
      <c r="AN719" s="91"/>
      <c r="AO719" s="92"/>
      <c r="AP719" s="92"/>
      <c r="AQ719" s="92"/>
      <c r="AR719" s="92"/>
      <c r="AS719" s="93"/>
      <c r="AT719" s="93"/>
      <c r="AU719" s="93"/>
      <c r="AV719" s="93"/>
      <c r="AW719" s="93"/>
      <c r="AX719" s="92"/>
      <c r="AY719" s="92"/>
      <c r="AZ719" s="90"/>
      <c r="BA719" s="83"/>
      <c r="BB719" s="92"/>
      <c r="BC719" s="92"/>
      <c r="BD719" s="92"/>
      <c r="BE719" s="93"/>
      <c r="BF719" s="92"/>
      <c r="BG719" s="82"/>
      <c r="BH719" s="82"/>
      <c r="BI719" s="29"/>
      <c r="BJ719" s="29"/>
      <c r="BK719" s="29"/>
    </row>
    <row r="720" ht="15.75" hidden="1" customHeight="1">
      <c r="A720" s="75"/>
      <c r="B720" s="73"/>
      <c r="C720" s="76"/>
      <c r="D720" s="76"/>
      <c r="E720" s="76"/>
      <c r="F720" s="77"/>
      <c r="G720" s="78"/>
      <c r="H720" s="76"/>
      <c r="I720" s="76"/>
      <c r="J720" s="79"/>
      <c r="K720" s="80"/>
      <c r="L720" s="81"/>
      <c r="M720" s="81"/>
      <c r="N720" s="82"/>
      <c r="O720" s="83"/>
      <c r="P720" s="84"/>
      <c r="Q720" s="84"/>
      <c r="R720" s="81"/>
      <c r="S720" s="85"/>
      <c r="T720" s="86"/>
      <c r="U720" s="86"/>
      <c r="V720" s="87"/>
      <c r="W720" s="87"/>
      <c r="X720" s="87"/>
      <c r="Y720" s="87"/>
      <c r="Z720" s="87"/>
      <c r="AA720" s="87"/>
      <c r="AB720" s="29"/>
      <c r="AC720" s="94"/>
      <c r="AD720" s="94"/>
      <c r="AE720" s="89"/>
      <c r="AF720" s="89"/>
      <c r="AG720" s="89"/>
      <c r="AH720" s="89"/>
      <c r="AI720" s="90"/>
      <c r="AJ720" s="90"/>
      <c r="AK720" s="90"/>
      <c r="AL720" s="90"/>
      <c r="AM720" s="91"/>
      <c r="AN720" s="91"/>
      <c r="AO720" s="92"/>
      <c r="AP720" s="92"/>
      <c r="AQ720" s="92"/>
      <c r="AR720" s="92"/>
      <c r="AS720" s="93"/>
      <c r="AT720" s="93"/>
      <c r="AU720" s="93"/>
      <c r="AV720" s="93"/>
      <c r="AW720" s="93"/>
      <c r="AX720" s="92"/>
      <c r="AY720" s="92"/>
      <c r="AZ720" s="90"/>
      <c r="BA720" s="83"/>
      <c r="BB720" s="92"/>
      <c r="BC720" s="92"/>
      <c r="BD720" s="92"/>
      <c r="BE720" s="93"/>
      <c r="BF720" s="92"/>
      <c r="BG720" s="82"/>
      <c r="BH720" s="82"/>
      <c r="BI720" s="29"/>
      <c r="BJ720" s="29"/>
      <c r="BK720" s="29"/>
    </row>
    <row r="721" ht="15.75" hidden="1" customHeight="1">
      <c r="A721" s="75"/>
      <c r="B721" s="73"/>
      <c r="C721" s="76"/>
      <c r="D721" s="76"/>
      <c r="E721" s="76"/>
      <c r="F721" s="77"/>
      <c r="G721" s="78"/>
      <c r="H721" s="76"/>
      <c r="I721" s="76"/>
      <c r="J721" s="79"/>
      <c r="K721" s="80"/>
      <c r="L721" s="81"/>
      <c r="M721" s="81"/>
      <c r="N721" s="82"/>
      <c r="O721" s="83"/>
      <c r="P721" s="84"/>
      <c r="Q721" s="84"/>
      <c r="R721" s="81"/>
      <c r="S721" s="85"/>
      <c r="T721" s="86"/>
      <c r="U721" s="86"/>
      <c r="V721" s="87"/>
      <c r="W721" s="87"/>
      <c r="X721" s="87"/>
      <c r="Y721" s="87"/>
      <c r="Z721" s="87"/>
      <c r="AA721" s="87"/>
      <c r="AB721" s="29"/>
      <c r="AC721" s="94"/>
      <c r="AD721" s="94"/>
      <c r="AE721" s="89"/>
      <c r="AF721" s="89"/>
      <c r="AG721" s="89"/>
      <c r="AH721" s="89"/>
      <c r="AI721" s="90"/>
      <c r="AJ721" s="90"/>
      <c r="AK721" s="90"/>
      <c r="AL721" s="90"/>
      <c r="AM721" s="91"/>
      <c r="AN721" s="91"/>
      <c r="AO721" s="92"/>
      <c r="AP721" s="92"/>
      <c r="AQ721" s="92"/>
      <c r="AR721" s="92"/>
      <c r="AS721" s="93"/>
      <c r="AT721" s="93"/>
      <c r="AU721" s="93"/>
      <c r="AV721" s="93"/>
      <c r="AW721" s="93"/>
      <c r="AX721" s="92"/>
      <c r="AY721" s="92"/>
      <c r="AZ721" s="90"/>
      <c r="BA721" s="83"/>
      <c r="BB721" s="92"/>
      <c r="BC721" s="92"/>
      <c r="BD721" s="92"/>
      <c r="BE721" s="93"/>
      <c r="BF721" s="92"/>
      <c r="BG721" s="82"/>
      <c r="BH721" s="82"/>
      <c r="BI721" s="29"/>
      <c r="BJ721" s="29"/>
      <c r="BK721" s="29"/>
    </row>
    <row r="722" ht="15.75" hidden="1" customHeight="1">
      <c r="A722" s="75"/>
      <c r="B722" s="73"/>
      <c r="C722" s="76"/>
      <c r="D722" s="76"/>
      <c r="E722" s="76"/>
      <c r="F722" s="77"/>
      <c r="G722" s="78"/>
      <c r="H722" s="76"/>
      <c r="I722" s="76"/>
      <c r="J722" s="79"/>
      <c r="K722" s="80"/>
      <c r="L722" s="81"/>
      <c r="M722" s="81"/>
      <c r="N722" s="82"/>
      <c r="O722" s="83"/>
      <c r="P722" s="84"/>
      <c r="Q722" s="84"/>
      <c r="R722" s="81"/>
      <c r="S722" s="85"/>
      <c r="T722" s="86"/>
      <c r="U722" s="86"/>
      <c r="V722" s="87"/>
      <c r="W722" s="87"/>
      <c r="X722" s="87"/>
      <c r="Y722" s="87"/>
      <c r="Z722" s="87"/>
      <c r="AA722" s="87"/>
      <c r="AB722" s="29"/>
      <c r="AC722" s="94"/>
      <c r="AD722" s="94"/>
      <c r="AE722" s="89"/>
      <c r="AF722" s="89"/>
      <c r="AG722" s="89"/>
      <c r="AH722" s="89"/>
      <c r="AI722" s="90"/>
      <c r="AJ722" s="90"/>
      <c r="AK722" s="90"/>
      <c r="AL722" s="90"/>
      <c r="AM722" s="91"/>
      <c r="AN722" s="91"/>
      <c r="AO722" s="92"/>
      <c r="AP722" s="92"/>
      <c r="AQ722" s="92"/>
      <c r="AR722" s="92"/>
      <c r="AS722" s="93"/>
      <c r="AT722" s="93"/>
      <c r="AU722" s="93"/>
      <c r="AV722" s="93"/>
      <c r="AW722" s="93"/>
      <c r="AX722" s="92"/>
      <c r="AY722" s="92"/>
      <c r="AZ722" s="90"/>
      <c r="BA722" s="83"/>
      <c r="BB722" s="92"/>
      <c r="BC722" s="92"/>
      <c r="BD722" s="92"/>
      <c r="BE722" s="93"/>
      <c r="BF722" s="92"/>
      <c r="BG722" s="82"/>
      <c r="BH722" s="82"/>
      <c r="BI722" s="29"/>
      <c r="BJ722" s="29"/>
      <c r="BK722" s="29"/>
    </row>
    <row r="723" ht="15.75" hidden="1" customHeight="1">
      <c r="A723" s="75"/>
      <c r="B723" s="73"/>
      <c r="C723" s="76"/>
      <c r="D723" s="76"/>
      <c r="E723" s="76"/>
      <c r="F723" s="77"/>
      <c r="G723" s="78"/>
      <c r="H723" s="76"/>
      <c r="I723" s="76"/>
      <c r="J723" s="79"/>
      <c r="K723" s="80"/>
      <c r="L723" s="81"/>
      <c r="M723" s="81"/>
      <c r="N723" s="82"/>
      <c r="O723" s="83"/>
      <c r="P723" s="84"/>
      <c r="Q723" s="84"/>
      <c r="R723" s="81"/>
      <c r="S723" s="85"/>
      <c r="T723" s="86"/>
      <c r="U723" s="86"/>
      <c r="V723" s="87"/>
      <c r="W723" s="87"/>
      <c r="X723" s="87"/>
      <c r="Y723" s="87"/>
      <c r="Z723" s="87"/>
      <c r="AA723" s="87"/>
      <c r="AB723" s="29"/>
      <c r="AC723" s="94"/>
      <c r="AD723" s="94"/>
      <c r="AE723" s="89"/>
      <c r="AF723" s="89"/>
      <c r="AG723" s="89"/>
      <c r="AH723" s="89"/>
      <c r="AI723" s="90"/>
      <c r="AJ723" s="90"/>
      <c r="AK723" s="90"/>
      <c r="AL723" s="90"/>
      <c r="AM723" s="91"/>
      <c r="AN723" s="91"/>
      <c r="AO723" s="92"/>
      <c r="AP723" s="92"/>
      <c r="AQ723" s="92"/>
      <c r="AR723" s="92"/>
      <c r="AS723" s="93"/>
      <c r="AT723" s="93"/>
      <c r="AU723" s="93"/>
      <c r="AV723" s="93"/>
      <c r="AW723" s="93"/>
      <c r="AX723" s="92"/>
      <c r="AY723" s="92"/>
      <c r="AZ723" s="90"/>
      <c r="BA723" s="83"/>
      <c r="BB723" s="92"/>
      <c r="BC723" s="92"/>
      <c r="BD723" s="92"/>
      <c r="BE723" s="93"/>
      <c r="BF723" s="92"/>
      <c r="BG723" s="82"/>
      <c r="BH723" s="82"/>
      <c r="BI723" s="29"/>
      <c r="BJ723" s="29"/>
      <c r="BK723" s="29"/>
    </row>
    <row r="724" ht="15.75" hidden="1" customHeight="1">
      <c r="A724" s="75"/>
      <c r="B724" s="73"/>
      <c r="C724" s="76"/>
      <c r="D724" s="76"/>
      <c r="E724" s="76"/>
      <c r="F724" s="77"/>
      <c r="G724" s="78"/>
      <c r="H724" s="76"/>
      <c r="I724" s="76"/>
      <c r="J724" s="79"/>
      <c r="K724" s="80"/>
      <c r="L724" s="81"/>
      <c r="M724" s="81"/>
      <c r="N724" s="82"/>
      <c r="O724" s="83"/>
      <c r="P724" s="84"/>
      <c r="Q724" s="84"/>
      <c r="R724" s="81"/>
      <c r="S724" s="85"/>
      <c r="T724" s="86"/>
      <c r="U724" s="86"/>
      <c r="V724" s="87"/>
      <c r="W724" s="87"/>
      <c r="X724" s="87"/>
      <c r="Y724" s="87"/>
      <c r="Z724" s="87"/>
      <c r="AA724" s="87"/>
      <c r="AB724" s="29"/>
      <c r="AC724" s="94"/>
      <c r="AD724" s="94"/>
      <c r="AE724" s="89"/>
      <c r="AF724" s="89"/>
      <c r="AG724" s="89"/>
      <c r="AH724" s="89"/>
      <c r="AI724" s="90"/>
      <c r="AJ724" s="90"/>
      <c r="AK724" s="90"/>
      <c r="AL724" s="90"/>
      <c r="AM724" s="91"/>
      <c r="AN724" s="91"/>
      <c r="AO724" s="92"/>
      <c r="AP724" s="92"/>
      <c r="AQ724" s="92"/>
      <c r="AR724" s="92"/>
      <c r="AS724" s="93"/>
      <c r="AT724" s="93"/>
      <c r="AU724" s="93"/>
      <c r="AV724" s="93"/>
      <c r="AW724" s="93"/>
      <c r="AX724" s="92"/>
      <c r="AY724" s="92"/>
      <c r="AZ724" s="90"/>
      <c r="BA724" s="83"/>
      <c r="BB724" s="92"/>
      <c r="BC724" s="92"/>
      <c r="BD724" s="92"/>
      <c r="BE724" s="93"/>
      <c r="BF724" s="92"/>
      <c r="BG724" s="82"/>
      <c r="BH724" s="82"/>
      <c r="BI724" s="29"/>
      <c r="BJ724" s="29"/>
      <c r="BK724" s="29"/>
    </row>
    <row r="725" ht="15.75" hidden="1" customHeight="1">
      <c r="A725" s="75"/>
      <c r="B725" s="73"/>
      <c r="C725" s="76"/>
      <c r="D725" s="76"/>
      <c r="E725" s="76"/>
      <c r="F725" s="77"/>
      <c r="G725" s="78"/>
      <c r="H725" s="76"/>
      <c r="I725" s="76"/>
      <c r="J725" s="79"/>
      <c r="K725" s="80"/>
      <c r="L725" s="81"/>
      <c r="M725" s="81"/>
      <c r="N725" s="82"/>
      <c r="O725" s="83"/>
      <c r="P725" s="84"/>
      <c r="Q725" s="84"/>
      <c r="R725" s="81"/>
      <c r="S725" s="85"/>
      <c r="T725" s="86"/>
      <c r="U725" s="86"/>
      <c r="V725" s="87"/>
      <c r="W725" s="87"/>
      <c r="X725" s="87"/>
      <c r="Y725" s="87"/>
      <c r="Z725" s="87"/>
      <c r="AA725" s="87"/>
      <c r="AB725" s="29"/>
      <c r="AC725" s="94"/>
      <c r="AD725" s="94"/>
      <c r="AE725" s="89"/>
      <c r="AF725" s="89"/>
      <c r="AG725" s="89"/>
      <c r="AH725" s="89"/>
      <c r="AI725" s="90"/>
      <c r="AJ725" s="90"/>
      <c r="AK725" s="90"/>
      <c r="AL725" s="90"/>
      <c r="AM725" s="91"/>
      <c r="AN725" s="91"/>
      <c r="AO725" s="92"/>
      <c r="AP725" s="92"/>
      <c r="AQ725" s="92"/>
      <c r="AR725" s="92"/>
      <c r="AS725" s="93"/>
      <c r="AT725" s="93"/>
      <c r="AU725" s="93"/>
      <c r="AV725" s="93"/>
      <c r="AW725" s="93"/>
      <c r="AX725" s="92"/>
      <c r="AY725" s="92"/>
      <c r="AZ725" s="90"/>
      <c r="BA725" s="83"/>
      <c r="BB725" s="92"/>
      <c r="BC725" s="92"/>
      <c r="BD725" s="92"/>
      <c r="BE725" s="93"/>
      <c r="BF725" s="92"/>
      <c r="BG725" s="82"/>
      <c r="BH725" s="82"/>
      <c r="BI725" s="29"/>
      <c r="BJ725" s="29"/>
      <c r="BK725" s="29"/>
    </row>
    <row r="726" ht="15.75" hidden="1" customHeight="1">
      <c r="A726" s="75"/>
      <c r="B726" s="73"/>
      <c r="C726" s="76"/>
      <c r="D726" s="76"/>
      <c r="E726" s="76"/>
      <c r="F726" s="77"/>
      <c r="G726" s="78"/>
      <c r="H726" s="76"/>
      <c r="I726" s="76"/>
      <c r="J726" s="79"/>
      <c r="K726" s="80"/>
      <c r="L726" s="81"/>
      <c r="M726" s="81"/>
      <c r="N726" s="82"/>
      <c r="O726" s="83"/>
      <c r="P726" s="84"/>
      <c r="Q726" s="84"/>
      <c r="R726" s="81"/>
      <c r="S726" s="85"/>
      <c r="T726" s="86"/>
      <c r="U726" s="86"/>
      <c r="V726" s="87"/>
      <c r="W726" s="87"/>
      <c r="X726" s="87"/>
      <c r="Y726" s="87"/>
      <c r="Z726" s="87"/>
      <c r="AA726" s="87"/>
      <c r="AB726" s="29"/>
      <c r="AC726" s="94"/>
      <c r="AD726" s="94"/>
      <c r="AE726" s="89"/>
      <c r="AF726" s="89"/>
      <c r="AG726" s="89"/>
      <c r="AH726" s="89"/>
      <c r="AI726" s="90"/>
      <c r="AJ726" s="90"/>
      <c r="AK726" s="90"/>
      <c r="AL726" s="90"/>
      <c r="AM726" s="91"/>
      <c r="AN726" s="91"/>
      <c r="AO726" s="92"/>
      <c r="AP726" s="92"/>
      <c r="AQ726" s="92"/>
      <c r="AR726" s="92"/>
      <c r="AS726" s="93"/>
      <c r="AT726" s="93"/>
      <c r="AU726" s="93"/>
      <c r="AV726" s="93"/>
      <c r="AW726" s="93"/>
      <c r="AX726" s="92"/>
      <c r="AY726" s="92"/>
      <c r="AZ726" s="90"/>
      <c r="BA726" s="83"/>
      <c r="BB726" s="92"/>
      <c r="BC726" s="92"/>
      <c r="BD726" s="92"/>
      <c r="BE726" s="93"/>
      <c r="BF726" s="92"/>
      <c r="BG726" s="82"/>
      <c r="BH726" s="82"/>
      <c r="BI726" s="29"/>
      <c r="BJ726" s="29"/>
      <c r="BK726" s="29"/>
    </row>
    <row r="727" ht="15.75" hidden="1" customHeight="1">
      <c r="A727" s="75"/>
      <c r="B727" s="73"/>
      <c r="C727" s="76"/>
      <c r="D727" s="76"/>
      <c r="E727" s="76"/>
      <c r="F727" s="77"/>
      <c r="G727" s="78"/>
      <c r="H727" s="76"/>
      <c r="I727" s="76"/>
      <c r="J727" s="79"/>
      <c r="K727" s="80"/>
      <c r="L727" s="81"/>
      <c r="M727" s="81"/>
      <c r="N727" s="82"/>
      <c r="O727" s="83"/>
      <c r="P727" s="84"/>
      <c r="Q727" s="84"/>
      <c r="R727" s="81"/>
      <c r="S727" s="85"/>
      <c r="T727" s="86"/>
      <c r="U727" s="86"/>
      <c r="V727" s="87"/>
      <c r="W727" s="87"/>
      <c r="X727" s="87"/>
      <c r="Y727" s="87"/>
      <c r="Z727" s="87"/>
      <c r="AA727" s="87"/>
      <c r="AB727" s="29"/>
      <c r="AC727" s="94"/>
      <c r="AD727" s="94"/>
      <c r="AE727" s="89"/>
      <c r="AF727" s="89"/>
      <c r="AG727" s="89"/>
      <c r="AH727" s="89"/>
      <c r="AI727" s="90"/>
      <c r="AJ727" s="90"/>
      <c r="AK727" s="90"/>
      <c r="AL727" s="90"/>
      <c r="AM727" s="91"/>
      <c r="AN727" s="91"/>
      <c r="AO727" s="92"/>
      <c r="AP727" s="92"/>
      <c r="AQ727" s="92"/>
      <c r="AR727" s="92"/>
      <c r="AS727" s="93"/>
      <c r="AT727" s="93"/>
      <c r="AU727" s="93"/>
      <c r="AV727" s="93"/>
      <c r="AW727" s="93"/>
      <c r="AX727" s="92"/>
      <c r="AY727" s="92"/>
      <c r="AZ727" s="90"/>
      <c r="BA727" s="83"/>
      <c r="BB727" s="92"/>
      <c r="BC727" s="92"/>
      <c r="BD727" s="92"/>
      <c r="BE727" s="93"/>
      <c r="BF727" s="92"/>
      <c r="BG727" s="82"/>
      <c r="BH727" s="82"/>
      <c r="BI727" s="29"/>
      <c r="BJ727" s="29"/>
      <c r="BK727" s="29"/>
    </row>
    <row r="728" ht="15.75" hidden="1" customHeight="1">
      <c r="A728" s="75"/>
      <c r="B728" s="73"/>
      <c r="C728" s="76"/>
      <c r="D728" s="76"/>
      <c r="E728" s="76"/>
      <c r="F728" s="77"/>
      <c r="G728" s="78"/>
      <c r="H728" s="76"/>
      <c r="I728" s="76"/>
      <c r="J728" s="79"/>
      <c r="K728" s="80"/>
      <c r="L728" s="81"/>
      <c r="M728" s="81"/>
      <c r="N728" s="82"/>
      <c r="O728" s="83"/>
      <c r="P728" s="84"/>
      <c r="Q728" s="84"/>
      <c r="R728" s="81"/>
      <c r="S728" s="85"/>
      <c r="T728" s="86"/>
      <c r="U728" s="86"/>
      <c r="V728" s="87"/>
      <c r="W728" s="87"/>
      <c r="X728" s="87"/>
      <c r="Y728" s="87"/>
      <c r="Z728" s="87"/>
      <c r="AA728" s="87"/>
      <c r="AB728" s="29"/>
      <c r="AC728" s="94"/>
      <c r="AD728" s="94"/>
      <c r="AE728" s="89"/>
      <c r="AF728" s="89"/>
      <c r="AG728" s="89"/>
      <c r="AH728" s="89"/>
      <c r="AI728" s="90"/>
      <c r="AJ728" s="90"/>
      <c r="AK728" s="90"/>
      <c r="AL728" s="90"/>
      <c r="AM728" s="91"/>
      <c r="AN728" s="91"/>
      <c r="AO728" s="92"/>
      <c r="AP728" s="92"/>
      <c r="AQ728" s="92"/>
      <c r="AR728" s="92"/>
      <c r="AS728" s="93"/>
      <c r="AT728" s="93"/>
      <c r="AU728" s="93"/>
      <c r="AV728" s="93"/>
      <c r="AW728" s="93"/>
      <c r="AX728" s="92"/>
      <c r="AY728" s="92"/>
      <c r="AZ728" s="90"/>
      <c r="BA728" s="83"/>
      <c r="BB728" s="92"/>
      <c r="BC728" s="92"/>
      <c r="BD728" s="92"/>
      <c r="BE728" s="93"/>
      <c r="BF728" s="92"/>
      <c r="BG728" s="82"/>
      <c r="BH728" s="82"/>
      <c r="BI728" s="29"/>
      <c r="BJ728" s="29"/>
      <c r="BK728" s="29"/>
    </row>
    <row r="729" ht="15.75" hidden="1" customHeight="1">
      <c r="A729" s="75"/>
      <c r="B729" s="73"/>
      <c r="C729" s="76"/>
      <c r="D729" s="76"/>
      <c r="E729" s="76"/>
      <c r="F729" s="77"/>
      <c r="G729" s="78"/>
      <c r="H729" s="76"/>
      <c r="I729" s="76"/>
      <c r="J729" s="79"/>
      <c r="K729" s="80"/>
      <c r="L729" s="81"/>
      <c r="M729" s="81"/>
      <c r="N729" s="82"/>
      <c r="O729" s="83"/>
      <c r="P729" s="84"/>
      <c r="Q729" s="84"/>
      <c r="R729" s="81"/>
      <c r="S729" s="85"/>
      <c r="T729" s="86"/>
      <c r="U729" s="86"/>
      <c r="V729" s="87"/>
      <c r="W729" s="87"/>
      <c r="X729" s="87"/>
      <c r="Y729" s="87"/>
      <c r="Z729" s="87"/>
      <c r="AA729" s="87"/>
      <c r="AB729" s="29"/>
      <c r="AC729" s="94"/>
      <c r="AD729" s="94"/>
      <c r="AE729" s="89"/>
      <c r="AF729" s="89"/>
      <c r="AG729" s="89"/>
      <c r="AH729" s="89"/>
      <c r="AI729" s="90"/>
      <c r="AJ729" s="90"/>
      <c r="AK729" s="90"/>
      <c r="AL729" s="90"/>
      <c r="AM729" s="91"/>
      <c r="AN729" s="91"/>
      <c r="AO729" s="92"/>
      <c r="AP729" s="92"/>
      <c r="AQ729" s="92"/>
      <c r="AR729" s="92"/>
      <c r="AS729" s="93"/>
      <c r="AT729" s="93"/>
      <c r="AU729" s="93"/>
      <c r="AV729" s="93"/>
      <c r="AW729" s="93"/>
      <c r="AX729" s="92"/>
      <c r="AY729" s="92"/>
      <c r="AZ729" s="90"/>
      <c r="BA729" s="83"/>
      <c r="BB729" s="92"/>
      <c r="BC729" s="92"/>
      <c r="BD729" s="92"/>
      <c r="BE729" s="93"/>
      <c r="BF729" s="92"/>
      <c r="BG729" s="82"/>
      <c r="BH729" s="82"/>
      <c r="BI729" s="29"/>
      <c r="BJ729" s="29"/>
      <c r="BK729" s="29"/>
    </row>
    <row r="730" ht="15.75" hidden="1" customHeight="1">
      <c r="A730" s="75"/>
      <c r="B730" s="73"/>
      <c r="C730" s="76"/>
      <c r="D730" s="76"/>
      <c r="E730" s="76"/>
      <c r="F730" s="77"/>
      <c r="G730" s="78"/>
      <c r="H730" s="76"/>
      <c r="I730" s="76"/>
      <c r="J730" s="79"/>
      <c r="K730" s="80"/>
      <c r="L730" s="81"/>
      <c r="M730" s="81"/>
      <c r="N730" s="82"/>
      <c r="O730" s="83"/>
      <c r="P730" s="84"/>
      <c r="Q730" s="84"/>
      <c r="R730" s="81"/>
      <c r="S730" s="85"/>
      <c r="T730" s="86"/>
      <c r="U730" s="86"/>
      <c r="V730" s="87"/>
      <c r="W730" s="87"/>
      <c r="X730" s="87"/>
      <c r="Y730" s="87"/>
      <c r="Z730" s="87"/>
      <c r="AA730" s="87"/>
      <c r="AB730" s="29"/>
      <c r="AC730" s="94"/>
      <c r="AD730" s="94"/>
      <c r="AE730" s="89"/>
      <c r="AF730" s="89"/>
      <c r="AG730" s="89"/>
      <c r="AH730" s="89"/>
      <c r="AI730" s="90"/>
      <c r="AJ730" s="90"/>
      <c r="AK730" s="90"/>
      <c r="AL730" s="90"/>
      <c r="AM730" s="91"/>
      <c r="AN730" s="91"/>
      <c r="AO730" s="92"/>
      <c r="AP730" s="92"/>
      <c r="AQ730" s="92"/>
      <c r="AR730" s="92"/>
      <c r="AS730" s="93"/>
      <c r="AT730" s="93"/>
      <c r="AU730" s="93"/>
      <c r="AV730" s="93"/>
      <c r="AW730" s="93"/>
      <c r="AX730" s="92"/>
      <c r="AY730" s="92"/>
      <c r="AZ730" s="90"/>
      <c r="BA730" s="83"/>
      <c r="BB730" s="92"/>
      <c r="BC730" s="92"/>
      <c r="BD730" s="92"/>
      <c r="BE730" s="93"/>
      <c r="BF730" s="92"/>
      <c r="BG730" s="82"/>
      <c r="BH730" s="82"/>
      <c r="BI730" s="29"/>
      <c r="BJ730" s="29"/>
      <c r="BK730" s="29"/>
    </row>
    <row r="731" ht="15.75" hidden="1" customHeight="1">
      <c r="A731" s="75"/>
      <c r="B731" s="73"/>
      <c r="C731" s="76"/>
      <c r="D731" s="76"/>
      <c r="E731" s="76"/>
      <c r="F731" s="77"/>
      <c r="G731" s="78"/>
      <c r="H731" s="76"/>
      <c r="I731" s="76"/>
      <c r="J731" s="79"/>
      <c r="K731" s="80"/>
      <c r="L731" s="81"/>
      <c r="M731" s="81"/>
      <c r="N731" s="82"/>
      <c r="O731" s="83"/>
      <c r="P731" s="84"/>
      <c r="Q731" s="84"/>
      <c r="R731" s="81"/>
      <c r="S731" s="85"/>
      <c r="T731" s="86"/>
      <c r="U731" s="86"/>
      <c r="V731" s="87"/>
      <c r="W731" s="87"/>
      <c r="X731" s="87"/>
      <c r="Y731" s="87"/>
      <c r="Z731" s="87"/>
      <c r="AA731" s="87"/>
      <c r="AB731" s="29"/>
      <c r="AC731" s="94"/>
      <c r="AD731" s="94"/>
      <c r="AE731" s="89"/>
      <c r="AF731" s="89"/>
      <c r="AG731" s="89"/>
      <c r="AH731" s="89"/>
      <c r="AI731" s="90"/>
      <c r="AJ731" s="90"/>
      <c r="AK731" s="90"/>
      <c r="AL731" s="90"/>
      <c r="AM731" s="91"/>
      <c r="AN731" s="91"/>
      <c r="AO731" s="92"/>
      <c r="AP731" s="92"/>
      <c r="AQ731" s="92"/>
      <c r="AR731" s="92"/>
      <c r="AS731" s="93"/>
      <c r="AT731" s="93"/>
      <c r="AU731" s="93"/>
      <c r="AV731" s="93"/>
      <c r="AW731" s="93"/>
      <c r="AX731" s="92"/>
      <c r="AY731" s="92"/>
      <c r="AZ731" s="90"/>
      <c r="BA731" s="83"/>
      <c r="BB731" s="92"/>
      <c r="BC731" s="92"/>
      <c r="BD731" s="92"/>
      <c r="BE731" s="93"/>
      <c r="BF731" s="92"/>
      <c r="BG731" s="82"/>
      <c r="BH731" s="82"/>
      <c r="BI731" s="29"/>
      <c r="BJ731" s="29"/>
      <c r="BK731" s="29"/>
    </row>
    <row r="732" ht="15.75" hidden="1" customHeight="1">
      <c r="A732" s="75"/>
      <c r="B732" s="73"/>
      <c r="C732" s="76"/>
      <c r="D732" s="76"/>
      <c r="E732" s="76"/>
      <c r="F732" s="77"/>
      <c r="G732" s="78"/>
      <c r="H732" s="76"/>
      <c r="I732" s="76"/>
      <c r="J732" s="79"/>
      <c r="K732" s="80"/>
      <c r="L732" s="81"/>
      <c r="M732" s="81"/>
      <c r="N732" s="82"/>
      <c r="O732" s="83"/>
      <c r="P732" s="84"/>
      <c r="Q732" s="84"/>
      <c r="R732" s="81"/>
      <c r="S732" s="85"/>
      <c r="T732" s="86"/>
      <c r="U732" s="86"/>
      <c r="V732" s="87"/>
      <c r="W732" s="87"/>
      <c r="X732" s="87"/>
      <c r="Y732" s="87"/>
      <c r="Z732" s="87"/>
      <c r="AA732" s="87"/>
      <c r="AB732" s="29"/>
      <c r="AC732" s="94"/>
      <c r="AD732" s="94"/>
      <c r="AE732" s="89"/>
      <c r="AF732" s="89"/>
      <c r="AG732" s="89"/>
      <c r="AH732" s="89"/>
      <c r="AI732" s="90"/>
      <c r="AJ732" s="90"/>
      <c r="AK732" s="90"/>
      <c r="AL732" s="90"/>
      <c r="AM732" s="91"/>
      <c r="AN732" s="91"/>
      <c r="AO732" s="92"/>
      <c r="AP732" s="92"/>
      <c r="AQ732" s="92"/>
      <c r="AR732" s="92"/>
      <c r="AS732" s="93"/>
      <c r="AT732" s="93"/>
      <c r="AU732" s="93"/>
      <c r="AV732" s="93"/>
      <c r="AW732" s="93"/>
      <c r="AX732" s="92"/>
      <c r="AY732" s="92"/>
      <c r="AZ732" s="90"/>
      <c r="BA732" s="83"/>
      <c r="BB732" s="92"/>
      <c r="BC732" s="92"/>
      <c r="BD732" s="92"/>
      <c r="BE732" s="93"/>
      <c r="BF732" s="92"/>
      <c r="BG732" s="82"/>
      <c r="BH732" s="82"/>
      <c r="BI732" s="29"/>
      <c r="BJ732" s="29"/>
      <c r="BK732" s="29"/>
    </row>
    <row r="733" ht="15.75" hidden="1" customHeight="1">
      <c r="A733" s="75"/>
      <c r="B733" s="73"/>
      <c r="C733" s="76"/>
      <c r="D733" s="76"/>
      <c r="E733" s="76"/>
      <c r="F733" s="77"/>
      <c r="G733" s="78"/>
      <c r="H733" s="76"/>
      <c r="I733" s="76"/>
      <c r="J733" s="79"/>
      <c r="K733" s="80"/>
      <c r="L733" s="81"/>
      <c r="M733" s="81"/>
      <c r="N733" s="82"/>
      <c r="O733" s="83"/>
      <c r="P733" s="84"/>
      <c r="Q733" s="84"/>
      <c r="R733" s="81"/>
      <c r="S733" s="85"/>
      <c r="T733" s="86"/>
      <c r="U733" s="86"/>
      <c r="V733" s="87"/>
      <c r="W733" s="87"/>
      <c r="X733" s="87"/>
      <c r="Y733" s="87"/>
      <c r="Z733" s="87"/>
      <c r="AA733" s="87"/>
      <c r="AB733" s="29"/>
      <c r="AC733" s="94"/>
      <c r="AD733" s="94"/>
      <c r="AE733" s="89"/>
      <c r="AF733" s="89"/>
      <c r="AG733" s="89"/>
      <c r="AH733" s="89"/>
      <c r="AI733" s="90"/>
      <c r="AJ733" s="90"/>
      <c r="AK733" s="90"/>
      <c r="AL733" s="90"/>
      <c r="AM733" s="91"/>
      <c r="AN733" s="91"/>
      <c r="AO733" s="92"/>
      <c r="AP733" s="92"/>
      <c r="AQ733" s="92"/>
      <c r="AR733" s="92"/>
      <c r="AS733" s="93"/>
      <c r="AT733" s="93"/>
      <c r="AU733" s="93"/>
      <c r="AV733" s="93"/>
      <c r="AW733" s="93"/>
      <c r="AX733" s="92"/>
      <c r="AY733" s="92"/>
      <c r="AZ733" s="90"/>
      <c r="BA733" s="83"/>
      <c r="BB733" s="92"/>
      <c r="BC733" s="92"/>
      <c r="BD733" s="92"/>
      <c r="BE733" s="93"/>
      <c r="BF733" s="92"/>
      <c r="BG733" s="82"/>
      <c r="BH733" s="82"/>
      <c r="BI733" s="29"/>
      <c r="BJ733" s="29"/>
      <c r="BK733" s="29"/>
    </row>
    <row r="734" ht="15.75" hidden="1" customHeight="1">
      <c r="A734" s="75"/>
      <c r="B734" s="73"/>
      <c r="C734" s="76"/>
      <c r="D734" s="76"/>
      <c r="E734" s="76"/>
      <c r="F734" s="77"/>
      <c r="G734" s="78"/>
      <c r="H734" s="76"/>
      <c r="I734" s="76"/>
      <c r="J734" s="79"/>
      <c r="K734" s="80"/>
      <c r="L734" s="81"/>
      <c r="M734" s="81"/>
      <c r="N734" s="82"/>
      <c r="O734" s="83"/>
      <c r="P734" s="84"/>
      <c r="Q734" s="84"/>
      <c r="R734" s="81"/>
      <c r="S734" s="85"/>
      <c r="T734" s="86"/>
      <c r="U734" s="86"/>
      <c r="V734" s="87"/>
      <c r="W734" s="87"/>
      <c r="X734" s="87"/>
      <c r="Y734" s="87"/>
      <c r="Z734" s="87"/>
      <c r="AA734" s="87"/>
      <c r="AB734" s="29"/>
      <c r="AC734" s="94"/>
      <c r="AD734" s="94"/>
      <c r="AE734" s="89"/>
      <c r="AF734" s="89"/>
      <c r="AG734" s="89"/>
      <c r="AH734" s="89"/>
      <c r="AI734" s="90"/>
      <c r="AJ734" s="90"/>
      <c r="AK734" s="90"/>
      <c r="AL734" s="90"/>
      <c r="AM734" s="91"/>
      <c r="AN734" s="91"/>
      <c r="AO734" s="92"/>
      <c r="AP734" s="92"/>
      <c r="AQ734" s="92"/>
      <c r="AR734" s="92"/>
      <c r="AS734" s="93"/>
      <c r="AT734" s="93"/>
      <c r="AU734" s="93"/>
      <c r="AV734" s="93"/>
      <c r="AW734" s="93"/>
      <c r="AX734" s="92"/>
      <c r="AY734" s="92"/>
      <c r="AZ734" s="90"/>
      <c r="BA734" s="83"/>
      <c r="BB734" s="92"/>
      <c r="BC734" s="92"/>
      <c r="BD734" s="92"/>
      <c r="BE734" s="93"/>
      <c r="BF734" s="92"/>
      <c r="BG734" s="82"/>
      <c r="BH734" s="82"/>
      <c r="BI734" s="29"/>
      <c r="BJ734" s="29"/>
      <c r="BK734" s="29"/>
    </row>
    <row r="735" ht="15.75" hidden="1" customHeight="1">
      <c r="A735" s="75"/>
      <c r="B735" s="73"/>
      <c r="C735" s="76"/>
      <c r="D735" s="76"/>
      <c r="E735" s="76"/>
      <c r="F735" s="77"/>
      <c r="G735" s="78"/>
      <c r="H735" s="76"/>
      <c r="I735" s="76"/>
      <c r="J735" s="79"/>
      <c r="K735" s="80"/>
      <c r="L735" s="81"/>
      <c r="M735" s="81"/>
      <c r="N735" s="82"/>
      <c r="O735" s="83"/>
      <c r="P735" s="84"/>
      <c r="Q735" s="84"/>
      <c r="R735" s="81"/>
      <c r="S735" s="85"/>
      <c r="T735" s="86"/>
      <c r="U735" s="86"/>
      <c r="V735" s="87"/>
      <c r="W735" s="87"/>
      <c r="X735" s="87"/>
      <c r="Y735" s="87"/>
      <c r="Z735" s="87"/>
      <c r="AA735" s="87"/>
      <c r="AB735" s="29"/>
      <c r="AC735" s="94"/>
      <c r="AD735" s="94"/>
      <c r="AE735" s="89"/>
      <c r="AF735" s="89"/>
      <c r="AG735" s="89"/>
      <c r="AH735" s="89"/>
      <c r="AI735" s="90"/>
      <c r="AJ735" s="90"/>
      <c r="AK735" s="90"/>
      <c r="AL735" s="90"/>
      <c r="AM735" s="91"/>
      <c r="AN735" s="91"/>
      <c r="AO735" s="92"/>
      <c r="AP735" s="92"/>
      <c r="AQ735" s="92"/>
      <c r="AR735" s="92"/>
      <c r="AS735" s="93"/>
      <c r="AT735" s="93"/>
      <c r="AU735" s="93"/>
      <c r="AV735" s="93"/>
      <c r="AW735" s="93"/>
      <c r="AX735" s="92"/>
      <c r="AY735" s="92"/>
      <c r="AZ735" s="90"/>
      <c r="BA735" s="83"/>
      <c r="BB735" s="92"/>
      <c r="BC735" s="92"/>
      <c r="BD735" s="92"/>
      <c r="BE735" s="93"/>
      <c r="BF735" s="92"/>
      <c r="BG735" s="82"/>
      <c r="BH735" s="82"/>
      <c r="BI735" s="29"/>
      <c r="BJ735" s="29"/>
      <c r="BK735" s="29"/>
    </row>
    <row r="736" ht="15.75" hidden="1" customHeight="1">
      <c r="A736" s="75"/>
      <c r="B736" s="73"/>
      <c r="C736" s="76"/>
      <c r="D736" s="76"/>
      <c r="E736" s="76"/>
      <c r="F736" s="77"/>
      <c r="G736" s="78"/>
      <c r="H736" s="76"/>
      <c r="I736" s="76"/>
      <c r="J736" s="79"/>
      <c r="K736" s="80"/>
      <c r="L736" s="81"/>
      <c r="M736" s="81"/>
      <c r="N736" s="82"/>
      <c r="O736" s="83"/>
      <c r="P736" s="84"/>
      <c r="Q736" s="84"/>
      <c r="R736" s="81"/>
      <c r="S736" s="85"/>
      <c r="T736" s="86"/>
      <c r="U736" s="86"/>
      <c r="V736" s="87"/>
      <c r="W736" s="87"/>
      <c r="X736" s="87"/>
      <c r="Y736" s="87"/>
      <c r="Z736" s="87"/>
      <c r="AA736" s="87"/>
      <c r="AB736" s="29"/>
      <c r="AC736" s="94"/>
      <c r="AD736" s="94"/>
      <c r="AE736" s="89"/>
      <c r="AF736" s="89"/>
      <c r="AG736" s="89"/>
      <c r="AH736" s="89"/>
      <c r="AI736" s="90"/>
      <c r="AJ736" s="90"/>
      <c r="AK736" s="90"/>
      <c r="AL736" s="90"/>
      <c r="AM736" s="91"/>
      <c r="AN736" s="91"/>
      <c r="AO736" s="92"/>
      <c r="AP736" s="92"/>
      <c r="AQ736" s="92"/>
      <c r="AR736" s="92"/>
      <c r="AS736" s="93"/>
      <c r="AT736" s="93"/>
      <c r="AU736" s="93"/>
      <c r="AV736" s="93"/>
      <c r="AW736" s="93"/>
      <c r="AX736" s="92"/>
      <c r="AY736" s="92"/>
      <c r="AZ736" s="90"/>
      <c r="BA736" s="83"/>
      <c r="BB736" s="92"/>
      <c r="BC736" s="92"/>
      <c r="BD736" s="92"/>
      <c r="BE736" s="93"/>
      <c r="BF736" s="92"/>
      <c r="BG736" s="82"/>
      <c r="BH736" s="82"/>
      <c r="BI736" s="29"/>
      <c r="BJ736" s="29"/>
      <c r="BK736" s="29"/>
    </row>
    <row r="737" ht="15.75" hidden="1" customHeight="1">
      <c r="A737" s="75"/>
      <c r="B737" s="73"/>
      <c r="C737" s="76"/>
      <c r="D737" s="76"/>
      <c r="E737" s="76"/>
      <c r="F737" s="77"/>
      <c r="G737" s="78"/>
      <c r="H737" s="76"/>
      <c r="I737" s="76"/>
      <c r="J737" s="79"/>
      <c r="K737" s="80"/>
      <c r="L737" s="81"/>
      <c r="M737" s="81"/>
      <c r="N737" s="82"/>
      <c r="O737" s="83"/>
      <c r="P737" s="84"/>
      <c r="Q737" s="84"/>
      <c r="R737" s="81"/>
      <c r="S737" s="85"/>
      <c r="T737" s="86"/>
      <c r="U737" s="86"/>
      <c r="V737" s="87"/>
      <c r="W737" s="87"/>
      <c r="X737" s="87"/>
      <c r="Y737" s="87"/>
      <c r="Z737" s="87"/>
      <c r="AA737" s="87"/>
      <c r="AB737" s="29"/>
      <c r="AC737" s="94"/>
      <c r="AD737" s="94"/>
      <c r="AE737" s="89"/>
      <c r="AF737" s="89"/>
      <c r="AG737" s="89"/>
      <c r="AH737" s="89"/>
      <c r="AI737" s="90"/>
      <c r="AJ737" s="90"/>
      <c r="AK737" s="90"/>
      <c r="AL737" s="90"/>
      <c r="AM737" s="91"/>
      <c r="AN737" s="91"/>
      <c r="AO737" s="92"/>
      <c r="AP737" s="92"/>
      <c r="AQ737" s="92"/>
      <c r="AR737" s="92"/>
      <c r="AS737" s="93"/>
      <c r="AT737" s="93"/>
      <c r="AU737" s="93"/>
      <c r="AV737" s="93"/>
      <c r="AW737" s="93"/>
      <c r="AX737" s="92"/>
      <c r="AY737" s="92"/>
      <c r="AZ737" s="90"/>
      <c r="BA737" s="83"/>
      <c r="BB737" s="92"/>
      <c r="BC737" s="92"/>
      <c r="BD737" s="92"/>
      <c r="BE737" s="93"/>
      <c r="BF737" s="92"/>
      <c r="BG737" s="82"/>
      <c r="BH737" s="82"/>
      <c r="BI737" s="29"/>
      <c r="BJ737" s="29"/>
      <c r="BK737" s="29"/>
    </row>
    <row r="738" ht="15.75" hidden="1" customHeight="1">
      <c r="A738" s="75"/>
      <c r="B738" s="73"/>
      <c r="C738" s="76"/>
      <c r="D738" s="76"/>
      <c r="E738" s="76"/>
      <c r="F738" s="77"/>
      <c r="G738" s="78"/>
      <c r="H738" s="76"/>
      <c r="I738" s="76"/>
      <c r="J738" s="79"/>
      <c r="K738" s="80"/>
      <c r="L738" s="81"/>
      <c r="M738" s="81"/>
      <c r="N738" s="82"/>
      <c r="O738" s="83"/>
      <c r="P738" s="84"/>
      <c r="Q738" s="84"/>
      <c r="R738" s="81"/>
      <c r="S738" s="85"/>
      <c r="T738" s="86"/>
      <c r="U738" s="86"/>
      <c r="V738" s="87"/>
      <c r="W738" s="87"/>
      <c r="X738" s="87"/>
      <c r="Y738" s="87"/>
      <c r="Z738" s="87"/>
      <c r="AA738" s="87"/>
      <c r="AB738" s="29"/>
      <c r="AC738" s="94"/>
      <c r="AD738" s="94"/>
      <c r="AE738" s="89"/>
      <c r="AF738" s="89"/>
      <c r="AG738" s="89"/>
      <c r="AH738" s="89"/>
      <c r="AI738" s="90"/>
      <c r="AJ738" s="90"/>
      <c r="AK738" s="90"/>
      <c r="AL738" s="90"/>
      <c r="AM738" s="91"/>
      <c r="AN738" s="91"/>
      <c r="AO738" s="92"/>
      <c r="AP738" s="92"/>
      <c r="AQ738" s="92"/>
      <c r="AR738" s="92"/>
      <c r="AS738" s="93"/>
      <c r="AT738" s="93"/>
      <c r="AU738" s="93"/>
      <c r="AV738" s="93"/>
      <c r="AW738" s="93"/>
      <c r="AX738" s="92"/>
      <c r="AY738" s="92"/>
      <c r="AZ738" s="90"/>
      <c r="BA738" s="83"/>
      <c r="BB738" s="92"/>
      <c r="BC738" s="92"/>
      <c r="BD738" s="92"/>
      <c r="BE738" s="93"/>
      <c r="BF738" s="92"/>
      <c r="BG738" s="82"/>
      <c r="BH738" s="82"/>
      <c r="BI738" s="29"/>
      <c r="BJ738" s="29"/>
      <c r="BK738" s="29"/>
    </row>
    <row r="739" ht="15.75" hidden="1" customHeight="1">
      <c r="A739" s="75"/>
      <c r="B739" s="73"/>
      <c r="C739" s="76"/>
      <c r="D739" s="76"/>
      <c r="E739" s="76"/>
      <c r="F739" s="77"/>
      <c r="G739" s="78"/>
      <c r="H739" s="76"/>
      <c r="I739" s="76"/>
      <c r="J739" s="79"/>
      <c r="K739" s="80"/>
      <c r="L739" s="81"/>
      <c r="M739" s="81"/>
      <c r="N739" s="82"/>
      <c r="O739" s="83"/>
      <c r="P739" s="84"/>
      <c r="Q739" s="84"/>
      <c r="R739" s="81"/>
      <c r="S739" s="85"/>
      <c r="T739" s="86"/>
      <c r="U739" s="86"/>
      <c r="V739" s="87"/>
      <c r="W739" s="87"/>
      <c r="X739" s="87"/>
      <c r="Y739" s="87"/>
      <c r="Z739" s="87"/>
      <c r="AA739" s="87"/>
      <c r="AB739" s="29"/>
      <c r="AC739" s="94"/>
      <c r="AD739" s="94"/>
      <c r="AE739" s="89"/>
      <c r="AF739" s="89"/>
      <c r="AG739" s="89"/>
      <c r="AH739" s="89"/>
      <c r="AI739" s="90"/>
      <c r="AJ739" s="90"/>
      <c r="AK739" s="90"/>
      <c r="AL739" s="90"/>
      <c r="AM739" s="91"/>
      <c r="AN739" s="91"/>
      <c r="AO739" s="92"/>
      <c r="AP739" s="92"/>
      <c r="AQ739" s="92"/>
      <c r="AR739" s="92"/>
      <c r="AS739" s="93"/>
      <c r="AT739" s="93"/>
      <c r="AU739" s="93"/>
      <c r="AV739" s="93"/>
      <c r="AW739" s="93"/>
      <c r="AX739" s="92"/>
      <c r="AY739" s="92"/>
      <c r="AZ739" s="90"/>
      <c r="BA739" s="83"/>
      <c r="BB739" s="92"/>
      <c r="BC739" s="92"/>
      <c r="BD739" s="92"/>
      <c r="BE739" s="93"/>
      <c r="BF739" s="92"/>
      <c r="BG739" s="82"/>
      <c r="BH739" s="82"/>
      <c r="BI739" s="29"/>
      <c r="BJ739" s="29"/>
      <c r="BK739" s="29"/>
    </row>
    <row r="740" ht="15.75" hidden="1" customHeight="1">
      <c r="A740" s="75"/>
      <c r="B740" s="73"/>
      <c r="C740" s="76"/>
      <c r="D740" s="76"/>
      <c r="E740" s="76"/>
      <c r="F740" s="77"/>
      <c r="G740" s="78"/>
      <c r="H740" s="76"/>
      <c r="I740" s="76"/>
      <c r="J740" s="79"/>
      <c r="K740" s="80"/>
      <c r="L740" s="81"/>
      <c r="M740" s="81"/>
      <c r="N740" s="82"/>
      <c r="O740" s="83"/>
      <c r="P740" s="84"/>
      <c r="Q740" s="84"/>
      <c r="R740" s="81"/>
      <c r="S740" s="85"/>
      <c r="T740" s="86"/>
      <c r="U740" s="86"/>
      <c r="V740" s="87"/>
      <c r="W740" s="87"/>
      <c r="X740" s="87"/>
      <c r="Y740" s="87"/>
      <c r="Z740" s="87"/>
      <c r="AA740" s="87"/>
      <c r="AB740" s="29"/>
      <c r="AC740" s="94"/>
      <c r="AD740" s="94"/>
      <c r="AE740" s="89"/>
      <c r="AF740" s="89"/>
      <c r="AG740" s="89"/>
      <c r="AH740" s="89"/>
      <c r="AI740" s="90"/>
      <c r="AJ740" s="90"/>
      <c r="AK740" s="90"/>
      <c r="AL740" s="90"/>
      <c r="AM740" s="91"/>
      <c r="AN740" s="91"/>
      <c r="AO740" s="92"/>
      <c r="AP740" s="92"/>
      <c r="AQ740" s="92"/>
      <c r="AR740" s="92"/>
      <c r="AS740" s="93"/>
      <c r="AT740" s="93"/>
      <c r="AU740" s="93"/>
      <c r="AV740" s="93"/>
      <c r="AW740" s="93"/>
      <c r="AX740" s="92"/>
      <c r="AY740" s="92"/>
      <c r="AZ740" s="90"/>
      <c r="BA740" s="83"/>
      <c r="BB740" s="92"/>
      <c r="BC740" s="92"/>
      <c r="BD740" s="92"/>
      <c r="BE740" s="93"/>
      <c r="BF740" s="92"/>
      <c r="BG740" s="82"/>
      <c r="BH740" s="82"/>
      <c r="BI740" s="29"/>
      <c r="BJ740" s="29"/>
      <c r="BK740" s="29"/>
    </row>
    <row r="741" ht="15.75" hidden="1" customHeight="1">
      <c r="A741" s="75"/>
      <c r="B741" s="73"/>
      <c r="C741" s="76"/>
      <c r="D741" s="76"/>
      <c r="E741" s="76"/>
      <c r="F741" s="77"/>
      <c r="G741" s="78"/>
      <c r="H741" s="76"/>
      <c r="I741" s="76"/>
      <c r="J741" s="79"/>
      <c r="K741" s="80"/>
      <c r="L741" s="81"/>
      <c r="M741" s="81"/>
      <c r="N741" s="82"/>
      <c r="O741" s="83"/>
      <c r="P741" s="84"/>
      <c r="Q741" s="84"/>
      <c r="R741" s="81"/>
      <c r="S741" s="85"/>
      <c r="T741" s="86"/>
      <c r="U741" s="86"/>
      <c r="V741" s="87"/>
      <c r="W741" s="87"/>
      <c r="X741" s="87"/>
      <c r="Y741" s="87"/>
      <c r="Z741" s="87"/>
      <c r="AA741" s="87"/>
      <c r="AB741" s="29"/>
      <c r="AC741" s="94"/>
      <c r="AD741" s="94"/>
      <c r="AE741" s="89"/>
      <c r="AF741" s="89"/>
      <c r="AG741" s="89"/>
      <c r="AH741" s="89"/>
      <c r="AI741" s="90"/>
      <c r="AJ741" s="90"/>
      <c r="AK741" s="90"/>
      <c r="AL741" s="90"/>
      <c r="AM741" s="91"/>
      <c r="AN741" s="91"/>
      <c r="AO741" s="92"/>
      <c r="AP741" s="92"/>
      <c r="AQ741" s="92"/>
      <c r="AR741" s="92"/>
      <c r="AS741" s="93"/>
      <c r="AT741" s="93"/>
      <c r="AU741" s="93"/>
      <c r="AV741" s="93"/>
      <c r="AW741" s="93"/>
      <c r="AX741" s="92"/>
      <c r="AY741" s="92"/>
      <c r="AZ741" s="90"/>
      <c r="BA741" s="83"/>
      <c r="BB741" s="92"/>
      <c r="BC741" s="92"/>
      <c r="BD741" s="92"/>
      <c r="BE741" s="93"/>
      <c r="BF741" s="92"/>
      <c r="BG741" s="82"/>
      <c r="BH741" s="82"/>
      <c r="BI741" s="29"/>
      <c r="BJ741" s="29"/>
      <c r="BK741" s="29"/>
    </row>
    <row r="742" ht="15.75" hidden="1" customHeight="1">
      <c r="A742" s="75"/>
      <c r="B742" s="73"/>
      <c r="C742" s="76"/>
      <c r="D742" s="76"/>
      <c r="E742" s="76"/>
      <c r="F742" s="77"/>
      <c r="G742" s="78"/>
      <c r="H742" s="76"/>
      <c r="I742" s="76"/>
      <c r="J742" s="79"/>
      <c r="K742" s="80"/>
      <c r="L742" s="81"/>
      <c r="M742" s="81"/>
      <c r="N742" s="82"/>
      <c r="O742" s="83"/>
      <c r="P742" s="84"/>
      <c r="Q742" s="84"/>
      <c r="R742" s="81"/>
      <c r="S742" s="85"/>
      <c r="T742" s="86"/>
      <c r="U742" s="86"/>
      <c r="V742" s="87"/>
      <c r="W742" s="87"/>
      <c r="X742" s="87"/>
      <c r="Y742" s="87"/>
      <c r="Z742" s="87"/>
      <c r="AA742" s="87"/>
      <c r="AB742" s="29"/>
      <c r="AC742" s="94"/>
      <c r="AD742" s="94"/>
      <c r="AE742" s="89"/>
      <c r="AF742" s="89"/>
      <c r="AG742" s="89"/>
      <c r="AH742" s="89"/>
      <c r="AI742" s="90"/>
      <c r="AJ742" s="90"/>
      <c r="AK742" s="90"/>
      <c r="AL742" s="90"/>
      <c r="AM742" s="91"/>
      <c r="AN742" s="91"/>
      <c r="AO742" s="92"/>
      <c r="AP742" s="92"/>
      <c r="AQ742" s="92"/>
      <c r="AR742" s="92"/>
      <c r="AS742" s="93"/>
      <c r="AT742" s="93"/>
      <c r="AU742" s="93"/>
      <c r="AV742" s="93"/>
      <c r="AW742" s="93"/>
      <c r="AX742" s="92"/>
      <c r="AY742" s="92"/>
      <c r="AZ742" s="90"/>
      <c r="BA742" s="83"/>
      <c r="BB742" s="92"/>
      <c r="BC742" s="92"/>
      <c r="BD742" s="92"/>
      <c r="BE742" s="93"/>
      <c r="BF742" s="92"/>
      <c r="BG742" s="82"/>
      <c r="BH742" s="82"/>
      <c r="BI742" s="29"/>
      <c r="BJ742" s="29"/>
      <c r="BK742" s="29"/>
    </row>
    <row r="743" ht="15.75" hidden="1" customHeight="1">
      <c r="A743" s="75"/>
      <c r="B743" s="73"/>
      <c r="C743" s="76"/>
      <c r="D743" s="76"/>
      <c r="E743" s="76"/>
      <c r="F743" s="77"/>
      <c r="G743" s="78"/>
      <c r="H743" s="76"/>
      <c r="I743" s="76"/>
      <c r="J743" s="79"/>
      <c r="K743" s="80"/>
      <c r="L743" s="81"/>
      <c r="M743" s="81"/>
      <c r="N743" s="82"/>
      <c r="O743" s="83"/>
      <c r="P743" s="84"/>
      <c r="Q743" s="84"/>
      <c r="R743" s="81"/>
      <c r="S743" s="85"/>
      <c r="T743" s="86"/>
      <c r="U743" s="86"/>
      <c r="V743" s="87"/>
      <c r="W743" s="87"/>
      <c r="X743" s="87"/>
      <c r="Y743" s="87"/>
      <c r="Z743" s="87"/>
      <c r="AA743" s="87"/>
      <c r="AB743" s="29"/>
      <c r="AC743" s="94"/>
      <c r="AD743" s="94"/>
      <c r="AE743" s="89"/>
      <c r="AF743" s="89"/>
      <c r="AG743" s="89"/>
      <c r="AH743" s="89"/>
      <c r="AI743" s="90"/>
      <c r="AJ743" s="90"/>
      <c r="AK743" s="90"/>
      <c r="AL743" s="90"/>
      <c r="AM743" s="91"/>
      <c r="AN743" s="91"/>
      <c r="AO743" s="92"/>
      <c r="AP743" s="92"/>
      <c r="AQ743" s="92"/>
      <c r="AR743" s="92"/>
      <c r="AS743" s="93"/>
      <c r="AT743" s="93"/>
      <c r="AU743" s="93"/>
      <c r="AV743" s="93"/>
      <c r="AW743" s="93"/>
      <c r="AX743" s="92"/>
      <c r="AY743" s="92"/>
      <c r="AZ743" s="90"/>
      <c r="BA743" s="83"/>
      <c r="BB743" s="92"/>
      <c r="BC743" s="92"/>
      <c r="BD743" s="92"/>
      <c r="BE743" s="93"/>
      <c r="BF743" s="92"/>
      <c r="BG743" s="82"/>
      <c r="BH743" s="82"/>
      <c r="BI743" s="29"/>
      <c r="BJ743" s="29"/>
      <c r="BK743" s="29"/>
    </row>
    <row r="744" ht="15.75" hidden="1" customHeight="1">
      <c r="A744" s="75"/>
      <c r="B744" s="73"/>
      <c r="C744" s="76"/>
      <c r="D744" s="76"/>
      <c r="E744" s="76"/>
      <c r="F744" s="77"/>
      <c r="G744" s="78"/>
      <c r="H744" s="76"/>
      <c r="I744" s="76"/>
      <c r="J744" s="79"/>
      <c r="K744" s="80"/>
      <c r="L744" s="81"/>
      <c r="M744" s="81"/>
      <c r="N744" s="82"/>
      <c r="O744" s="83"/>
      <c r="P744" s="84"/>
      <c r="Q744" s="84"/>
      <c r="R744" s="81"/>
      <c r="S744" s="85"/>
      <c r="T744" s="86"/>
      <c r="U744" s="86"/>
      <c r="V744" s="87"/>
      <c r="W744" s="87"/>
      <c r="X744" s="87"/>
      <c r="Y744" s="87"/>
      <c r="Z744" s="87"/>
      <c r="AA744" s="87"/>
      <c r="AB744" s="29"/>
      <c r="AC744" s="94"/>
      <c r="AD744" s="94"/>
      <c r="AE744" s="89"/>
      <c r="AF744" s="89"/>
      <c r="AG744" s="89"/>
      <c r="AH744" s="89"/>
      <c r="AI744" s="90"/>
      <c r="AJ744" s="90"/>
      <c r="AK744" s="90"/>
      <c r="AL744" s="90"/>
      <c r="AM744" s="91"/>
      <c r="AN744" s="91"/>
      <c r="AO744" s="92"/>
      <c r="AP744" s="92"/>
      <c r="AQ744" s="92"/>
      <c r="AR744" s="92"/>
      <c r="AS744" s="93"/>
      <c r="AT744" s="93"/>
      <c r="AU744" s="93"/>
      <c r="AV744" s="93"/>
      <c r="AW744" s="93"/>
      <c r="AX744" s="92"/>
      <c r="AY744" s="92"/>
      <c r="AZ744" s="90"/>
      <c r="BA744" s="83"/>
      <c r="BB744" s="92"/>
      <c r="BC744" s="92"/>
      <c r="BD744" s="92"/>
      <c r="BE744" s="93"/>
      <c r="BF744" s="92"/>
      <c r="BG744" s="82"/>
      <c r="BH744" s="82"/>
      <c r="BI744" s="29"/>
      <c r="BJ744" s="29"/>
      <c r="BK744" s="29"/>
    </row>
    <row r="745" ht="15.75" hidden="1" customHeight="1">
      <c r="A745" s="75"/>
      <c r="B745" s="73"/>
      <c r="C745" s="76"/>
      <c r="D745" s="76"/>
      <c r="E745" s="76"/>
      <c r="F745" s="77"/>
      <c r="G745" s="78"/>
      <c r="H745" s="76"/>
      <c r="I745" s="76"/>
      <c r="J745" s="79"/>
      <c r="K745" s="80"/>
      <c r="L745" s="81"/>
      <c r="M745" s="81"/>
      <c r="N745" s="82"/>
      <c r="O745" s="83"/>
      <c r="P745" s="84"/>
      <c r="Q745" s="84"/>
      <c r="R745" s="81"/>
      <c r="S745" s="85"/>
      <c r="T745" s="86"/>
      <c r="U745" s="86"/>
      <c r="V745" s="87"/>
      <c r="W745" s="87"/>
      <c r="X745" s="87"/>
      <c r="Y745" s="87"/>
      <c r="Z745" s="87"/>
      <c r="AA745" s="87"/>
      <c r="AB745" s="29"/>
      <c r="AC745" s="94"/>
      <c r="AD745" s="94"/>
      <c r="AE745" s="89"/>
      <c r="AF745" s="89"/>
      <c r="AG745" s="89"/>
      <c r="AH745" s="89"/>
      <c r="AI745" s="90"/>
      <c r="AJ745" s="90"/>
      <c r="AK745" s="90"/>
      <c r="AL745" s="90"/>
      <c r="AM745" s="91"/>
      <c r="AN745" s="91"/>
      <c r="AO745" s="92"/>
      <c r="AP745" s="92"/>
      <c r="AQ745" s="92"/>
      <c r="AR745" s="92"/>
      <c r="AS745" s="93"/>
      <c r="AT745" s="93"/>
      <c r="AU745" s="93"/>
      <c r="AV745" s="93"/>
      <c r="AW745" s="93"/>
      <c r="AX745" s="92"/>
      <c r="AY745" s="92"/>
      <c r="AZ745" s="90"/>
      <c r="BA745" s="83"/>
      <c r="BB745" s="92"/>
      <c r="BC745" s="92"/>
      <c r="BD745" s="92"/>
      <c r="BE745" s="93"/>
      <c r="BF745" s="92"/>
      <c r="BG745" s="82"/>
      <c r="BH745" s="82"/>
      <c r="BI745" s="29"/>
      <c r="BJ745" s="29"/>
      <c r="BK745" s="29"/>
    </row>
    <row r="746" ht="15.75" hidden="1" customHeight="1">
      <c r="A746" s="75"/>
      <c r="B746" s="73"/>
      <c r="C746" s="76"/>
      <c r="D746" s="76"/>
      <c r="E746" s="76"/>
      <c r="F746" s="77"/>
      <c r="G746" s="78"/>
      <c r="H746" s="76"/>
      <c r="I746" s="76"/>
      <c r="J746" s="79"/>
      <c r="K746" s="80"/>
      <c r="L746" s="81"/>
      <c r="M746" s="81"/>
      <c r="N746" s="82"/>
      <c r="O746" s="83"/>
      <c r="P746" s="84"/>
      <c r="Q746" s="84"/>
      <c r="R746" s="81"/>
      <c r="S746" s="85"/>
      <c r="T746" s="86"/>
      <c r="U746" s="86"/>
      <c r="V746" s="87"/>
      <c r="W746" s="87"/>
      <c r="X746" s="87"/>
      <c r="Y746" s="87"/>
      <c r="Z746" s="87"/>
      <c r="AA746" s="87"/>
      <c r="AB746" s="29"/>
      <c r="AC746" s="94"/>
      <c r="AD746" s="94"/>
      <c r="AE746" s="89"/>
      <c r="AF746" s="89"/>
      <c r="AG746" s="89"/>
      <c r="AH746" s="89"/>
      <c r="AI746" s="90"/>
      <c r="AJ746" s="90"/>
      <c r="AK746" s="90"/>
      <c r="AL746" s="90"/>
      <c r="AM746" s="91"/>
      <c r="AN746" s="91"/>
      <c r="AO746" s="92"/>
      <c r="AP746" s="92"/>
      <c r="AQ746" s="92"/>
      <c r="AR746" s="92"/>
      <c r="AS746" s="93"/>
      <c r="AT746" s="93"/>
      <c r="AU746" s="93"/>
      <c r="AV746" s="93"/>
      <c r="AW746" s="93"/>
      <c r="AX746" s="92"/>
      <c r="AY746" s="92"/>
      <c r="AZ746" s="90"/>
      <c r="BA746" s="83"/>
      <c r="BB746" s="92"/>
      <c r="BC746" s="92"/>
      <c r="BD746" s="92"/>
      <c r="BE746" s="93"/>
      <c r="BF746" s="92"/>
      <c r="BG746" s="82"/>
      <c r="BH746" s="82"/>
      <c r="BI746" s="29"/>
      <c r="BJ746" s="29"/>
      <c r="BK746" s="29"/>
    </row>
    <row r="747" ht="15.75" hidden="1" customHeight="1">
      <c r="A747" s="75"/>
      <c r="B747" s="73"/>
      <c r="C747" s="76"/>
      <c r="D747" s="76"/>
      <c r="E747" s="76"/>
      <c r="F747" s="77"/>
      <c r="G747" s="78"/>
      <c r="H747" s="76"/>
      <c r="I747" s="76"/>
      <c r="J747" s="79"/>
      <c r="K747" s="80"/>
      <c r="L747" s="81"/>
      <c r="M747" s="81"/>
      <c r="N747" s="82"/>
      <c r="O747" s="83"/>
      <c r="P747" s="84"/>
      <c r="Q747" s="84"/>
      <c r="R747" s="81"/>
      <c r="S747" s="85"/>
      <c r="T747" s="86"/>
      <c r="U747" s="86"/>
      <c r="V747" s="87"/>
      <c r="W747" s="87"/>
      <c r="X747" s="87"/>
      <c r="Y747" s="87"/>
      <c r="Z747" s="87"/>
      <c r="AA747" s="87"/>
      <c r="AB747" s="29"/>
      <c r="AC747" s="94"/>
      <c r="AD747" s="94"/>
      <c r="AE747" s="89"/>
      <c r="AF747" s="89"/>
      <c r="AG747" s="89"/>
      <c r="AH747" s="89"/>
      <c r="AI747" s="90"/>
      <c r="AJ747" s="90"/>
      <c r="AK747" s="90"/>
      <c r="AL747" s="90"/>
      <c r="AM747" s="91"/>
      <c r="AN747" s="91"/>
      <c r="AO747" s="92"/>
      <c r="AP747" s="92"/>
      <c r="AQ747" s="92"/>
      <c r="AR747" s="92"/>
      <c r="AS747" s="93"/>
      <c r="AT747" s="93"/>
      <c r="AU747" s="93"/>
      <c r="AV747" s="93"/>
      <c r="AW747" s="93"/>
      <c r="AX747" s="92"/>
      <c r="AY747" s="92"/>
      <c r="AZ747" s="90"/>
      <c r="BA747" s="83"/>
      <c r="BB747" s="92"/>
      <c r="BC747" s="92"/>
      <c r="BD747" s="92"/>
      <c r="BE747" s="93"/>
      <c r="BF747" s="92"/>
      <c r="BG747" s="82"/>
      <c r="BH747" s="82"/>
      <c r="BI747" s="29"/>
      <c r="BJ747" s="29"/>
      <c r="BK747" s="29"/>
    </row>
    <row r="748" ht="15.75" hidden="1" customHeight="1">
      <c r="A748" s="75"/>
      <c r="B748" s="73"/>
      <c r="C748" s="76"/>
      <c r="D748" s="76"/>
      <c r="E748" s="76"/>
      <c r="F748" s="77"/>
      <c r="G748" s="78"/>
      <c r="H748" s="76"/>
      <c r="I748" s="76"/>
      <c r="J748" s="79"/>
      <c r="K748" s="80"/>
      <c r="L748" s="81"/>
      <c r="M748" s="81"/>
      <c r="N748" s="82"/>
      <c r="O748" s="83"/>
      <c r="P748" s="84"/>
      <c r="Q748" s="84"/>
      <c r="R748" s="81"/>
      <c r="S748" s="85"/>
      <c r="T748" s="86"/>
      <c r="U748" s="86"/>
      <c r="V748" s="87"/>
      <c r="W748" s="87"/>
      <c r="X748" s="87"/>
      <c r="Y748" s="87"/>
      <c r="Z748" s="87"/>
      <c r="AA748" s="87"/>
      <c r="AB748" s="29"/>
      <c r="AC748" s="94"/>
      <c r="AD748" s="94"/>
      <c r="AE748" s="89"/>
      <c r="AF748" s="89"/>
      <c r="AG748" s="89"/>
      <c r="AH748" s="89"/>
      <c r="AI748" s="90"/>
      <c r="AJ748" s="90"/>
      <c r="AK748" s="90"/>
      <c r="AL748" s="90"/>
      <c r="AM748" s="91"/>
      <c r="AN748" s="91"/>
      <c r="AO748" s="92"/>
      <c r="AP748" s="92"/>
      <c r="AQ748" s="92"/>
      <c r="AR748" s="92"/>
      <c r="AS748" s="93"/>
      <c r="AT748" s="93"/>
      <c r="AU748" s="93"/>
      <c r="AV748" s="93"/>
      <c r="AW748" s="93"/>
      <c r="AX748" s="92"/>
      <c r="AY748" s="92"/>
      <c r="AZ748" s="90"/>
      <c r="BA748" s="83"/>
      <c r="BB748" s="92"/>
      <c r="BC748" s="92"/>
      <c r="BD748" s="92"/>
      <c r="BE748" s="93"/>
      <c r="BF748" s="92"/>
      <c r="BG748" s="82"/>
      <c r="BH748" s="82"/>
      <c r="BI748" s="29"/>
      <c r="BJ748" s="29"/>
      <c r="BK748" s="29"/>
    </row>
    <row r="749" ht="15.75" hidden="1" customHeight="1">
      <c r="A749" s="75"/>
      <c r="B749" s="73"/>
      <c r="C749" s="76"/>
      <c r="D749" s="76"/>
      <c r="E749" s="76"/>
      <c r="F749" s="77"/>
      <c r="G749" s="78"/>
      <c r="H749" s="76"/>
      <c r="I749" s="76"/>
      <c r="J749" s="79"/>
      <c r="K749" s="80"/>
      <c r="L749" s="81"/>
      <c r="M749" s="81"/>
      <c r="N749" s="82"/>
      <c r="O749" s="83"/>
      <c r="P749" s="84"/>
      <c r="Q749" s="84"/>
      <c r="R749" s="81"/>
      <c r="S749" s="85"/>
      <c r="T749" s="86"/>
      <c r="U749" s="86"/>
      <c r="V749" s="87"/>
      <c r="W749" s="87"/>
      <c r="X749" s="87"/>
      <c r="Y749" s="87"/>
      <c r="Z749" s="87"/>
      <c r="AA749" s="87"/>
      <c r="AB749" s="29"/>
      <c r="AC749" s="94"/>
      <c r="AD749" s="94"/>
      <c r="AE749" s="89"/>
      <c r="AF749" s="89"/>
      <c r="AG749" s="89"/>
      <c r="AH749" s="89"/>
      <c r="AI749" s="90"/>
      <c r="AJ749" s="90"/>
      <c r="AK749" s="90"/>
      <c r="AL749" s="90"/>
      <c r="AM749" s="91"/>
      <c r="AN749" s="91"/>
      <c r="AO749" s="92"/>
      <c r="AP749" s="92"/>
      <c r="AQ749" s="92"/>
      <c r="AR749" s="92"/>
      <c r="AS749" s="93"/>
      <c r="AT749" s="93"/>
      <c r="AU749" s="93"/>
      <c r="AV749" s="93"/>
      <c r="AW749" s="93"/>
      <c r="AX749" s="92"/>
      <c r="AY749" s="92"/>
      <c r="AZ749" s="90"/>
      <c r="BA749" s="83"/>
      <c r="BB749" s="92"/>
      <c r="BC749" s="92"/>
      <c r="BD749" s="92"/>
      <c r="BE749" s="93"/>
      <c r="BF749" s="92"/>
      <c r="BG749" s="82"/>
      <c r="BH749" s="82"/>
      <c r="BI749" s="29"/>
      <c r="BJ749" s="29"/>
      <c r="BK749" s="29"/>
    </row>
    <row r="750" ht="15.75" hidden="1" customHeight="1">
      <c r="A750" s="75"/>
      <c r="B750" s="73"/>
      <c r="C750" s="76"/>
      <c r="D750" s="76"/>
      <c r="E750" s="76"/>
      <c r="F750" s="77"/>
      <c r="G750" s="78"/>
      <c r="H750" s="76"/>
      <c r="I750" s="76"/>
      <c r="J750" s="79"/>
      <c r="K750" s="80"/>
      <c r="L750" s="81"/>
      <c r="M750" s="81"/>
      <c r="N750" s="82"/>
      <c r="O750" s="83"/>
      <c r="P750" s="84"/>
      <c r="Q750" s="84"/>
      <c r="R750" s="81"/>
      <c r="S750" s="85"/>
      <c r="T750" s="86"/>
      <c r="U750" s="86"/>
      <c r="V750" s="87"/>
      <c r="W750" s="87"/>
      <c r="X750" s="87"/>
      <c r="Y750" s="87"/>
      <c r="Z750" s="87"/>
      <c r="AA750" s="87"/>
      <c r="AB750" s="29"/>
      <c r="AC750" s="94"/>
      <c r="AD750" s="94"/>
      <c r="AE750" s="89"/>
      <c r="AF750" s="89"/>
      <c r="AG750" s="89"/>
      <c r="AH750" s="89"/>
      <c r="AI750" s="90"/>
      <c r="AJ750" s="90"/>
      <c r="AK750" s="90"/>
      <c r="AL750" s="90"/>
      <c r="AM750" s="91"/>
      <c r="AN750" s="91"/>
      <c r="AO750" s="92"/>
      <c r="AP750" s="92"/>
      <c r="AQ750" s="92"/>
      <c r="AR750" s="92"/>
      <c r="AS750" s="93"/>
      <c r="AT750" s="93"/>
      <c r="AU750" s="93"/>
      <c r="AV750" s="93"/>
      <c r="AW750" s="93"/>
      <c r="AX750" s="92"/>
      <c r="AY750" s="92"/>
      <c r="AZ750" s="90"/>
      <c r="BA750" s="83"/>
      <c r="BB750" s="92"/>
      <c r="BC750" s="92"/>
      <c r="BD750" s="92"/>
      <c r="BE750" s="93"/>
      <c r="BF750" s="92"/>
      <c r="BG750" s="82"/>
      <c r="BH750" s="82"/>
      <c r="BI750" s="29"/>
      <c r="BJ750" s="29"/>
      <c r="BK750" s="29"/>
    </row>
    <row r="751" ht="15.75" hidden="1" customHeight="1">
      <c r="A751" s="75"/>
      <c r="B751" s="73"/>
      <c r="C751" s="76"/>
      <c r="D751" s="76"/>
      <c r="E751" s="76"/>
      <c r="F751" s="77"/>
      <c r="G751" s="78"/>
      <c r="H751" s="76"/>
      <c r="I751" s="76"/>
      <c r="J751" s="79"/>
      <c r="K751" s="80"/>
      <c r="L751" s="81"/>
      <c r="M751" s="81"/>
      <c r="N751" s="82"/>
      <c r="O751" s="83"/>
      <c r="P751" s="84"/>
      <c r="Q751" s="84"/>
      <c r="R751" s="81"/>
      <c r="S751" s="85"/>
      <c r="T751" s="86"/>
      <c r="U751" s="86"/>
      <c r="V751" s="87"/>
      <c r="W751" s="87"/>
      <c r="X751" s="87"/>
      <c r="Y751" s="87"/>
      <c r="Z751" s="87"/>
      <c r="AA751" s="87"/>
      <c r="AB751" s="29"/>
      <c r="AC751" s="94"/>
      <c r="AD751" s="94"/>
      <c r="AE751" s="89"/>
      <c r="AF751" s="89"/>
      <c r="AG751" s="89"/>
      <c r="AH751" s="89"/>
      <c r="AI751" s="90"/>
      <c r="AJ751" s="90"/>
      <c r="AK751" s="90"/>
      <c r="AL751" s="90"/>
      <c r="AM751" s="91"/>
      <c r="AN751" s="91"/>
      <c r="AO751" s="92"/>
      <c r="AP751" s="92"/>
      <c r="AQ751" s="92"/>
      <c r="AR751" s="92"/>
      <c r="AS751" s="93"/>
      <c r="AT751" s="93"/>
      <c r="AU751" s="93"/>
      <c r="AV751" s="93"/>
      <c r="AW751" s="93"/>
      <c r="AX751" s="92"/>
      <c r="AY751" s="92"/>
      <c r="AZ751" s="90"/>
      <c r="BA751" s="83"/>
      <c r="BB751" s="92"/>
      <c r="BC751" s="92"/>
      <c r="BD751" s="92"/>
      <c r="BE751" s="93"/>
      <c r="BF751" s="92"/>
      <c r="BG751" s="82"/>
      <c r="BH751" s="82"/>
      <c r="BI751" s="29"/>
      <c r="BJ751" s="29"/>
      <c r="BK751" s="29"/>
    </row>
    <row r="752" ht="15.75" hidden="1" customHeight="1">
      <c r="A752" s="75"/>
      <c r="B752" s="73"/>
      <c r="C752" s="76"/>
      <c r="D752" s="76"/>
      <c r="E752" s="76"/>
      <c r="F752" s="77"/>
      <c r="G752" s="78"/>
      <c r="H752" s="76"/>
      <c r="I752" s="76"/>
      <c r="J752" s="79"/>
      <c r="K752" s="80"/>
      <c r="L752" s="81"/>
      <c r="M752" s="81"/>
      <c r="N752" s="82"/>
      <c r="O752" s="83"/>
      <c r="P752" s="84"/>
      <c r="Q752" s="84"/>
      <c r="R752" s="81"/>
      <c r="S752" s="85"/>
      <c r="T752" s="86"/>
      <c r="U752" s="86"/>
      <c r="V752" s="87"/>
      <c r="W752" s="87"/>
      <c r="X752" s="87"/>
      <c r="Y752" s="87"/>
      <c r="Z752" s="87"/>
      <c r="AA752" s="87"/>
      <c r="AB752" s="29"/>
      <c r="AC752" s="94"/>
      <c r="AD752" s="94"/>
      <c r="AE752" s="89"/>
      <c r="AF752" s="89"/>
      <c r="AG752" s="89"/>
      <c r="AH752" s="89"/>
      <c r="AI752" s="90"/>
      <c r="AJ752" s="90"/>
      <c r="AK752" s="90"/>
      <c r="AL752" s="90"/>
      <c r="AM752" s="91"/>
      <c r="AN752" s="91"/>
      <c r="AO752" s="92"/>
      <c r="AP752" s="92"/>
      <c r="AQ752" s="92"/>
      <c r="AR752" s="92"/>
      <c r="AS752" s="93"/>
      <c r="AT752" s="93"/>
      <c r="AU752" s="93"/>
      <c r="AV752" s="93"/>
      <c r="AW752" s="93"/>
      <c r="AX752" s="92"/>
      <c r="AY752" s="92"/>
      <c r="AZ752" s="90"/>
      <c r="BA752" s="83"/>
      <c r="BB752" s="92"/>
      <c r="BC752" s="92"/>
      <c r="BD752" s="92"/>
      <c r="BE752" s="93"/>
      <c r="BF752" s="92"/>
      <c r="BG752" s="82"/>
      <c r="BH752" s="82"/>
      <c r="BI752" s="29"/>
      <c r="BJ752" s="29"/>
      <c r="BK752" s="29"/>
    </row>
    <row r="753" ht="15.75" hidden="1" customHeight="1">
      <c r="A753" s="75"/>
      <c r="B753" s="73"/>
      <c r="C753" s="76"/>
      <c r="D753" s="76"/>
      <c r="E753" s="76"/>
      <c r="F753" s="77"/>
      <c r="G753" s="78"/>
      <c r="H753" s="76"/>
      <c r="I753" s="76"/>
      <c r="J753" s="79"/>
      <c r="K753" s="80"/>
      <c r="L753" s="81"/>
      <c r="M753" s="81"/>
      <c r="N753" s="82"/>
      <c r="O753" s="83"/>
      <c r="P753" s="84"/>
      <c r="Q753" s="84"/>
      <c r="R753" s="81"/>
      <c r="S753" s="85"/>
      <c r="T753" s="86"/>
      <c r="U753" s="86"/>
      <c r="V753" s="87"/>
      <c r="W753" s="87"/>
      <c r="X753" s="87"/>
      <c r="Y753" s="87"/>
      <c r="Z753" s="87"/>
      <c r="AA753" s="87"/>
      <c r="AB753" s="29"/>
      <c r="AC753" s="94"/>
      <c r="AD753" s="94"/>
      <c r="AE753" s="89"/>
      <c r="AF753" s="89"/>
      <c r="AG753" s="89"/>
      <c r="AH753" s="89"/>
      <c r="AI753" s="90"/>
      <c r="AJ753" s="90"/>
      <c r="AK753" s="90"/>
      <c r="AL753" s="90"/>
      <c r="AM753" s="91"/>
      <c r="AN753" s="91"/>
      <c r="AO753" s="92"/>
      <c r="AP753" s="92"/>
      <c r="AQ753" s="92"/>
      <c r="AR753" s="92"/>
      <c r="AS753" s="93"/>
      <c r="AT753" s="93"/>
      <c r="AU753" s="93"/>
      <c r="AV753" s="93"/>
      <c r="AW753" s="93"/>
      <c r="AX753" s="92"/>
      <c r="AY753" s="92"/>
      <c r="AZ753" s="90"/>
      <c r="BA753" s="83"/>
      <c r="BB753" s="92"/>
      <c r="BC753" s="92"/>
      <c r="BD753" s="92"/>
      <c r="BE753" s="93"/>
      <c r="BF753" s="92"/>
      <c r="BG753" s="82"/>
      <c r="BH753" s="82"/>
      <c r="BI753" s="29"/>
      <c r="BJ753" s="29"/>
      <c r="BK753" s="29"/>
    </row>
    <row r="754" ht="15.75" hidden="1" customHeight="1">
      <c r="A754" s="75"/>
      <c r="B754" s="73"/>
      <c r="C754" s="76"/>
      <c r="D754" s="76"/>
      <c r="E754" s="76"/>
      <c r="F754" s="77"/>
      <c r="G754" s="78"/>
      <c r="H754" s="76"/>
      <c r="I754" s="76"/>
      <c r="J754" s="79"/>
      <c r="K754" s="80"/>
      <c r="L754" s="81"/>
      <c r="M754" s="81"/>
      <c r="N754" s="82"/>
      <c r="O754" s="83"/>
      <c r="P754" s="84"/>
      <c r="Q754" s="84"/>
      <c r="R754" s="81"/>
      <c r="S754" s="85"/>
      <c r="T754" s="86"/>
      <c r="U754" s="86"/>
      <c r="V754" s="87"/>
      <c r="W754" s="87"/>
      <c r="X754" s="87"/>
      <c r="Y754" s="87"/>
      <c r="Z754" s="87"/>
      <c r="AA754" s="87"/>
      <c r="AB754" s="29"/>
      <c r="AC754" s="94"/>
      <c r="AD754" s="94"/>
      <c r="AE754" s="89"/>
      <c r="AF754" s="89"/>
      <c r="AG754" s="89"/>
      <c r="AH754" s="89"/>
      <c r="AI754" s="90"/>
      <c r="AJ754" s="90"/>
      <c r="AK754" s="90"/>
      <c r="AL754" s="90"/>
      <c r="AM754" s="91"/>
      <c r="AN754" s="91"/>
      <c r="AO754" s="92"/>
      <c r="AP754" s="92"/>
      <c r="AQ754" s="92"/>
      <c r="AR754" s="92"/>
      <c r="AS754" s="93"/>
      <c r="AT754" s="93"/>
      <c r="AU754" s="93"/>
      <c r="AV754" s="93"/>
      <c r="AW754" s="93"/>
      <c r="AX754" s="92"/>
      <c r="AY754" s="92"/>
      <c r="AZ754" s="90"/>
      <c r="BA754" s="83"/>
      <c r="BB754" s="92"/>
      <c r="BC754" s="92"/>
      <c r="BD754" s="92"/>
      <c r="BE754" s="93"/>
      <c r="BF754" s="92"/>
      <c r="BG754" s="82"/>
      <c r="BH754" s="82"/>
      <c r="BI754" s="29"/>
      <c r="BJ754" s="29"/>
      <c r="BK754" s="29"/>
    </row>
    <row r="755" ht="15.75" hidden="1" customHeight="1">
      <c r="A755" s="75"/>
      <c r="B755" s="73"/>
      <c r="C755" s="76"/>
      <c r="D755" s="76"/>
      <c r="E755" s="76"/>
      <c r="F755" s="77"/>
      <c r="G755" s="78"/>
      <c r="H755" s="76"/>
      <c r="I755" s="76"/>
      <c r="J755" s="79"/>
      <c r="K755" s="80"/>
      <c r="L755" s="81"/>
      <c r="M755" s="81"/>
      <c r="N755" s="82"/>
      <c r="O755" s="83"/>
      <c r="P755" s="84"/>
      <c r="Q755" s="84"/>
      <c r="R755" s="81"/>
      <c r="S755" s="85"/>
      <c r="T755" s="86"/>
      <c r="U755" s="86"/>
      <c r="V755" s="87"/>
      <c r="W755" s="87"/>
      <c r="X755" s="87"/>
      <c r="Y755" s="87"/>
      <c r="Z755" s="87"/>
      <c r="AA755" s="87"/>
      <c r="AB755" s="29"/>
      <c r="AC755" s="94"/>
      <c r="AD755" s="94"/>
      <c r="AE755" s="89"/>
      <c r="AF755" s="89"/>
      <c r="AG755" s="89"/>
      <c r="AH755" s="89"/>
      <c r="AI755" s="90"/>
      <c r="AJ755" s="90"/>
      <c r="AK755" s="90"/>
      <c r="AL755" s="90"/>
      <c r="AM755" s="91"/>
      <c r="AN755" s="91"/>
      <c r="AO755" s="92"/>
      <c r="AP755" s="92"/>
      <c r="AQ755" s="92"/>
      <c r="AR755" s="92"/>
      <c r="AS755" s="93"/>
      <c r="AT755" s="93"/>
      <c r="AU755" s="93"/>
      <c r="AV755" s="93"/>
      <c r="AW755" s="93"/>
      <c r="AX755" s="92"/>
      <c r="AY755" s="92"/>
      <c r="AZ755" s="90"/>
      <c r="BA755" s="83"/>
      <c r="BB755" s="92"/>
      <c r="BC755" s="92"/>
      <c r="BD755" s="92"/>
      <c r="BE755" s="93"/>
      <c r="BF755" s="92"/>
      <c r="BG755" s="82"/>
      <c r="BH755" s="82"/>
      <c r="BI755" s="29"/>
      <c r="BJ755" s="29"/>
      <c r="BK755" s="29"/>
    </row>
    <row r="756" ht="15.75" hidden="1" customHeight="1">
      <c r="A756" s="75"/>
      <c r="B756" s="73"/>
      <c r="C756" s="76"/>
      <c r="D756" s="76"/>
      <c r="E756" s="76"/>
      <c r="F756" s="77"/>
      <c r="G756" s="78"/>
      <c r="H756" s="76"/>
      <c r="I756" s="76"/>
      <c r="J756" s="79"/>
      <c r="K756" s="80"/>
      <c r="L756" s="81"/>
      <c r="M756" s="81"/>
      <c r="N756" s="82"/>
      <c r="O756" s="83"/>
      <c r="P756" s="84"/>
      <c r="Q756" s="84"/>
      <c r="R756" s="81"/>
      <c r="S756" s="85"/>
      <c r="T756" s="86"/>
      <c r="U756" s="86"/>
      <c r="V756" s="87"/>
      <c r="W756" s="87"/>
      <c r="X756" s="87"/>
      <c r="Y756" s="87"/>
      <c r="Z756" s="87"/>
      <c r="AA756" s="87"/>
      <c r="AB756" s="29"/>
      <c r="AC756" s="94"/>
      <c r="AD756" s="94"/>
      <c r="AE756" s="89"/>
      <c r="AF756" s="89"/>
      <c r="AG756" s="89"/>
      <c r="AH756" s="89"/>
      <c r="AI756" s="90"/>
      <c r="AJ756" s="90"/>
      <c r="AK756" s="90"/>
      <c r="AL756" s="90"/>
      <c r="AM756" s="91"/>
      <c r="AN756" s="91"/>
      <c r="AO756" s="92"/>
      <c r="AP756" s="92"/>
      <c r="AQ756" s="92"/>
      <c r="AR756" s="92"/>
      <c r="AS756" s="93"/>
      <c r="AT756" s="93"/>
      <c r="AU756" s="93"/>
      <c r="AV756" s="93"/>
      <c r="AW756" s="93"/>
      <c r="AX756" s="92"/>
      <c r="AY756" s="92"/>
      <c r="AZ756" s="90"/>
      <c r="BA756" s="83"/>
      <c r="BB756" s="92"/>
      <c r="BC756" s="92"/>
      <c r="BD756" s="92"/>
      <c r="BE756" s="93"/>
      <c r="BF756" s="92"/>
      <c r="BG756" s="82"/>
      <c r="BH756" s="82"/>
      <c r="BI756" s="29"/>
      <c r="BJ756" s="29"/>
      <c r="BK756" s="29"/>
    </row>
    <row r="757" ht="15.75" hidden="1" customHeight="1">
      <c r="A757" s="75"/>
      <c r="B757" s="73"/>
      <c r="C757" s="76"/>
      <c r="D757" s="76"/>
      <c r="E757" s="76"/>
      <c r="F757" s="77"/>
      <c r="G757" s="78"/>
      <c r="H757" s="76"/>
      <c r="I757" s="76"/>
      <c r="J757" s="79"/>
      <c r="K757" s="80"/>
      <c r="L757" s="81"/>
      <c r="M757" s="81"/>
      <c r="N757" s="82"/>
      <c r="O757" s="83"/>
      <c r="P757" s="84"/>
      <c r="Q757" s="84"/>
      <c r="R757" s="81"/>
      <c r="S757" s="85"/>
      <c r="T757" s="86"/>
      <c r="U757" s="86"/>
      <c r="V757" s="87"/>
      <c r="W757" s="87"/>
      <c r="X757" s="87"/>
      <c r="Y757" s="87"/>
      <c r="Z757" s="87"/>
      <c r="AA757" s="87"/>
      <c r="AB757" s="29"/>
      <c r="AC757" s="94"/>
      <c r="AD757" s="94"/>
      <c r="AE757" s="89"/>
      <c r="AF757" s="89"/>
      <c r="AG757" s="89"/>
      <c r="AH757" s="89"/>
      <c r="AI757" s="90"/>
      <c r="AJ757" s="90"/>
      <c r="AK757" s="90"/>
      <c r="AL757" s="90"/>
      <c r="AM757" s="91"/>
      <c r="AN757" s="91"/>
      <c r="AO757" s="92"/>
      <c r="AP757" s="92"/>
      <c r="AQ757" s="92"/>
      <c r="AR757" s="92"/>
      <c r="AS757" s="93"/>
      <c r="AT757" s="93"/>
      <c r="AU757" s="93"/>
      <c r="AV757" s="93"/>
      <c r="AW757" s="93"/>
      <c r="AX757" s="92"/>
      <c r="AY757" s="92"/>
      <c r="AZ757" s="90"/>
      <c r="BA757" s="83"/>
      <c r="BB757" s="92"/>
      <c r="BC757" s="92"/>
      <c r="BD757" s="92"/>
      <c r="BE757" s="93"/>
      <c r="BF757" s="92"/>
      <c r="BG757" s="82"/>
      <c r="BH757" s="82"/>
      <c r="BI757" s="29"/>
      <c r="BJ757" s="29"/>
      <c r="BK757" s="29"/>
    </row>
    <row r="758" ht="15.75" hidden="1" customHeight="1">
      <c r="A758" s="75"/>
      <c r="B758" s="73"/>
      <c r="C758" s="76"/>
      <c r="D758" s="76"/>
      <c r="E758" s="76"/>
      <c r="F758" s="77"/>
      <c r="G758" s="78"/>
      <c r="H758" s="76"/>
      <c r="I758" s="76"/>
      <c r="J758" s="79"/>
      <c r="K758" s="80"/>
      <c r="L758" s="81"/>
      <c r="M758" s="81"/>
      <c r="N758" s="82"/>
      <c r="O758" s="83"/>
      <c r="P758" s="84"/>
      <c r="Q758" s="84"/>
      <c r="R758" s="81"/>
      <c r="S758" s="85"/>
      <c r="T758" s="86"/>
      <c r="U758" s="86"/>
      <c r="V758" s="87"/>
      <c r="W758" s="87"/>
      <c r="X758" s="87"/>
      <c r="Y758" s="87"/>
      <c r="Z758" s="87"/>
      <c r="AA758" s="87"/>
      <c r="AB758" s="29"/>
      <c r="AC758" s="94"/>
      <c r="AD758" s="94"/>
      <c r="AE758" s="89"/>
      <c r="AF758" s="89"/>
      <c r="AG758" s="89"/>
      <c r="AH758" s="89"/>
      <c r="AI758" s="90"/>
      <c r="AJ758" s="90"/>
      <c r="AK758" s="90"/>
      <c r="AL758" s="90"/>
      <c r="AM758" s="91"/>
      <c r="AN758" s="91"/>
      <c r="AO758" s="92"/>
      <c r="AP758" s="92"/>
      <c r="AQ758" s="92"/>
      <c r="AR758" s="92"/>
      <c r="AS758" s="93"/>
      <c r="AT758" s="93"/>
      <c r="AU758" s="93"/>
      <c r="AV758" s="93"/>
      <c r="AW758" s="93"/>
      <c r="AX758" s="92"/>
      <c r="AY758" s="92"/>
      <c r="AZ758" s="90"/>
      <c r="BA758" s="83"/>
      <c r="BB758" s="92"/>
      <c r="BC758" s="92"/>
      <c r="BD758" s="92"/>
      <c r="BE758" s="93"/>
      <c r="BF758" s="92"/>
      <c r="BG758" s="82"/>
      <c r="BH758" s="82"/>
      <c r="BI758" s="29"/>
      <c r="BJ758" s="29"/>
      <c r="BK758" s="29"/>
    </row>
    <row r="759" ht="15.75" hidden="1" customHeight="1">
      <c r="A759" s="75"/>
      <c r="B759" s="73"/>
      <c r="C759" s="76"/>
      <c r="D759" s="76"/>
      <c r="E759" s="76"/>
      <c r="F759" s="77"/>
      <c r="G759" s="78"/>
      <c r="H759" s="76"/>
      <c r="I759" s="76"/>
      <c r="J759" s="79"/>
      <c r="K759" s="80"/>
      <c r="L759" s="81"/>
      <c r="M759" s="81"/>
      <c r="N759" s="82"/>
      <c r="O759" s="83"/>
      <c r="P759" s="84"/>
      <c r="Q759" s="84"/>
      <c r="R759" s="81"/>
      <c r="S759" s="85"/>
      <c r="T759" s="86"/>
      <c r="U759" s="86"/>
      <c r="V759" s="87"/>
      <c r="W759" s="87"/>
      <c r="X759" s="87"/>
      <c r="Y759" s="87"/>
      <c r="Z759" s="87"/>
      <c r="AA759" s="87"/>
      <c r="AB759" s="29"/>
      <c r="AC759" s="94"/>
      <c r="AD759" s="94"/>
      <c r="AE759" s="89"/>
      <c r="AF759" s="89"/>
      <c r="AG759" s="89"/>
      <c r="AH759" s="89"/>
      <c r="AI759" s="90"/>
      <c r="AJ759" s="90"/>
      <c r="AK759" s="90"/>
      <c r="AL759" s="90"/>
      <c r="AM759" s="91"/>
      <c r="AN759" s="91"/>
      <c r="AO759" s="92"/>
      <c r="AP759" s="92"/>
      <c r="AQ759" s="92"/>
      <c r="AR759" s="92"/>
      <c r="AS759" s="93"/>
      <c r="AT759" s="93"/>
      <c r="AU759" s="93"/>
      <c r="AV759" s="93"/>
      <c r="AW759" s="93"/>
      <c r="AX759" s="92"/>
      <c r="AY759" s="92"/>
      <c r="AZ759" s="90"/>
      <c r="BA759" s="83"/>
      <c r="BB759" s="92"/>
      <c r="BC759" s="92"/>
      <c r="BD759" s="92"/>
      <c r="BE759" s="93"/>
      <c r="BF759" s="92"/>
      <c r="BG759" s="82"/>
      <c r="BH759" s="82"/>
      <c r="BI759" s="29"/>
      <c r="BJ759" s="29"/>
      <c r="BK759" s="29"/>
    </row>
    <row r="760" ht="15.75" hidden="1" customHeight="1">
      <c r="A760" s="75"/>
      <c r="B760" s="73"/>
      <c r="C760" s="76"/>
      <c r="D760" s="76"/>
      <c r="E760" s="76"/>
      <c r="F760" s="77"/>
      <c r="G760" s="78"/>
      <c r="H760" s="76"/>
      <c r="I760" s="76"/>
      <c r="J760" s="79"/>
      <c r="K760" s="80"/>
      <c r="L760" s="81"/>
      <c r="M760" s="81"/>
      <c r="N760" s="82"/>
      <c r="O760" s="83"/>
      <c r="P760" s="84"/>
      <c r="Q760" s="84"/>
      <c r="R760" s="81"/>
      <c r="S760" s="85"/>
      <c r="T760" s="86"/>
      <c r="U760" s="86"/>
      <c r="V760" s="87"/>
      <c r="W760" s="87"/>
      <c r="X760" s="87"/>
      <c r="Y760" s="87"/>
      <c r="Z760" s="87"/>
      <c r="AA760" s="87"/>
      <c r="AB760" s="29"/>
      <c r="AC760" s="94"/>
      <c r="AD760" s="94"/>
      <c r="AE760" s="89"/>
      <c r="AF760" s="89"/>
      <c r="AG760" s="89"/>
      <c r="AH760" s="89"/>
      <c r="AI760" s="90"/>
      <c r="AJ760" s="90"/>
      <c r="AK760" s="90"/>
      <c r="AL760" s="90"/>
      <c r="AM760" s="91"/>
      <c r="AN760" s="91"/>
      <c r="AO760" s="92"/>
      <c r="AP760" s="92"/>
      <c r="AQ760" s="92"/>
      <c r="AR760" s="92"/>
      <c r="AS760" s="93"/>
      <c r="AT760" s="93"/>
      <c r="AU760" s="93"/>
      <c r="AV760" s="93"/>
      <c r="AW760" s="93"/>
      <c r="AX760" s="92"/>
      <c r="AY760" s="92"/>
      <c r="AZ760" s="90"/>
      <c r="BA760" s="83"/>
      <c r="BB760" s="92"/>
      <c r="BC760" s="92"/>
      <c r="BD760" s="92"/>
      <c r="BE760" s="93"/>
      <c r="BF760" s="92"/>
      <c r="BG760" s="82"/>
      <c r="BH760" s="82"/>
      <c r="BI760" s="29"/>
      <c r="BJ760" s="29"/>
      <c r="BK760" s="29"/>
    </row>
    <row r="761" ht="15.75" hidden="1" customHeight="1">
      <c r="A761" s="75"/>
      <c r="B761" s="73"/>
      <c r="C761" s="76"/>
      <c r="D761" s="76"/>
      <c r="E761" s="76"/>
      <c r="F761" s="77"/>
      <c r="G761" s="78"/>
      <c r="H761" s="76"/>
      <c r="I761" s="76"/>
      <c r="J761" s="79"/>
      <c r="K761" s="80"/>
      <c r="L761" s="81"/>
      <c r="M761" s="81"/>
      <c r="N761" s="82"/>
      <c r="O761" s="83"/>
      <c r="P761" s="84"/>
      <c r="Q761" s="84"/>
      <c r="R761" s="81"/>
      <c r="S761" s="85"/>
      <c r="T761" s="86"/>
      <c r="U761" s="86"/>
      <c r="V761" s="87"/>
      <c r="W761" s="87"/>
      <c r="X761" s="87"/>
      <c r="Y761" s="87"/>
      <c r="Z761" s="87"/>
      <c r="AA761" s="87"/>
      <c r="AB761" s="29"/>
      <c r="AC761" s="94"/>
      <c r="AD761" s="94"/>
      <c r="AE761" s="89"/>
      <c r="AF761" s="89"/>
      <c r="AG761" s="89"/>
      <c r="AH761" s="89"/>
      <c r="AI761" s="90"/>
      <c r="AJ761" s="90"/>
      <c r="AK761" s="90"/>
      <c r="AL761" s="90"/>
      <c r="AM761" s="91"/>
      <c r="AN761" s="91"/>
      <c r="AO761" s="92"/>
      <c r="AP761" s="92"/>
      <c r="AQ761" s="92"/>
      <c r="AR761" s="92"/>
      <c r="AS761" s="93"/>
      <c r="AT761" s="93"/>
      <c r="AU761" s="93"/>
      <c r="AV761" s="93"/>
      <c r="AW761" s="93"/>
      <c r="AX761" s="92"/>
      <c r="AY761" s="92"/>
      <c r="AZ761" s="90"/>
      <c r="BA761" s="83"/>
      <c r="BB761" s="92"/>
      <c r="BC761" s="92"/>
      <c r="BD761" s="92"/>
      <c r="BE761" s="93"/>
      <c r="BF761" s="92"/>
      <c r="BG761" s="82"/>
      <c r="BH761" s="82"/>
      <c r="BI761" s="29"/>
      <c r="BJ761" s="29"/>
      <c r="BK761" s="29"/>
    </row>
    <row r="762" ht="15.75" hidden="1" customHeight="1">
      <c r="A762" s="75"/>
      <c r="B762" s="73"/>
      <c r="C762" s="76"/>
      <c r="D762" s="76"/>
      <c r="E762" s="76"/>
      <c r="F762" s="77"/>
      <c r="G762" s="78"/>
      <c r="H762" s="76"/>
      <c r="I762" s="76"/>
      <c r="J762" s="79"/>
      <c r="K762" s="80"/>
      <c r="L762" s="81"/>
      <c r="M762" s="81"/>
      <c r="N762" s="82"/>
      <c r="O762" s="83"/>
      <c r="P762" s="84"/>
      <c r="Q762" s="84"/>
      <c r="R762" s="81"/>
      <c r="S762" s="85"/>
      <c r="T762" s="86"/>
      <c r="U762" s="86"/>
      <c r="V762" s="87"/>
      <c r="W762" s="87"/>
      <c r="X762" s="87"/>
      <c r="Y762" s="87"/>
      <c r="Z762" s="87"/>
      <c r="AA762" s="87"/>
      <c r="AB762" s="29"/>
      <c r="AC762" s="94"/>
      <c r="AD762" s="94"/>
      <c r="AE762" s="89"/>
      <c r="AF762" s="89"/>
      <c r="AG762" s="89"/>
      <c r="AH762" s="89"/>
      <c r="AI762" s="90"/>
      <c r="AJ762" s="90"/>
      <c r="AK762" s="90"/>
      <c r="AL762" s="90"/>
      <c r="AM762" s="91"/>
      <c r="AN762" s="91"/>
      <c r="AO762" s="92"/>
      <c r="AP762" s="92"/>
      <c r="AQ762" s="92"/>
      <c r="AR762" s="92"/>
      <c r="AS762" s="93"/>
      <c r="AT762" s="93"/>
      <c r="AU762" s="93"/>
      <c r="AV762" s="93"/>
      <c r="AW762" s="93"/>
      <c r="AX762" s="92"/>
      <c r="AY762" s="92"/>
      <c r="AZ762" s="90"/>
      <c r="BA762" s="83"/>
      <c r="BB762" s="92"/>
      <c r="BC762" s="92"/>
      <c r="BD762" s="92"/>
      <c r="BE762" s="93"/>
      <c r="BF762" s="92"/>
      <c r="BG762" s="82"/>
      <c r="BH762" s="82"/>
      <c r="BI762" s="29"/>
      <c r="BJ762" s="29"/>
      <c r="BK762" s="29"/>
    </row>
    <row r="763" ht="15.75" hidden="1" customHeight="1">
      <c r="A763" s="75"/>
      <c r="B763" s="73"/>
      <c r="C763" s="76"/>
      <c r="D763" s="76"/>
      <c r="E763" s="76"/>
      <c r="F763" s="77"/>
      <c r="G763" s="78"/>
      <c r="H763" s="76"/>
      <c r="I763" s="76"/>
      <c r="J763" s="79"/>
      <c r="K763" s="80"/>
      <c r="L763" s="81"/>
      <c r="M763" s="81"/>
      <c r="N763" s="82"/>
      <c r="O763" s="83"/>
      <c r="P763" s="84"/>
      <c r="Q763" s="84"/>
      <c r="R763" s="81"/>
      <c r="S763" s="85"/>
      <c r="T763" s="86"/>
      <c r="U763" s="86"/>
      <c r="V763" s="87"/>
      <c r="W763" s="87"/>
      <c r="X763" s="87"/>
      <c r="Y763" s="87"/>
      <c r="Z763" s="87"/>
      <c r="AA763" s="87"/>
      <c r="AB763" s="29"/>
      <c r="AC763" s="94"/>
      <c r="AD763" s="94"/>
      <c r="AE763" s="89"/>
      <c r="AF763" s="89"/>
      <c r="AG763" s="89"/>
      <c r="AH763" s="89"/>
      <c r="AI763" s="90"/>
      <c r="AJ763" s="90"/>
      <c r="AK763" s="90"/>
      <c r="AL763" s="90"/>
      <c r="AM763" s="91"/>
      <c r="AN763" s="91"/>
      <c r="AO763" s="92"/>
      <c r="AP763" s="92"/>
      <c r="AQ763" s="92"/>
      <c r="AR763" s="92"/>
      <c r="AS763" s="93"/>
      <c r="AT763" s="93"/>
      <c r="AU763" s="93"/>
      <c r="AV763" s="93"/>
      <c r="AW763" s="93"/>
      <c r="AX763" s="92"/>
      <c r="AY763" s="92"/>
      <c r="AZ763" s="90"/>
      <c r="BA763" s="83"/>
      <c r="BB763" s="92"/>
      <c r="BC763" s="92"/>
      <c r="BD763" s="92"/>
      <c r="BE763" s="93"/>
      <c r="BF763" s="92"/>
      <c r="BG763" s="82"/>
      <c r="BH763" s="82"/>
      <c r="BI763" s="29"/>
      <c r="BJ763" s="29"/>
      <c r="BK763" s="29"/>
    </row>
    <row r="764" ht="15.75" hidden="1" customHeight="1">
      <c r="A764" s="75"/>
      <c r="B764" s="73"/>
      <c r="C764" s="76"/>
      <c r="D764" s="76"/>
      <c r="E764" s="76"/>
      <c r="F764" s="77"/>
      <c r="G764" s="78"/>
      <c r="H764" s="76"/>
      <c r="I764" s="76"/>
      <c r="J764" s="79"/>
      <c r="K764" s="80"/>
      <c r="L764" s="81"/>
      <c r="M764" s="81"/>
      <c r="N764" s="82"/>
      <c r="O764" s="83"/>
      <c r="P764" s="84"/>
      <c r="Q764" s="84"/>
      <c r="R764" s="81"/>
      <c r="S764" s="85"/>
      <c r="T764" s="86"/>
      <c r="U764" s="86"/>
      <c r="V764" s="87"/>
      <c r="W764" s="87"/>
      <c r="X764" s="87"/>
      <c r="Y764" s="87"/>
      <c r="Z764" s="87"/>
      <c r="AA764" s="87"/>
      <c r="AB764" s="29"/>
      <c r="AC764" s="94"/>
      <c r="AD764" s="94"/>
      <c r="AE764" s="89"/>
      <c r="AF764" s="89"/>
      <c r="AG764" s="89"/>
      <c r="AH764" s="89"/>
      <c r="AI764" s="90"/>
      <c r="AJ764" s="90"/>
      <c r="AK764" s="90"/>
      <c r="AL764" s="90"/>
      <c r="AM764" s="91"/>
      <c r="AN764" s="91"/>
      <c r="AO764" s="92"/>
      <c r="AP764" s="92"/>
      <c r="AQ764" s="92"/>
      <c r="AR764" s="92"/>
      <c r="AS764" s="93"/>
      <c r="AT764" s="93"/>
      <c r="AU764" s="93"/>
      <c r="AV764" s="93"/>
      <c r="AW764" s="93"/>
      <c r="AX764" s="92"/>
      <c r="AY764" s="92"/>
      <c r="AZ764" s="90"/>
      <c r="BA764" s="83"/>
      <c r="BB764" s="92"/>
      <c r="BC764" s="92"/>
      <c r="BD764" s="92"/>
      <c r="BE764" s="93"/>
      <c r="BF764" s="92"/>
      <c r="BG764" s="82"/>
      <c r="BH764" s="82"/>
      <c r="BI764" s="29"/>
      <c r="BJ764" s="29"/>
      <c r="BK764" s="29"/>
    </row>
    <row r="765" ht="15.75" hidden="1" customHeight="1">
      <c r="A765" s="75"/>
      <c r="B765" s="73"/>
      <c r="C765" s="76"/>
      <c r="D765" s="76"/>
      <c r="E765" s="76"/>
      <c r="F765" s="77"/>
      <c r="G765" s="78"/>
      <c r="H765" s="76"/>
      <c r="I765" s="76"/>
      <c r="J765" s="79"/>
      <c r="K765" s="80"/>
      <c r="L765" s="81"/>
      <c r="M765" s="81"/>
      <c r="N765" s="82"/>
      <c r="O765" s="83"/>
      <c r="P765" s="84"/>
      <c r="Q765" s="84"/>
      <c r="R765" s="81"/>
      <c r="S765" s="85"/>
      <c r="T765" s="86"/>
      <c r="U765" s="86"/>
      <c r="V765" s="87"/>
      <c r="W765" s="87"/>
      <c r="X765" s="87"/>
      <c r="Y765" s="87"/>
      <c r="Z765" s="87"/>
      <c r="AA765" s="87"/>
      <c r="AB765" s="29"/>
      <c r="AC765" s="94"/>
      <c r="AD765" s="94"/>
      <c r="AE765" s="89"/>
      <c r="AF765" s="89"/>
      <c r="AG765" s="89"/>
      <c r="AH765" s="89"/>
      <c r="AI765" s="90"/>
      <c r="AJ765" s="90"/>
      <c r="AK765" s="90"/>
      <c r="AL765" s="90"/>
      <c r="AM765" s="91"/>
      <c r="AN765" s="91"/>
      <c r="AO765" s="92"/>
      <c r="AP765" s="92"/>
      <c r="AQ765" s="92"/>
      <c r="AR765" s="92"/>
      <c r="AS765" s="93"/>
      <c r="AT765" s="93"/>
      <c r="AU765" s="93"/>
      <c r="AV765" s="93"/>
      <c r="AW765" s="93"/>
      <c r="AX765" s="92"/>
      <c r="AY765" s="92"/>
      <c r="AZ765" s="90"/>
      <c r="BA765" s="83"/>
      <c r="BB765" s="92"/>
      <c r="BC765" s="92"/>
      <c r="BD765" s="92"/>
      <c r="BE765" s="93"/>
      <c r="BF765" s="92"/>
      <c r="BG765" s="82"/>
      <c r="BH765" s="82"/>
      <c r="BI765" s="29"/>
      <c r="BJ765" s="29"/>
      <c r="BK765" s="29"/>
    </row>
    <row r="766" ht="15.75" hidden="1" customHeight="1">
      <c r="A766" s="75"/>
      <c r="B766" s="73"/>
      <c r="C766" s="76"/>
      <c r="D766" s="76"/>
      <c r="E766" s="76"/>
      <c r="F766" s="77"/>
      <c r="G766" s="78"/>
      <c r="H766" s="76"/>
      <c r="I766" s="76"/>
      <c r="J766" s="79"/>
      <c r="K766" s="80"/>
      <c r="L766" s="81"/>
      <c r="M766" s="81"/>
      <c r="N766" s="82"/>
      <c r="O766" s="83"/>
      <c r="P766" s="84"/>
      <c r="Q766" s="84"/>
      <c r="R766" s="81"/>
      <c r="S766" s="85"/>
      <c r="T766" s="86"/>
      <c r="U766" s="86"/>
      <c r="V766" s="87"/>
      <c r="W766" s="87"/>
      <c r="X766" s="87"/>
      <c r="Y766" s="87"/>
      <c r="Z766" s="87"/>
      <c r="AA766" s="87"/>
      <c r="AB766" s="29"/>
      <c r="AC766" s="94"/>
      <c r="AD766" s="94"/>
      <c r="AE766" s="89"/>
      <c r="AF766" s="89"/>
      <c r="AG766" s="89"/>
      <c r="AH766" s="89"/>
      <c r="AI766" s="90"/>
      <c r="AJ766" s="90"/>
      <c r="AK766" s="90"/>
      <c r="AL766" s="90"/>
      <c r="AM766" s="91"/>
      <c r="AN766" s="91"/>
      <c r="AO766" s="92"/>
      <c r="AP766" s="92"/>
      <c r="AQ766" s="92"/>
      <c r="AR766" s="92"/>
      <c r="AS766" s="93"/>
      <c r="AT766" s="93"/>
      <c r="AU766" s="93"/>
      <c r="AV766" s="93"/>
      <c r="AW766" s="93"/>
      <c r="AX766" s="92"/>
      <c r="AY766" s="92"/>
      <c r="AZ766" s="90"/>
      <c r="BA766" s="83"/>
      <c r="BB766" s="92"/>
      <c r="BC766" s="92"/>
      <c r="BD766" s="92"/>
      <c r="BE766" s="93"/>
      <c r="BF766" s="92"/>
      <c r="BG766" s="82"/>
      <c r="BH766" s="82"/>
      <c r="BI766" s="29"/>
      <c r="BJ766" s="29"/>
      <c r="BK766" s="29"/>
    </row>
    <row r="767" ht="15.75" hidden="1" customHeight="1">
      <c r="A767" s="75"/>
      <c r="B767" s="73"/>
      <c r="C767" s="76"/>
      <c r="D767" s="76"/>
      <c r="E767" s="76"/>
      <c r="F767" s="77"/>
      <c r="G767" s="78"/>
      <c r="H767" s="76"/>
      <c r="I767" s="76"/>
      <c r="J767" s="79"/>
      <c r="K767" s="80"/>
      <c r="L767" s="81"/>
      <c r="M767" s="81"/>
      <c r="N767" s="82"/>
      <c r="O767" s="83"/>
      <c r="P767" s="84"/>
      <c r="Q767" s="84"/>
      <c r="R767" s="81"/>
      <c r="S767" s="85"/>
      <c r="T767" s="86"/>
      <c r="U767" s="86"/>
      <c r="V767" s="87"/>
      <c r="W767" s="87"/>
      <c r="X767" s="87"/>
      <c r="Y767" s="87"/>
      <c r="Z767" s="87"/>
      <c r="AA767" s="87"/>
      <c r="AB767" s="29"/>
      <c r="AC767" s="94"/>
      <c r="AD767" s="94"/>
      <c r="AE767" s="89"/>
      <c r="AF767" s="89"/>
      <c r="AG767" s="89"/>
      <c r="AH767" s="89"/>
      <c r="AI767" s="90"/>
      <c r="AJ767" s="90"/>
      <c r="AK767" s="90"/>
      <c r="AL767" s="90"/>
      <c r="AM767" s="91"/>
      <c r="AN767" s="91"/>
      <c r="AO767" s="92"/>
      <c r="AP767" s="92"/>
      <c r="AQ767" s="92"/>
      <c r="AR767" s="92"/>
      <c r="AS767" s="93"/>
      <c r="AT767" s="93"/>
      <c r="AU767" s="93"/>
      <c r="AV767" s="93"/>
      <c r="AW767" s="93"/>
      <c r="AX767" s="92"/>
      <c r="AY767" s="92"/>
      <c r="AZ767" s="90"/>
      <c r="BA767" s="83"/>
      <c r="BB767" s="92"/>
      <c r="BC767" s="92"/>
      <c r="BD767" s="92"/>
      <c r="BE767" s="93"/>
      <c r="BF767" s="92"/>
      <c r="BG767" s="82"/>
      <c r="BH767" s="82"/>
      <c r="BI767" s="29"/>
      <c r="BJ767" s="29"/>
      <c r="BK767" s="29"/>
    </row>
    <row r="768" ht="15.75" hidden="1" customHeight="1">
      <c r="A768" s="75"/>
      <c r="B768" s="73"/>
      <c r="C768" s="76"/>
      <c r="D768" s="76"/>
      <c r="E768" s="76"/>
      <c r="F768" s="77"/>
      <c r="G768" s="78"/>
      <c r="H768" s="76"/>
      <c r="I768" s="76"/>
      <c r="J768" s="79"/>
      <c r="K768" s="80"/>
      <c r="L768" s="81"/>
      <c r="M768" s="81"/>
      <c r="N768" s="82"/>
      <c r="O768" s="83"/>
      <c r="P768" s="84"/>
      <c r="Q768" s="84"/>
      <c r="R768" s="81"/>
      <c r="S768" s="85"/>
      <c r="T768" s="86"/>
      <c r="U768" s="86"/>
      <c r="V768" s="87"/>
      <c r="W768" s="87"/>
      <c r="X768" s="87"/>
      <c r="Y768" s="87"/>
      <c r="Z768" s="87"/>
      <c r="AA768" s="87"/>
      <c r="AB768" s="29"/>
      <c r="AC768" s="94"/>
      <c r="AD768" s="94"/>
      <c r="AE768" s="89"/>
      <c r="AF768" s="89"/>
      <c r="AG768" s="89"/>
      <c r="AH768" s="89"/>
      <c r="AI768" s="90"/>
      <c r="AJ768" s="90"/>
      <c r="AK768" s="90"/>
      <c r="AL768" s="90"/>
      <c r="AM768" s="91"/>
      <c r="AN768" s="91"/>
      <c r="AO768" s="92"/>
      <c r="AP768" s="92"/>
      <c r="AQ768" s="92"/>
      <c r="AR768" s="92"/>
      <c r="AS768" s="93"/>
      <c r="AT768" s="93"/>
      <c r="AU768" s="93"/>
      <c r="AV768" s="93"/>
      <c r="AW768" s="93"/>
      <c r="AX768" s="92"/>
      <c r="AY768" s="92"/>
      <c r="AZ768" s="90"/>
      <c r="BA768" s="83"/>
      <c r="BB768" s="92"/>
      <c r="BC768" s="92"/>
      <c r="BD768" s="92"/>
      <c r="BE768" s="93"/>
      <c r="BF768" s="92"/>
      <c r="BG768" s="82"/>
      <c r="BH768" s="82"/>
      <c r="BI768" s="29"/>
      <c r="BJ768" s="29"/>
      <c r="BK768" s="29"/>
    </row>
    <row r="769" ht="15.75" hidden="1" customHeight="1">
      <c r="A769" s="75"/>
      <c r="B769" s="73"/>
      <c r="C769" s="76"/>
      <c r="D769" s="76"/>
      <c r="E769" s="76"/>
      <c r="F769" s="77"/>
      <c r="G769" s="78"/>
      <c r="H769" s="76"/>
      <c r="I769" s="76"/>
      <c r="J769" s="79"/>
      <c r="K769" s="80"/>
      <c r="L769" s="81"/>
      <c r="M769" s="81"/>
      <c r="N769" s="82"/>
      <c r="O769" s="83"/>
      <c r="P769" s="84"/>
      <c r="Q769" s="84"/>
      <c r="R769" s="81"/>
      <c r="S769" s="85"/>
      <c r="T769" s="86"/>
      <c r="U769" s="86"/>
      <c r="V769" s="87"/>
      <c r="W769" s="87"/>
      <c r="X769" s="87"/>
      <c r="Y769" s="87"/>
      <c r="Z769" s="87"/>
      <c r="AA769" s="87"/>
      <c r="AB769" s="29"/>
      <c r="AC769" s="94"/>
      <c r="AD769" s="94"/>
      <c r="AE769" s="89"/>
      <c r="AF769" s="89"/>
      <c r="AG769" s="89"/>
      <c r="AH769" s="89"/>
      <c r="AI769" s="90"/>
      <c r="AJ769" s="90"/>
      <c r="AK769" s="90"/>
      <c r="AL769" s="90"/>
      <c r="AM769" s="91"/>
      <c r="AN769" s="91"/>
      <c r="AO769" s="92"/>
      <c r="AP769" s="92"/>
      <c r="AQ769" s="92"/>
      <c r="AR769" s="92"/>
      <c r="AS769" s="93"/>
      <c r="AT769" s="93"/>
      <c r="AU769" s="93"/>
      <c r="AV769" s="93"/>
      <c r="AW769" s="93"/>
      <c r="AX769" s="92"/>
      <c r="AY769" s="92"/>
      <c r="AZ769" s="90"/>
      <c r="BA769" s="83"/>
      <c r="BB769" s="92"/>
      <c r="BC769" s="92"/>
      <c r="BD769" s="92"/>
      <c r="BE769" s="93"/>
      <c r="BF769" s="92"/>
      <c r="BG769" s="82"/>
      <c r="BH769" s="82"/>
      <c r="BI769" s="29"/>
      <c r="BJ769" s="29"/>
      <c r="BK769" s="29"/>
    </row>
    <row r="770" ht="15.75" hidden="1" customHeight="1">
      <c r="A770" s="75"/>
      <c r="B770" s="73"/>
      <c r="C770" s="76"/>
      <c r="D770" s="76"/>
      <c r="E770" s="76"/>
      <c r="F770" s="77"/>
      <c r="G770" s="78"/>
      <c r="H770" s="76"/>
      <c r="I770" s="76"/>
      <c r="J770" s="79"/>
      <c r="K770" s="80"/>
      <c r="L770" s="81"/>
      <c r="M770" s="81"/>
      <c r="N770" s="82"/>
      <c r="O770" s="83"/>
      <c r="P770" s="84"/>
      <c r="Q770" s="84"/>
      <c r="R770" s="81"/>
      <c r="S770" s="85"/>
      <c r="T770" s="86"/>
      <c r="U770" s="86"/>
      <c r="V770" s="87"/>
      <c r="W770" s="87"/>
      <c r="X770" s="87"/>
      <c r="Y770" s="87"/>
      <c r="Z770" s="87"/>
      <c r="AA770" s="87"/>
      <c r="AB770" s="29"/>
      <c r="AC770" s="94"/>
      <c r="AD770" s="94"/>
      <c r="AE770" s="89"/>
      <c r="AF770" s="89"/>
      <c r="AG770" s="89"/>
      <c r="AH770" s="89"/>
      <c r="AI770" s="90"/>
      <c r="AJ770" s="90"/>
      <c r="AK770" s="90"/>
      <c r="AL770" s="90"/>
      <c r="AM770" s="91"/>
      <c r="AN770" s="91"/>
      <c r="AO770" s="92"/>
      <c r="AP770" s="92"/>
      <c r="AQ770" s="92"/>
      <c r="AR770" s="92"/>
      <c r="AS770" s="93"/>
      <c r="AT770" s="93"/>
      <c r="AU770" s="93"/>
      <c r="AV770" s="93"/>
      <c r="AW770" s="93"/>
      <c r="AX770" s="92"/>
      <c r="AY770" s="92"/>
      <c r="AZ770" s="90"/>
      <c r="BA770" s="83"/>
      <c r="BB770" s="92"/>
      <c r="BC770" s="92"/>
      <c r="BD770" s="92"/>
      <c r="BE770" s="93"/>
      <c r="BF770" s="92"/>
      <c r="BG770" s="82"/>
      <c r="BH770" s="82"/>
      <c r="BI770" s="29"/>
      <c r="BJ770" s="29"/>
      <c r="BK770" s="29"/>
    </row>
    <row r="771" ht="15.75" hidden="1" customHeight="1">
      <c r="A771" s="75"/>
      <c r="B771" s="73"/>
      <c r="C771" s="76"/>
      <c r="D771" s="76"/>
      <c r="E771" s="76"/>
      <c r="F771" s="77"/>
      <c r="G771" s="78"/>
      <c r="H771" s="76"/>
      <c r="I771" s="76"/>
      <c r="J771" s="79"/>
      <c r="K771" s="80"/>
      <c r="L771" s="81"/>
      <c r="M771" s="81"/>
      <c r="N771" s="82"/>
      <c r="O771" s="83"/>
      <c r="P771" s="84"/>
      <c r="Q771" s="84"/>
      <c r="R771" s="81"/>
      <c r="S771" s="85"/>
      <c r="T771" s="86"/>
      <c r="U771" s="86"/>
      <c r="V771" s="87"/>
      <c r="W771" s="87"/>
      <c r="X771" s="87"/>
      <c r="Y771" s="87"/>
      <c r="Z771" s="87"/>
      <c r="AA771" s="87"/>
      <c r="AB771" s="29"/>
      <c r="AC771" s="94"/>
      <c r="AD771" s="94"/>
      <c r="AE771" s="89"/>
      <c r="AF771" s="89"/>
      <c r="AG771" s="89"/>
      <c r="AH771" s="89"/>
      <c r="AI771" s="90"/>
      <c r="AJ771" s="90"/>
      <c r="AK771" s="90"/>
      <c r="AL771" s="90"/>
      <c r="AM771" s="91"/>
      <c r="AN771" s="91"/>
      <c r="AO771" s="92"/>
      <c r="AP771" s="92"/>
      <c r="AQ771" s="92"/>
      <c r="AR771" s="92"/>
      <c r="AS771" s="93"/>
      <c r="AT771" s="93"/>
      <c r="AU771" s="93"/>
      <c r="AV771" s="93"/>
      <c r="AW771" s="93"/>
      <c r="AX771" s="92"/>
      <c r="AY771" s="92"/>
      <c r="AZ771" s="90"/>
      <c r="BA771" s="83"/>
      <c r="BB771" s="92"/>
      <c r="BC771" s="92"/>
      <c r="BD771" s="92"/>
      <c r="BE771" s="93"/>
      <c r="BF771" s="92"/>
      <c r="BG771" s="82"/>
      <c r="BH771" s="82"/>
      <c r="BI771" s="29"/>
      <c r="BJ771" s="29"/>
      <c r="BK771" s="29"/>
    </row>
    <row r="772" ht="15.75" hidden="1" customHeight="1">
      <c r="A772" s="75"/>
      <c r="B772" s="73"/>
      <c r="C772" s="76"/>
      <c r="D772" s="76"/>
      <c r="E772" s="76"/>
      <c r="F772" s="77"/>
      <c r="G772" s="78"/>
      <c r="H772" s="76"/>
      <c r="I772" s="76"/>
      <c r="J772" s="79"/>
      <c r="K772" s="80"/>
      <c r="L772" s="81"/>
      <c r="M772" s="81"/>
      <c r="N772" s="82"/>
      <c r="O772" s="83"/>
      <c r="P772" s="84"/>
      <c r="Q772" s="84"/>
      <c r="R772" s="81"/>
      <c r="S772" s="85"/>
      <c r="T772" s="86"/>
      <c r="U772" s="86"/>
      <c r="V772" s="87"/>
      <c r="W772" s="87"/>
      <c r="X772" s="87"/>
      <c r="Y772" s="87"/>
      <c r="Z772" s="87"/>
      <c r="AA772" s="87"/>
      <c r="AB772" s="29"/>
      <c r="AC772" s="94"/>
      <c r="AD772" s="94"/>
      <c r="AE772" s="89"/>
      <c r="AF772" s="89"/>
      <c r="AG772" s="89"/>
      <c r="AH772" s="89"/>
      <c r="AI772" s="90"/>
      <c r="AJ772" s="90"/>
      <c r="AK772" s="90"/>
      <c r="AL772" s="90"/>
      <c r="AM772" s="91"/>
      <c r="AN772" s="91"/>
      <c r="AO772" s="92"/>
      <c r="AP772" s="92"/>
      <c r="AQ772" s="92"/>
      <c r="AR772" s="92"/>
      <c r="AS772" s="93"/>
      <c r="AT772" s="93"/>
      <c r="AU772" s="93"/>
      <c r="AV772" s="93"/>
      <c r="AW772" s="93"/>
      <c r="AX772" s="92"/>
      <c r="AY772" s="92"/>
      <c r="AZ772" s="90"/>
      <c r="BA772" s="83"/>
      <c r="BB772" s="92"/>
      <c r="BC772" s="92"/>
      <c r="BD772" s="92"/>
      <c r="BE772" s="93"/>
      <c r="BF772" s="92"/>
      <c r="BG772" s="82"/>
      <c r="BH772" s="82"/>
      <c r="BI772" s="29"/>
      <c r="BJ772" s="29"/>
      <c r="BK772" s="29"/>
    </row>
    <row r="773" ht="15.75" hidden="1" customHeight="1">
      <c r="A773" s="75"/>
      <c r="B773" s="73"/>
      <c r="C773" s="76"/>
      <c r="D773" s="76"/>
      <c r="E773" s="76"/>
      <c r="F773" s="77"/>
      <c r="G773" s="78"/>
      <c r="H773" s="76"/>
      <c r="I773" s="76"/>
      <c r="J773" s="79"/>
      <c r="K773" s="80"/>
      <c r="L773" s="81"/>
      <c r="M773" s="81"/>
      <c r="N773" s="82"/>
      <c r="O773" s="83"/>
      <c r="P773" s="84"/>
      <c r="Q773" s="84"/>
      <c r="R773" s="81"/>
      <c r="S773" s="85"/>
      <c r="T773" s="86"/>
      <c r="U773" s="86"/>
      <c r="V773" s="87"/>
      <c r="W773" s="87"/>
      <c r="X773" s="87"/>
      <c r="Y773" s="87"/>
      <c r="Z773" s="87"/>
      <c r="AA773" s="87"/>
      <c r="AB773" s="29"/>
      <c r="AC773" s="94"/>
      <c r="AD773" s="94"/>
      <c r="AE773" s="89"/>
      <c r="AF773" s="89"/>
      <c r="AG773" s="89"/>
      <c r="AH773" s="89"/>
      <c r="AI773" s="90"/>
      <c r="AJ773" s="90"/>
      <c r="AK773" s="90"/>
      <c r="AL773" s="90"/>
      <c r="AM773" s="91"/>
      <c r="AN773" s="91"/>
      <c r="AO773" s="92"/>
      <c r="AP773" s="92"/>
      <c r="AQ773" s="92"/>
      <c r="AR773" s="92"/>
      <c r="AS773" s="93"/>
      <c r="AT773" s="93"/>
      <c r="AU773" s="93"/>
      <c r="AV773" s="93"/>
      <c r="AW773" s="93"/>
      <c r="AX773" s="92"/>
      <c r="AY773" s="92"/>
      <c r="AZ773" s="90"/>
      <c r="BA773" s="83"/>
      <c r="BB773" s="92"/>
      <c r="BC773" s="92"/>
      <c r="BD773" s="92"/>
      <c r="BE773" s="93"/>
      <c r="BF773" s="92"/>
      <c r="BG773" s="82"/>
      <c r="BH773" s="82"/>
      <c r="BI773" s="29"/>
      <c r="BJ773" s="29"/>
      <c r="BK773" s="29"/>
    </row>
    <row r="774" ht="15.75" hidden="1" customHeight="1">
      <c r="A774" s="75"/>
      <c r="B774" s="73"/>
      <c r="C774" s="76"/>
      <c r="D774" s="76"/>
      <c r="E774" s="76"/>
      <c r="F774" s="77"/>
      <c r="G774" s="78"/>
      <c r="H774" s="76"/>
      <c r="I774" s="76"/>
      <c r="J774" s="79"/>
      <c r="K774" s="80"/>
      <c r="L774" s="81"/>
      <c r="M774" s="81"/>
      <c r="N774" s="82"/>
      <c r="O774" s="83"/>
      <c r="P774" s="84"/>
      <c r="Q774" s="84"/>
      <c r="R774" s="81"/>
      <c r="S774" s="85"/>
      <c r="T774" s="86"/>
      <c r="U774" s="86"/>
      <c r="V774" s="87"/>
      <c r="W774" s="87"/>
      <c r="X774" s="87"/>
      <c r="Y774" s="87"/>
      <c r="Z774" s="87"/>
      <c r="AA774" s="87"/>
      <c r="AB774" s="29"/>
      <c r="AC774" s="94"/>
      <c r="AD774" s="94"/>
      <c r="AE774" s="89"/>
      <c r="AF774" s="89"/>
      <c r="AG774" s="89"/>
      <c r="AH774" s="89"/>
      <c r="AI774" s="90"/>
      <c r="AJ774" s="90"/>
      <c r="AK774" s="90"/>
      <c r="AL774" s="90"/>
      <c r="AM774" s="91"/>
      <c r="AN774" s="91"/>
      <c r="AO774" s="92"/>
      <c r="AP774" s="92"/>
      <c r="AQ774" s="92"/>
      <c r="AR774" s="92"/>
      <c r="AS774" s="93"/>
      <c r="AT774" s="93"/>
      <c r="AU774" s="93"/>
      <c r="AV774" s="93"/>
      <c r="AW774" s="93"/>
      <c r="AX774" s="92"/>
      <c r="AY774" s="92"/>
      <c r="AZ774" s="90"/>
      <c r="BA774" s="83"/>
      <c r="BB774" s="92"/>
      <c r="BC774" s="92"/>
      <c r="BD774" s="92"/>
      <c r="BE774" s="93"/>
      <c r="BF774" s="92"/>
      <c r="BG774" s="82"/>
      <c r="BH774" s="82"/>
      <c r="BI774" s="29"/>
      <c r="BJ774" s="29"/>
      <c r="BK774" s="29"/>
    </row>
    <row r="775" ht="15.75" hidden="1" customHeight="1">
      <c r="A775" s="75"/>
      <c r="B775" s="73"/>
      <c r="C775" s="76"/>
      <c r="D775" s="76"/>
      <c r="E775" s="76"/>
      <c r="F775" s="77"/>
      <c r="G775" s="78"/>
      <c r="H775" s="76"/>
      <c r="I775" s="76"/>
      <c r="J775" s="79"/>
      <c r="K775" s="80"/>
      <c r="L775" s="81"/>
      <c r="M775" s="81"/>
      <c r="N775" s="82"/>
      <c r="O775" s="83"/>
      <c r="P775" s="84"/>
      <c r="Q775" s="84"/>
      <c r="R775" s="81"/>
      <c r="S775" s="85"/>
      <c r="T775" s="86"/>
      <c r="U775" s="86"/>
      <c r="V775" s="87"/>
      <c r="W775" s="87"/>
      <c r="X775" s="87"/>
      <c r="Y775" s="87"/>
      <c r="Z775" s="87"/>
      <c r="AA775" s="87"/>
      <c r="AB775" s="29"/>
      <c r="AC775" s="94"/>
      <c r="AD775" s="94"/>
      <c r="AE775" s="89"/>
      <c r="AF775" s="89"/>
      <c r="AG775" s="89"/>
      <c r="AH775" s="89"/>
      <c r="AI775" s="90"/>
      <c r="AJ775" s="90"/>
      <c r="AK775" s="90"/>
      <c r="AL775" s="90"/>
      <c r="AM775" s="91"/>
      <c r="AN775" s="91"/>
      <c r="AO775" s="92"/>
      <c r="AP775" s="92"/>
      <c r="AQ775" s="92"/>
      <c r="AR775" s="92"/>
      <c r="AS775" s="93"/>
      <c r="AT775" s="93"/>
      <c r="AU775" s="93"/>
      <c r="AV775" s="93"/>
      <c r="AW775" s="93"/>
      <c r="AX775" s="92"/>
      <c r="AY775" s="92"/>
      <c r="AZ775" s="90"/>
      <c r="BA775" s="83"/>
      <c r="BB775" s="92"/>
      <c r="BC775" s="92"/>
      <c r="BD775" s="92"/>
      <c r="BE775" s="93"/>
      <c r="BF775" s="92"/>
      <c r="BG775" s="82"/>
      <c r="BH775" s="82"/>
      <c r="BI775" s="29"/>
      <c r="BJ775" s="29"/>
      <c r="BK775" s="29"/>
    </row>
    <row r="776" ht="15.75" hidden="1" customHeight="1">
      <c r="A776" s="75"/>
      <c r="B776" s="73"/>
      <c r="C776" s="76"/>
      <c r="D776" s="76"/>
      <c r="E776" s="76"/>
      <c r="F776" s="77"/>
      <c r="G776" s="78"/>
      <c r="H776" s="76"/>
      <c r="I776" s="76"/>
      <c r="J776" s="79"/>
      <c r="K776" s="80"/>
      <c r="L776" s="81"/>
      <c r="M776" s="81"/>
      <c r="N776" s="82"/>
      <c r="O776" s="83"/>
      <c r="P776" s="84"/>
      <c r="Q776" s="84"/>
      <c r="R776" s="81"/>
      <c r="S776" s="85"/>
      <c r="T776" s="86"/>
      <c r="U776" s="86"/>
      <c r="V776" s="87"/>
      <c r="W776" s="87"/>
      <c r="X776" s="87"/>
      <c r="Y776" s="87"/>
      <c r="Z776" s="87"/>
      <c r="AA776" s="87"/>
      <c r="AB776" s="29"/>
      <c r="AC776" s="94"/>
      <c r="AD776" s="94"/>
      <c r="AE776" s="89"/>
      <c r="AF776" s="89"/>
      <c r="AG776" s="89"/>
      <c r="AH776" s="89"/>
      <c r="AI776" s="90"/>
      <c r="AJ776" s="90"/>
      <c r="AK776" s="90"/>
      <c r="AL776" s="90"/>
      <c r="AM776" s="91"/>
      <c r="AN776" s="91"/>
      <c r="AO776" s="92"/>
      <c r="AP776" s="92"/>
      <c r="AQ776" s="92"/>
      <c r="AR776" s="92"/>
      <c r="AS776" s="93"/>
      <c r="AT776" s="93"/>
      <c r="AU776" s="93"/>
      <c r="AV776" s="93"/>
      <c r="AW776" s="93"/>
      <c r="AX776" s="92"/>
      <c r="AY776" s="92"/>
      <c r="AZ776" s="90"/>
      <c r="BA776" s="83"/>
      <c r="BB776" s="92"/>
      <c r="BC776" s="92"/>
      <c r="BD776" s="92"/>
      <c r="BE776" s="93"/>
      <c r="BF776" s="92"/>
      <c r="BG776" s="82"/>
      <c r="BH776" s="82"/>
      <c r="BI776" s="29"/>
      <c r="BJ776" s="29"/>
      <c r="BK776" s="29"/>
    </row>
    <row r="777" ht="15.75" hidden="1" customHeight="1">
      <c r="A777" s="75"/>
      <c r="B777" s="73"/>
      <c r="C777" s="76"/>
      <c r="D777" s="76"/>
      <c r="E777" s="76"/>
      <c r="F777" s="77"/>
      <c r="G777" s="78"/>
      <c r="H777" s="76"/>
      <c r="I777" s="76"/>
      <c r="J777" s="79"/>
      <c r="K777" s="80"/>
      <c r="L777" s="81"/>
      <c r="M777" s="81"/>
      <c r="N777" s="82"/>
      <c r="O777" s="83"/>
      <c r="P777" s="84"/>
      <c r="Q777" s="84"/>
      <c r="R777" s="81"/>
      <c r="S777" s="85"/>
      <c r="T777" s="86"/>
      <c r="U777" s="86"/>
      <c r="V777" s="87"/>
      <c r="W777" s="87"/>
      <c r="X777" s="87"/>
      <c r="Y777" s="87"/>
      <c r="Z777" s="87"/>
      <c r="AA777" s="87"/>
      <c r="AB777" s="29"/>
      <c r="AC777" s="94"/>
      <c r="AD777" s="94"/>
      <c r="AE777" s="89"/>
      <c r="AF777" s="89"/>
      <c r="AG777" s="89"/>
      <c r="AH777" s="89"/>
      <c r="AI777" s="90"/>
      <c r="AJ777" s="90"/>
      <c r="AK777" s="90"/>
      <c r="AL777" s="90"/>
      <c r="AM777" s="91"/>
      <c r="AN777" s="91"/>
      <c r="AO777" s="92"/>
      <c r="AP777" s="92"/>
      <c r="AQ777" s="92"/>
      <c r="AR777" s="92"/>
      <c r="AS777" s="93"/>
      <c r="AT777" s="93"/>
      <c r="AU777" s="93"/>
      <c r="AV777" s="93"/>
      <c r="AW777" s="93"/>
      <c r="AX777" s="92"/>
      <c r="AY777" s="92"/>
      <c r="AZ777" s="90"/>
      <c r="BA777" s="83"/>
      <c r="BB777" s="92"/>
      <c r="BC777" s="92"/>
      <c r="BD777" s="92"/>
      <c r="BE777" s="93"/>
      <c r="BF777" s="92"/>
      <c r="BG777" s="82"/>
      <c r="BH777" s="82"/>
      <c r="BI777" s="29"/>
      <c r="BJ777" s="29"/>
      <c r="BK777" s="29"/>
    </row>
    <row r="778" ht="15.75" hidden="1" customHeight="1">
      <c r="A778" s="75"/>
      <c r="B778" s="73"/>
      <c r="C778" s="76"/>
      <c r="D778" s="76"/>
      <c r="E778" s="76"/>
      <c r="F778" s="77"/>
      <c r="G778" s="78"/>
      <c r="H778" s="76"/>
      <c r="I778" s="76"/>
      <c r="J778" s="79"/>
      <c r="K778" s="80"/>
      <c r="L778" s="81"/>
      <c r="M778" s="81"/>
      <c r="N778" s="82"/>
      <c r="O778" s="83"/>
      <c r="P778" s="84"/>
      <c r="Q778" s="84"/>
      <c r="R778" s="81"/>
      <c r="S778" s="85"/>
      <c r="T778" s="86"/>
      <c r="U778" s="86"/>
      <c r="V778" s="87"/>
      <c r="W778" s="87"/>
      <c r="X778" s="87"/>
      <c r="Y778" s="87"/>
      <c r="Z778" s="87"/>
      <c r="AA778" s="87"/>
      <c r="AB778" s="29"/>
      <c r="AC778" s="94"/>
      <c r="AD778" s="94"/>
      <c r="AE778" s="89"/>
      <c r="AF778" s="89"/>
      <c r="AG778" s="89"/>
      <c r="AH778" s="89"/>
      <c r="AI778" s="90"/>
      <c r="AJ778" s="90"/>
      <c r="AK778" s="90"/>
      <c r="AL778" s="90"/>
      <c r="AM778" s="91"/>
      <c r="AN778" s="91"/>
      <c r="AO778" s="92"/>
      <c r="AP778" s="92"/>
      <c r="AQ778" s="92"/>
      <c r="AR778" s="92"/>
      <c r="AS778" s="93"/>
      <c r="AT778" s="93"/>
      <c r="AU778" s="93"/>
      <c r="AV778" s="93"/>
      <c r="AW778" s="93"/>
      <c r="AX778" s="92"/>
      <c r="AY778" s="92"/>
      <c r="AZ778" s="90"/>
      <c r="BA778" s="83"/>
      <c r="BB778" s="92"/>
      <c r="BC778" s="92"/>
      <c r="BD778" s="92"/>
      <c r="BE778" s="93"/>
      <c r="BF778" s="92"/>
      <c r="BG778" s="82"/>
      <c r="BH778" s="82"/>
      <c r="BI778" s="29"/>
      <c r="BJ778" s="29"/>
      <c r="BK778" s="29"/>
    </row>
    <row r="779" ht="15.75" hidden="1" customHeight="1">
      <c r="A779" s="75"/>
      <c r="B779" s="73"/>
      <c r="C779" s="76"/>
      <c r="D779" s="76"/>
      <c r="E779" s="76"/>
      <c r="F779" s="77"/>
      <c r="G779" s="78"/>
      <c r="H779" s="76"/>
      <c r="I779" s="76"/>
      <c r="J779" s="79"/>
      <c r="K779" s="80"/>
      <c r="L779" s="81"/>
      <c r="M779" s="81"/>
      <c r="N779" s="82"/>
      <c r="O779" s="83"/>
      <c r="P779" s="84"/>
      <c r="Q779" s="84"/>
      <c r="R779" s="81"/>
      <c r="S779" s="85"/>
      <c r="T779" s="86"/>
      <c r="U779" s="86"/>
      <c r="V779" s="87"/>
      <c r="W779" s="87"/>
      <c r="X779" s="87"/>
      <c r="Y779" s="87"/>
      <c r="Z779" s="87"/>
      <c r="AA779" s="87"/>
      <c r="AB779" s="29"/>
      <c r="AC779" s="94"/>
      <c r="AD779" s="94"/>
      <c r="AE779" s="89"/>
      <c r="AF779" s="89"/>
      <c r="AG779" s="89"/>
      <c r="AH779" s="89"/>
      <c r="AI779" s="90"/>
      <c r="AJ779" s="90"/>
      <c r="AK779" s="90"/>
      <c r="AL779" s="90"/>
      <c r="AM779" s="91"/>
      <c r="AN779" s="91"/>
      <c r="AO779" s="92"/>
      <c r="AP779" s="92"/>
      <c r="AQ779" s="92"/>
      <c r="AR779" s="92"/>
      <c r="AS779" s="93"/>
      <c r="AT779" s="93"/>
      <c r="AU779" s="93"/>
      <c r="AV779" s="93"/>
      <c r="AW779" s="93"/>
      <c r="AX779" s="92"/>
      <c r="AY779" s="92"/>
      <c r="AZ779" s="90"/>
      <c r="BA779" s="83"/>
      <c r="BB779" s="92"/>
      <c r="BC779" s="92"/>
      <c r="BD779" s="92"/>
      <c r="BE779" s="93"/>
      <c r="BF779" s="92"/>
      <c r="BG779" s="82"/>
      <c r="BH779" s="82"/>
      <c r="BI779" s="29"/>
      <c r="BJ779" s="29"/>
      <c r="BK779" s="29"/>
    </row>
    <row r="780" ht="15.75" hidden="1" customHeight="1">
      <c r="A780" s="75"/>
      <c r="B780" s="73"/>
      <c r="C780" s="76"/>
      <c r="D780" s="76"/>
      <c r="E780" s="76"/>
      <c r="F780" s="77"/>
      <c r="G780" s="78"/>
      <c r="H780" s="76"/>
      <c r="I780" s="76"/>
      <c r="J780" s="79"/>
      <c r="K780" s="80"/>
      <c r="L780" s="81"/>
      <c r="M780" s="81"/>
      <c r="N780" s="82"/>
      <c r="O780" s="83"/>
      <c r="P780" s="84"/>
      <c r="Q780" s="84"/>
      <c r="R780" s="81"/>
      <c r="S780" s="85"/>
      <c r="T780" s="86"/>
      <c r="U780" s="86"/>
      <c r="V780" s="87"/>
      <c r="W780" s="87"/>
      <c r="X780" s="87"/>
      <c r="Y780" s="87"/>
      <c r="Z780" s="87"/>
      <c r="AA780" s="87"/>
      <c r="AB780" s="29"/>
      <c r="AC780" s="94"/>
      <c r="AD780" s="94"/>
      <c r="AE780" s="89"/>
      <c r="AF780" s="89"/>
      <c r="AG780" s="89"/>
      <c r="AH780" s="89"/>
      <c r="AI780" s="90"/>
      <c r="AJ780" s="90"/>
      <c r="AK780" s="90"/>
      <c r="AL780" s="90"/>
      <c r="AM780" s="91"/>
      <c r="AN780" s="91"/>
      <c r="AO780" s="92"/>
      <c r="AP780" s="92"/>
      <c r="AQ780" s="92"/>
      <c r="AR780" s="92"/>
      <c r="AS780" s="93"/>
      <c r="AT780" s="93"/>
      <c r="AU780" s="93"/>
      <c r="AV780" s="93"/>
      <c r="AW780" s="93"/>
      <c r="AX780" s="92"/>
      <c r="AY780" s="92"/>
      <c r="AZ780" s="90"/>
      <c r="BA780" s="83"/>
      <c r="BB780" s="92"/>
      <c r="BC780" s="92"/>
      <c r="BD780" s="92"/>
      <c r="BE780" s="93"/>
      <c r="BF780" s="92"/>
      <c r="BG780" s="82"/>
      <c r="BH780" s="82"/>
      <c r="BI780" s="29"/>
      <c r="BJ780" s="29"/>
      <c r="BK780" s="29"/>
    </row>
    <row r="781" ht="15.75" hidden="1" customHeight="1">
      <c r="A781" s="75"/>
      <c r="B781" s="73"/>
      <c r="C781" s="76"/>
      <c r="D781" s="76"/>
      <c r="E781" s="76"/>
      <c r="F781" s="77"/>
      <c r="G781" s="78"/>
      <c r="H781" s="76"/>
      <c r="I781" s="76"/>
      <c r="J781" s="79"/>
      <c r="K781" s="80"/>
      <c r="L781" s="81"/>
      <c r="M781" s="81"/>
      <c r="N781" s="82"/>
      <c r="O781" s="83"/>
      <c r="P781" s="84"/>
      <c r="Q781" s="84"/>
      <c r="R781" s="81"/>
      <c r="S781" s="85"/>
      <c r="T781" s="86"/>
      <c r="U781" s="86"/>
      <c r="V781" s="87"/>
      <c r="W781" s="87"/>
      <c r="X781" s="87"/>
      <c r="Y781" s="87"/>
      <c r="Z781" s="87"/>
      <c r="AA781" s="87"/>
      <c r="AB781" s="29"/>
      <c r="AC781" s="94"/>
      <c r="AD781" s="94"/>
      <c r="AE781" s="89"/>
      <c r="AF781" s="89"/>
      <c r="AG781" s="89"/>
      <c r="AH781" s="89"/>
      <c r="AI781" s="90"/>
      <c r="AJ781" s="90"/>
      <c r="AK781" s="90"/>
      <c r="AL781" s="90"/>
      <c r="AM781" s="91"/>
      <c r="AN781" s="91"/>
      <c r="AO781" s="92"/>
      <c r="AP781" s="92"/>
      <c r="AQ781" s="92"/>
      <c r="AR781" s="92"/>
      <c r="AS781" s="93"/>
      <c r="AT781" s="93"/>
      <c r="AU781" s="93"/>
      <c r="AV781" s="93"/>
      <c r="AW781" s="93"/>
      <c r="AX781" s="92"/>
      <c r="AY781" s="92"/>
      <c r="AZ781" s="90"/>
      <c r="BA781" s="83"/>
      <c r="BB781" s="92"/>
      <c r="BC781" s="92"/>
      <c r="BD781" s="92"/>
      <c r="BE781" s="93"/>
      <c r="BF781" s="92"/>
      <c r="BG781" s="82"/>
      <c r="BH781" s="82"/>
      <c r="BI781" s="29"/>
      <c r="BJ781" s="29"/>
      <c r="BK781" s="29"/>
    </row>
    <row r="782" ht="15.75" hidden="1" customHeight="1">
      <c r="A782" s="75"/>
      <c r="B782" s="73"/>
      <c r="C782" s="76"/>
      <c r="D782" s="76"/>
      <c r="E782" s="76"/>
      <c r="F782" s="77"/>
      <c r="G782" s="78"/>
      <c r="H782" s="76"/>
      <c r="I782" s="76"/>
      <c r="J782" s="79"/>
      <c r="K782" s="80"/>
      <c r="L782" s="81"/>
      <c r="M782" s="81"/>
      <c r="N782" s="82"/>
      <c r="O782" s="83"/>
      <c r="P782" s="84"/>
      <c r="Q782" s="84"/>
      <c r="R782" s="81"/>
      <c r="S782" s="85"/>
      <c r="T782" s="86"/>
      <c r="U782" s="86"/>
      <c r="V782" s="87"/>
      <c r="W782" s="87"/>
      <c r="X782" s="87"/>
      <c r="Y782" s="87"/>
      <c r="Z782" s="87"/>
      <c r="AA782" s="87"/>
      <c r="AB782" s="29"/>
      <c r="AC782" s="94"/>
      <c r="AD782" s="94"/>
      <c r="AE782" s="89"/>
      <c r="AF782" s="89"/>
      <c r="AG782" s="89"/>
      <c r="AH782" s="89"/>
      <c r="AI782" s="90"/>
      <c r="AJ782" s="90"/>
      <c r="AK782" s="90"/>
      <c r="AL782" s="90"/>
      <c r="AM782" s="91"/>
      <c r="AN782" s="91"/>
      <c r="AO782" s="92"/>
      <c r="AP782" s="92"/>
      <c r="AQ782" s="92"/>
      <c r="AR782" s="92"/>
      <c r="AS782" s="93"/>
      <c r="AT782" s="93"/>
      <c r="AU782" s="93"/>
      <c r="AV782" s="93"/>
      <c r="AW782" s="93"/>
      <c r="AX782" s="92"/>
      <c r="AY782" s="92"/>
      <c r="AZ782" s="90"/>
      <c r="BA782" s="83"/>
      <c r="BB782" s="92"/>
      <c r="BC782" s="92"/>
      <c r="BD782" s="92"/>
      <c r="BE782" s="93"/>
      <c r="BF782" s="92"/>
      <c r="BG782" s="82"/>
      <c r="BH782" s="82"/>
      <c r="BI782" s="29"/>
      <c r="BJ782" s="29"/>
      <c r="BK782" s="29"/>
    </row>
    <row r="783" ht="15.75" hidden="1" customHeight="1">
      <c r="A783" s="75"/>
      <c r="B783" s="73"/>
      <c r="C783" s="76"/>
      <c r="D783" s="76"/>
      <c r="E783" s="76"/>
      <c r="F783" s="77"/>
      <c r="G783" s="78"/>
      <c r="H783" s="76"/>
      <c r="I783" s="76"/>
      <c r="J783" s="79"/>
      <c r="K783" s="80"/>
      <c r="L783" s="81"/>
      <c r="M783" s="81"/>
      <c r="N783" s="82"/>
      <c r="O783" s="83"/>
      <c r="P783" s="84"/>
      <c r="Q783" s="84"/>
      <c r="R783" s="81"/>
      <c r="S783" s="85"/>
      <c r="T783" s="86"/>
      <c r="U783" s="86"/>
      <c r="V783" s="87"/>
      <c r="W783" s="87"/>
      <c r="X783" s="87"/>
      <c r="Y783" s="87"/>
      <c r="Z783" s="87"/>
      <c r="AA783" s="87"/>
      <c r="AB783" s="29"/>
      <c r="AC783" s="94"/>
      <c r="AD783" s="94"/>
      <c r="AE783" s="89"/>
      <c r="AF783" s="89"/>
      <c r="AG783" s="89"/>
      <c r="AH783" s="89"/>
      <c r="AI783" s="90"/>
      <c r="AJ783" s="90"/>
      <c r="AK783" s="90"/>
      <c r="AL783" s="90"/>
      <c r="AM783" s="91"/>
      <c r="AN783" s="91"/>
      <c r="AO783" s="92"/>
      <c r="AP783" s="92"/>
      <c r="AQ783" s="92"/>
      <c r="AR783" s="92"/>
      <c r="AS783" s="93"/>
      <c r="AT783" s="93"/>
      <c r="AU783" s="93"/>
      <c r="AV783" s="93"/>
      <c r="AW783" s="93"/>
      <c r="AX783" s="92"/>
      <c r="AY783" s="92"/>
      <c r="AZ783" s="90"/>
      <c r="BA783" s="83"/>
      <c r="BB783" s="92"/>
      <c r="BC783" s="92"/>
      <c r="BD783" s="92"/>
      <c r="BE783" s="93"/>
      <c r="BF783" s="92"/>
      <c r="BG783" s="82"/>
      <c r="BH783" s="82"/>
      <c r="BI783" s="29"/>
      <c r="BJ783" s="29"/>
      <c r="BK783" s="29"/>
    </row>
    <row r="784" ht="15.75" hidden="1" customHeight="1">
      <c r="A784" s="75"/>
      <c r="B784" s="73"/>
      <c r="C784" s="76"/>
      <c r="D784" s="76"/>
      <c r="E784" s="76"/>
      <c r="F784" s="77"/>
      <c r="G784" s="78"/>
      <c r="H784" s="76"/>
      <c r="I784" s="76"/>
      <c r="J784" s="79"/>
      <c r="K784" s="80"/>
      <c r="L784" s="81"/>
      <c r="M784" s="81"/>
      <c r="N784" s="82"/>
      <c r="O784" s="83"/>
      <c r="P784" s="84"/>
      <c r="Q784" s="84"/>
      <c r="R784" s="81"/>
      <c r="S784" s="85"/>
      <c r="T784" s="86"/>
      <c r="U784" s="86"/>
      <c r="V784" s="87"/>
      <c r="W784" s="87"/>
      <c r="X784" s="87"/>
      <c r="Y784" s="87"/>
      <c r="Z784" s="87"/>
      <c r="AA784" s="87"/>
      <c r="AB784" s="29"/>
      <c r="AC784" s="94"/>
      <c r="AD784" s="94"/>
      <c r="AE784" s="89"/>
      <c r="AF784" s="89"/>
      <c r="AG784" s="89"/>
      <c r="AH784" s="89"/>
      <c r="AI784" s="90"/>
      <c r="AJ784" s="90"/>
      <c r="AK784" s="90"/>
      <c r="AL784" s="90"/>
      <c r="AM784" s="91"/>
      <c r="AN784" s="91"/>
      <c r="AO784" s="92"/>
      <c r="AP784" s="92"/>
      <c r="AQ784" s="92"/>
      <c r="AR784" s="92"/>
      <c r="AS784" s="93"/>
      <c r="AT784" s="93"/>
      <c r="AU784" s="93"/>
      <c r="AV784" s="93"/>
      <c r="AW784" s="93"/>
      <c r="AX784" s="92"/>
      <c r="AY784" s="92"/>
      <c r="AZ784" s="90"/>
      <c r="BA784" s="83"/>
      <c r="BB784" s="92"/>
      <c r="BC784" s="92"/>
      <c r="BD784" s="92"/>
      <c r="BE784" s="93"/>
      <c r="BF784" s="92"/>
      <c r="BG784" s="82"/>
      <c r="BH784" s="82"/>
      <c r="BI784" s="29"/>
      <c r="BJ784" s="29"/>
      <c r="BK784" s="29"/>
    </row>
    <row r="785" ht="15.75" hidden="1" customHeight="1">
      <c r="A785" s="75"/>
      <c r="B785" s="73"/>
      <c r="C785" s="76"/>
      <c r="D785" s="76"/>
      <c r="E785" s="76"/>
      <c r="F785" s="77"/>
      <c r="G785" s="78"/>
      <c r="H785" s="76"/>
      <c r="I785" s="76"/>
      <c r="J785" s="79"/>
      <c r="K785" s="80"/>
      <c r="L785" s="81"/>
      <c r="M785" s="81"/>
      <c r="N785" s="82"/>
      <c r="O785" s="83"/>
      <c r="P785" s="84"/>
      <c r="Q785" s="84"/>
      <c r="R785" s="81"/>
      <c r="S785" s="85"/>
      <c r="T785" s="86"/>
      <c r="U785" s="86"/>
      <c r="V785" s="87"/>
      <c r="W785" s="87"/>
      <c r="X785" s="87"/>
      <c r="Y785" s="87"/>
      <c r="Z785" s="87"/>
      <c r="AA785" s="87"/>
      <c r="AB785" s="29"/>
      <c r="AC785" s="94"/>
      <c r="AD785" s="94"/>
      <c r="AE785" s="89"/>
      <c r="AF785" s="89"/>
      <c r="AG785" s="89"/>
      <c r="AH785" s="89"/>
      <c r="AI785" s="90"/>
      <c r="AJ785" s="90"/>
      <c r="AK785" s="90"/>
      <c r="AL785" s="90"/>
      <c r="AM785" s="91"/>
      <c r="AN785" s="91"/>
      <c r="AO785" s="92"/>
      <c r="AP785" s="92"/>
      <c r="AQ785" s="92"/>
      <c r="AR785" s="92"/>
      <c r="AS785" s="93"/>
      <c r="AT785" s="93"/>
      <c r="AU785" s="93"/>
      <c r="AV785" s="93"/>
      <c r="AW785" s="93"/>
      <c r="AX785" s="92"/>
      <c r="AY785" s="92"/>
      <c r="AZ785" s="90"/>
      <c r="BA785" s="83"/>
      <c r="BB785" s="92"/>
      <c r="BC785" s="92"/>
      <c r="BD785" s="92"/>
      <c r="BE785" s="93"/>
      <c r="BF785" s="92"/>
      <c r="BG785" s="82"/>
      <c r="BH785" s="82"/>
      <c r="BI785" s="29"/>
      <c r="BJ785" s="29"/>
      <c r="BK785" s="29"/>
    </row>
    <row r="786" ht="15.75" hidden="1" customHeight="1">
      <c r="A786" s="75"/>
      <c r="B786" s="73"/>
      <c r="C786" s="76"/>
      <c r="D786" s="76"/>
      <c r="E786" s="76"/>
      <c r="F786" s="77"/>
      <c r="G786" s="78"/>
      <c r="H786" s="76"/>
      <c r="I786" s="76"/>
      <c r="J786" s="79"/>
      <c r="K786" s="80"/>
      <c r="L786" s="81"/>
      <c r="M786" s="81"/>
      <c r="N786" s="82"/>
      <c r="O786" s="83"/>
      <c r="P786" s="84"/>
      <c r="Q786" s="84"/>
      <c r="R786" s="81"/>
      <c r="S786" s="85"/>
      <c r="T786" s="86"/>
      <c r="U786" s="86"/>
      <c r="V786" s="87"/>
      <c r="W786" s="87"/>
      <c r="X786" s="87"/>
      <c r="Y786" s="87"/>
      <c r="Z786" s="87"/>
      <c r="AA786" s="87"/>
      <c r="AB786" s="29"/>
      <c r="AC786" s="94"/>
      <c r="AD786" s="94"/>
      <c r="AE786" s="89"/>
      <c r="AF786" s="89"/>
      <c r="AG786" s="89"/>
      <c r="AH786" s="89"/>
      <c r="AI786" s="90"/>
      <c r="AJ786" s="90"/>
      <c r="AK786" s="90"/>
      <c r="AL786" s="90"/>
      <c r="AM786" s="91"/>
      <c r="AN786" s="91"/>
      <c r="AO786" s="92"/>
      <c r="AP786" s="92"/>
      <c r="AQ786" s="92"/>
      <c r="AR786" s="92"/>
      <c r="AS786" s="93"/>
      <c r="AT786" s="93"/>
      <c r="AU786" s="93"/>
      <c r="AV786" s="93"/>
      <c r="AW786" s="93"/>
      <c r="AX786" s="92"/>
      <c r="AY786" s="92"/>
      <c r="AZ786" s="90"/>
      <c r="BA786" s="83"/>
      <c r="BB786" s="92"/>
      <c r="BC786" s="92"/>
      <c r="BD786" s="92"/>
      <c r="BE786" s="93"/>
      <c r="BF786" s="92"/>
      <c r="BG786" s="82"/>
      <c r="BH786" s="82"/>
      <c r="BI786" s="29"/>
      <c r="BJ786" s="29"/>
      <c r="BK786" s="29"/>
    </row>
    <row r="787" ht="15.75" hidden="1" customHeight="1">
      <c r="A787" s="75"/>
      <c r="B787" s="73"/>
      <c r="C787" s="76"/>
      <c r="D787" s="76"/>
      <c r="E787" s="76"/>
      <c r="F787" s="77"/>
      <c r="G787" s="78"/>
      <c r="H787" s="76"/>
      <c r="I787" s="76"/>
      <c r="J787" s="79"/>
      <c r="K787" s="80"/>
      <c r="L787" s="81"/>
      <c r="M787" s="81"/>
      <c r="N787" s="82"/>
      <c r="O787" s="83"/>
      <c r="P787" s="84"/>
      <c r="Q787" s="84"/>
      <c r="R787" s="81"/>
      <c r="S787" s="85"/>
      <c r="T787" s="86"/>
      <c r="U787" s="86"/>
      <c r="V787" s="87"/>
      <c r="W787" s="87"/>
      <c r="X787" s="87"/>
      <c r="Y787" s="87"/>
      <c r="Z787" s="87"/>
      <c r="AA787" s="87"/>
      <c r="AB787" s="29"/>
      <c r="AC787" s="94"/>
      <c r="AD787" s="94"/>
      <c r="AE787" s="89"/>
      <c r="AF787" s="89"/>
      <c r="AG787" s="89"/>
      <c r="AH787" s="89"/>
      <c r="AI787" s="90"/>
      <c r="AJ787" s="90"/>
      <c r="AK787" s="90"/>
      <c r="AL787" s="90"/>
      <c r="AM787" s="91"/>
      <c r="AN787" s="91"/>
      <c r="AO787" s="92"/>
      <c r="AP787" s="92"/>
      <c r="AQ787" s="92"/>
      <c r="AR787" s="92"/>
      <c r="AS787" s="93"/>
      <c r="AT787" s="93"/>
      <c r="AU787" s="93"/>
      <c r="AV787" s="93"/>
      <c r="AW787" s="93"/>
      <c r="AX787" s="92"/>
      <c r="AY787" s="92"/>
      <c r="AZ787" s="90"/>
      <c r="BA787" s="83"/>
      <c r="BB787" s="92"/>
      <c r="BC787" s="92"/>
      <c r="BD787" s="92"/>
      <c r="BE787" s="93"/>
      <c r="BF787" s="92"/>
      <c r="BG787" s="82"/>
      <c r="BH787" s="82"/>
      <c r="BI787" s="29"/>
      <c r="BJ787" s="29"/>
      <c r="BK787" s="29"/>
    </row>
    <row r="788" ht="15.75" hidden="1" customHeight="1">
      <c r="A788" s="75"/>
      <c r="B788" s="73"/>
      <c r="C788" s="76"/>
      <c r="D788" s="76"/>
      <c r="E788" s="76"/>
      <c r="F788" s="77"/>
      <c r="G788" s="78"/>
      <c r="H788" s="76"/>
      <c r="I788" s="76"/>
      <c r="J788" s="79"/>
      <c r="K788" s="80"/>
      <c r="L788" s="81"/>
      <c r="M788" s="81"/>
      <c r="N788" s="82"/>
      <c r="O788" s="83"/>
      <c r="P788" s="84"/>
      <c r="Q788" s="84"/>
      <c r="R788" s="81"/>
      <c r="S788" s="85"/>
      <c r="T788" s="86"/>
      <c r="U788" s="86"/>
      <c r="V788" s="87"/>
      <c r="W788" s="87"/>
      <c r="X788" s="87"/>
      <c r="Y788" s="87"/>
      <c r="Z788" s="87"/>
      <c r="AA788" s="87"/>
      <c r="AB788" s="29"/>
      <c r="AC788" s="94"/>
      <c r="AD788" s="94"/>
      <c r="AE788" s="89"/>
      <c r="AF788" s="89"/>
      <c r="AG788" s="89"/>
      <c r="AH788" s="89"/>
      <c r="AI788" s="90"/>
      <c r="AJ788" s="90"/>
      <c r="AK788" s="90"/>
      <c r="AL788" s="90"/>
      <c r="AM788" s="91"/>
      <c r="AN788" s="91"/>
      <c r="AO788" s="92"/>
      <c r="AP788" s="92"/>
      <c r="AQ788" s="92"/>
      <c r="AR788" s="92"/>
      <c r="AS788" s="93"/>
      <c r="AT788" s="93"/>
      <c r="AU788" s="93"/>
      <c r="AV788" s="93"/>
      <c r="AW788" s="93"/>
      <c r="AX788" s="92"/>
      <c r="AY788" s="92"/>
      <c r="AZ788" s="90"/>
      <c r="BA788" s="83"/>
      <c r="BB788" s="92"/>
      <c r="BC788" s="92"/>
      <c r="BD788" s="92"/>
      <c r="BE788" s="93"/>
      <c r="BF788" s="92"/>
      <c r="BG788" s="82"/>
      <c r="BH788" s="82"/>
      <c r="BI788" s="29"/>
      <c r="BJ788" s="29"/>
      <c r="BK788" s="29"/>
    </row>
    <row r="789" ht="15.75" hidden="1" customHeight="1">
      <c r="A789" s="75"/>
      <c r="B789" s="73"/>
      <c r="C789" s="76"/>
      <c r="D789" s="76"/>
      <c r="E789" s="76"/>
      <c r="F789" s="77"/>
      <c r="G789" s="78"/>
      <c r="H789" s="76"/>
      <c r="I789" s="76"/>
      <c r="J789" s="79"/>
      <c r="K789" s="80"/>
      <c r="L789" s="81"/>
      <c r="M789" s="81"/>
      <c r="N789" s="82"/>
      <c r="O789" s="83"/>
      <c r="P789" s="84"/>
      <c r="Q789" s="84"/>
      <c r="R789" s="81"/>
      <c r="S789" s="85"/>
      <c r="T789" s="86"/>
      <c r="U789" s="86"/>
      <c r="V789" s="87"/>
      <c r="W789" s="87"/>
      <c r="X789" s="87"/>
      <c r="Y789" s="87"/>
      <c r="Z789" s="87"/>
      <c r="AA789" s="87"/>
      <c r="AB789" s="29"/>
      <c r="AC789" s="94"/>
      <c r="AD789" s="94"/>
      <c r="AE789" s="89"/>
      <c r="AF789" s="89"/>
      <c r="AG789" s="89"/>
      <c r="AH789" s="89"/>
      <c r="AI789" s="90"/>
      <c r="AJ789" s="90"/>
      <c r="AK789" s="90"/>
      <c r="AL789" s="90"/>
      <c r="AM789" s="91"/>
      <c r="AN789" s="91"/>
      <c r="AO789" s="92"/>
      <c r="AP789" s="92"/>
      <c r="AQ789" s="92"/>
      <c r="AR789" s="92"/>
      <c r="AS789" s="93"/>
      <c r="AT789" s="93"/>
      <c r="AU789" s="93"/>
      <c r="AV789" s="93"/>
      <c r="AW789" s="93"/>
      <c r="AX789" s="92"/>
      <c r="AY789" s="92"/>
      <c r="AZ789" s="90"/>
      <c r="BA789" s="83"/>
      <c r="BB789" s="92"/>
      <c r="BC789" s="92"/>
      <c r="BD789" s="92"/>
      <c r="BE789" s="93"/>
      <c r="BF789" s="92"/>
      <c r="BG789" s="82"/>
      <c r="BH789" s="82"/>
      <c r="BI789" s="29"/>
      <c r="BJ789" s="29"/>
      <c r="BK789" s="29"/>
    </row>
    <row r="790" ht="15.75" hidden="1" customHeight="1">
      <c r="A790" s="75"/>
      <c r="B790" s="73"/>
      <c r="C790" s="76"/>
      <c r="D790" s="76"/>
      <c r="E790" s="76"/>
      <c r="F790" s="77"/>
      <c r="G790" s="78"/>
      <c r="H790" s="76"/>
      <c r="I790" s="76"/>
      <c r="J790" s="79"/>
      <c r="K790" s="80"/>
      <c r="L790" s="81"/>
      <c r="M790" s="81"/>
      <c r="N790" s="82"/>
      <c r="O790" s="83"/>
      <c r="P790" s="84"/>
      <c r="Q790" s="84"/>
      <c r="R790" s="81"/>
      <c r="S790" s="85"/>
      <c r="T790" s="86"/>
      <c r="U790" s="86"/>
      <c r="V790" s="87"/>
      <c r="W790" s="87"/>
      <c r="X790" s="87"/>
      <c r="Y790" s="87"/>
      <c r="Z790" s="87"/>
      <c r="AA790" s="87"/>
      <c r="AB790" s="29"/>
      <c r="AC790" s="94"/>
      <c r="AD790" s="94"/>
      <c r="AE790" s="89"/>
      <c r="AF790" s="89"/>
      <c r="AG790" s="89"/>
      <c r="AH790" s="89"/>
      <c r="AI790" s="90"/>
      <c r="AJ790" s="90"/>
      <c r="AK790" s="90"/>
      <c r="AL790" s="90"/>
      <c r="AM790" s="91"/>
      <c r="AN790" s="91"/>
      <c r="AO790" s="92"/>
      <c r="AP790" s="92"/>
      <c r="AQ790" s="92"/>
      <c r="AR790" s="92"/>
      <c r="AS790" s="93"/>
      <c r="AT790" s="93"/>
      <c r="AU790" s="93"/>
      <c r="AV790" s="93"/>
      <c r="AW790" s="93"/>
      <c r="AX790" s="92"/>
      <c r="AY790" s="92"/>
      <c r="AZ790" s="90"/>
      <c r="BA790" s="83"/>
      <c r="BB790" s="92"/>
      <c r="BC790" s="92"/>
      <c r="BD790" s="92"/>
      <c r="BE790" s="93"/>
      <c r="BF790" s="92"/>
      <c r="BG790" s="82"/>
      <c r="BH790" s="82"/>
      <c r="BI790" s="29"/>
      <c r="BJ790" s="29"/>
      <c r="BK790" s="29"/>
    </row>
    <row r="791" ht="15.75" hidden="1" customHeight="1">
      <c r="A791" s="75"/>
      <c r="B791" s="73"/>
      <c r="C791" s="76"/>
      <c r="D791" s="76"/>
      <c r="E791" s="76"/>
      <c r="F791" s="77"/>
      <c r="G791" s="78"/>
      <c r="H791" s="76"/>
      <c r="I791" s="76"/>
      <c r="J791" s="79"/>
      <c r="K791" s="80"/>
      <c r="L791" s="81"/>
      <c r="M791" s="81"/>
      <c r="N791" s="82"/>
      <c r="O791" s="83"/>
      <c r="P791" s="84"/>
      <c r="Q791" s="84"/>
      <c r="R791" s="81"/>
      <c r="S791" s="85"/>
      <c r="T791" s="86"/>
      <c r="U791" s="86"/>
      <c r="V791" s="87"/>
      <c r="W791" s="87"/>
      <c r="X791" s="87"/>
      <c r="Y791" s="87"/>
      <c r="Z791" s="87"/>
      <c r="AA791" s="87"/>
      <c r="AB791" s="29"/>
      <c r="AC791" s="94"/>
      <c r="AD791" s="94"/>
      <c r="AE791" s="89"/>
      <c r="AF791" s="89"/>
      <c r="AG791" s="89"/>
      <c r="AH791" s="89"/>
      <c r="AI791" s="90"/>
      <c r="AJ791" s="90"/>
      <c r="AK791" s="90"/>
      <c r="AL791" s="90"/>
      <c r="AM791" s="91"/>
      <c r="AN791" s="91"/>
      <c r="AO791" s="92"/>
      <c r="AP791" s="92"/>
      <c r="AQ791" s="92"/>
      <c r="AR791" s="92"/>
      <c r="AS791" s="93"/>
      <c r="AT791" s="93"/>
      <c r="AU791" s="93"/>
      <c r="AV791" s="93"/>
      <c r="AW791" s="93"/>
      <c r="AX791" s="92"/>
      <c r="AY791" s="92"/>
      <c r="AZ791" s="90"/>
      <c r="BA791" s="83"/>
      <c r="BB791" s="92"/>
      <c r="BC791" s="92"/>
      <c r="BD791" s="92"/>
      <c r="BE791" s="93"/>
      <c r="BF791" s="92"/>
      <c r="BG791" s="82"/>
      <c r="BH791" s="82"/>
      <c r="BI791" s="29"/>
      <c r="BJ791" s="29"/>
      <c r="BK791" s="29"/>
    </row>
    <row r="792" ht="15.75" hidden="1" customHeight="1">
      <c r="A792" s="75"/>
      <c r="B792" s="73"/>
      <c r="C792" s="76"/>
      <c r="D792" s="76"/>
      <c r="E792" s="76"/>
      <c r="F792" s="77"/>
      <c r="G792" s="78"/>
      <c r="H792" s="76"/>
      <c r="I792" s="76"/>
      <c r="J792" s="79"/>
      <c r="K792" s="80"/>
      <c r="L792" s="81"/>
      <c r="M792" s="81"/>
      <c r="N792" s="82"/>
      <c r="O792" s="83"/>
      <c r="P792" s="84"/>
      <c r="Q792" s="84"/>
      <c r="R792" s="81"/>
      <c r="S792" s="85"/>
      <c r="T792" s="86"/>
      <c r="U792" s="86"/>
      <c r="V792" s="87"/>
      <c r="W792" s="87"/>
      <c r="X792" s="87"/>
      <c r="Y792" s="87"/>
      <c r="Z792" s="87"/>
      <c r="AA792" s="87"/>
      <c r="AB792" s="29"/>
      <c r="AC792" s="94"/>
      <c r="AD792" s="94"/>
      <c r="AE792" s="89"/>
      <c r="AF792" s="89"/>
      <c r="AG792" s="89"/>
      <c r="AH792" s="89"/>
      <c r="AI792" s="90"/>
      <c r="AJ792" s="90"/>
      <c r="AK792" s="90"/>
      <c r="AL792" s="90"/>
      <c r="AM792" s="91"/>
      <c r="AN792" s="91"/>
      <c r="AO792" s="92"/>
      <c r="AP792" s="92"/>
      <c r="AQ792" s="92"/>
      <c r="AR792" s="92"/>
      <c r="AS792" s="93"/>
      <c r="AT792" s="93"/>
      <c r="AU792" s="93"/>
      <c r="AV792" s="93"/>
      <c r="AW792" s="93"/>
      <c r="AX792" s="92"/>
      <c r="AY792" s="92"/>
      <c r="AZ792" s="90"/>
      <c r="BA792" s="83"/>
      <c r="BB792" s="92"/>
      <c r="BC792" s="92"/>
      <c r="BD792" s="92"/>
      <c r="BE792" s="93"/>
      <c r="BF792" s="92"/>
      <c r="BG792" s="82"/>
      <c r="BH792" s="82"/>
      <c r="BI792" s="29"/>
      <c r="BJ792" s="29"/>
      <c r="BK792" s="29"/>
    </row>
    <row r="793" ht="15.75" hidden="1" customHeight="1">
      <c r="A793" s="75"/>
      <c r="B793" s="73"/>
      <c r="C793" s="76"/>
      <c r="D793" s="76"/>
      <c r="E793" s="76"/>
      <c r="F793" s="77"/>
      <c r="G793" s="78"/>
      <c r="H793" s="76"/>
      <c r="I793" s="76"/>
      <c r="J793" s="79"/>
      <c r="K793" s="80"/>
      <c r="L793" s="81"/>
      <c r="M793" s="81"/>
      <c r="N793" s="82"/>
      <c r="O793" s="83"/>
      <c r="P793" s="84"/>
      <c r="Q793" s="84"/>
      <c r="R793" s="81"/>
      <c r="S793" s="85"/>
      <c r="T793" s="86"/>
      <c r="U793" s="86"/>
      <c r="V793" s="87"/>
      <c r="W793" s="87"/>
      <c r="X793" s="87"/>
      <c r="Y793" s="87"/>
      <c r="Z793" s="87"/>
      <c r="AA793" s="87"/>
      <c r="AB793" s="29"/>
      <c r="AC793" s="94"/>
      <c r="AD793" s="94"/>
      <c r="AE793" s="89"/>
      <c r="AF793" s="89"/>
      <c r="AG793" s="89"/>
      <c r="AH793" s="89"/>
      <c r="AI793" s="90"/>
      <c r="AJ793" s="90"/>
      <c r="AK793" s="90"/>
      <c r="AL793" s="90"/>
      <c r="AM793" s="91"/>
      <c r="AN793" s="91"/>
      <c r="AO793" s="92"/>
      <c r="AP793" s="92"/>
      <c r="AQ793" s="92"/>
      <c r="AR793" s="92"/>
      <c r="AS793" s="93"/>
      <c r="AT793" s="93"/>
      <c r="AU793" s="93"/>
      <c r="AV793" s="93"/>
      <c r="AW793" s="93"/>
      <c r="AX793" s="92"/>
      <c r="AY793" s="92"/>
      <c r="AZ793" s="90"/>
      <c r="BA793" s="83"/>
      <c r="BB793" s="92"/>
      <c r="BC793" s="92"/>
      <c r="BD793" s="92"/>
      <c r="BE793" s="93"/>
      <c r="BF793" s="92"/>
      <c r="BG793" s="82"/>
      <c r="BH793" s="82"/>
      <c r="BI793" s="29"/>
      <c r="BJ793" s="29"/>
      <c r="BK793" s="29"/>
    </row>
    <row r="794" ht="15.75" hidden="1" customHeight="1">
      <c r="A794" s="75"/>
      <c r="B794" s="73"/>
      <c r="C794" s="76"/>
      <c r="D794" s="76"/>
      <c r="E794" s="76"/>
      <c r="F794" s="77"/>
      <c r="G794" s="78"/>
      <c r="H794" s="76"/>
      <c r="I794" s="76"/>
      <c r="J794" s="79"/>
      <c r="K794" s="80"/>
      <c r="L794" s="81"/>
      <c r="M794" s="81"/>
      <c r="N794" s="82"/>
      <c r="O794" s="83"/>
      <c r="P794" s="84"/>
      <c r="Q794" s="84"/>
      <c r="R794" s="81"/>
      <c r="S794" s="85"/>
      <c r="T794" s="86"/>
      <c r="U794" s="86"/>
      <c r="V794" s="87"/>
      <c r="W794" s="87"/>
      <c r="X794" s="87"/>
      <c r="Y794" s="87"/>
      <c r="Z794" s="87"/>
      <c r="AA794" s="87"/>
      <c r="AB794" s="29"/>
      <c r="AC794" s="94"/>
      <c r="AD794" s="94"/>
      <c r="AE794" s="89"/>
      <c r="AF794" s="89"/>
      <c r="AG794" s="89"/>
      <c r="AH794" s="89"/>
      <c r="AI794" s="90"/>
      <c r="AJ794" s="90"/>
      <c r="AK794" s="90"/>
      <c r="AL794" s="90"/>
      <c r="AM794" s="91"/>
      <c r="AN794" s="91"/>
      <c r="AO794" s="92"/>
      <c r="AP794" s="92"/>
      <c r="AQ794" s="92"/>
      <c r="AR794" s="92"/>
      <c r="AS794" s="93"/>
      <c r="AT794" s="93"/>
      <c r="AU794" s="93"/>
      <c r="AV794" s="93"/>
      <c r="AW794" s="93"/>
      <c r="AX794" s="92"/>
      <c r="AY794" s="92"/>
      <c r="AZ794" s="90"/>
      <c r="BA794" s="83"/>
      <c r="BB794" s="92"/>
      <c r="BC794" s="92"/>
      <c r="BD794" s="92"/>
      <c r="BE794" s="93"/>
      <c r="BF794" s="92"/>
      <c r="BG794" s="82"/>
      <c r="BH794" s="82"/>
      <c r="BI794" s="29"/>
      <c r="BJ794" s="29"/>
      <c r="BK794" s="29"/>
    </row>
    <row r="795" ht="15.75" hidden="1" customHeight="1">
      <c r="A795" s="75"/>
      <c r="B795" s="73"/>
      <c r="C795" s="76"/>
      <c r="D795" s="76"/>
      <c r="E795" s="76"/>
      <c r="F795" s="77"/>
      <c r="G795" s="78"/>
      <c r="H795" s="76"/>
      <c r="I795" s="76"/>
      <c r="J795" s="79"/>
      <c r="K795" s="80"/>
      <c r="L795" s="81"/>
      <c r="M795" s="81"/>
      <c r="N795" s="82"/>
      <c r="O795" s="83"/>
      <c r="P795" s="84"/>
      <c r="Q795" s="84"/>
      <c r="R795" s="81"/>
      <c r="S795" s="85"/>
      <c r="T795" s="86"/>
      <c r="U795" s="86"/>
      <c r="V795" s="87"/>
      <c r="W795" s="87"/>
      <c r="X795" s="87"/>
      <c r="Y795" s="87"/>
      <c r="Z795" s="87"/>
      <c r="AA795" s="87"/>
      <c r="AB795" s="29"/>
      <c r="AC795" s="94"/>
      <c r="AD795" s="94"/>
      <c r="AE795" s="89"/>
      <c r="AF795" s="89"/>
      <c r="AG795" s="89"/>
      <c r="AH795" s="89"/>
      <c r="AI795" s="90"/>
      <c r="AJ795" s="90"/>
      <c r="AK795" s="90"/>
      <c r="AL795" s="90"/>
      <c r="AM795" s="91"/>
      <c r="AN795" s="91"/>
      <c r="AO795" s="92"/>
      <c r="AP795" s="92"/>
      <c r="AQ795" s="92"/>
      <c r="AR795" s="92"/>
      <c r="AS795" s="93"/>
      <c r="AT795" s="93"/>
      <c r="AU795" s="93"/>
      <c r="AV795" s="93"/>
      <c r="AW795" s="93"/>
      <c r="AX795" s="92"/>
      <c r="AY795" s="92"/>
      <c r="AZ795" s="90"/>
      <c r="BA795" s="83"/>
      <c r="BB795" s="92"/>
      <c r="BC795" s="92"/>
      <c r="BD795" s="92"/>
      <c r="BE795" s="93"/>
      <c r="BF795" s="92"/>
      <c r="BG795" s="82"/>
      <c r="BH795" s="82"/>
      <c r="BI795" s="29"/>
      <c r="BJ795" s="29"/>
      <c r="BK795" s="29"/>
    </row>
    <row r="796" ht="15.75" hidden="1" customHeight="1">
      <c r="A796" s="75"/>
      <c r="B796" s="73"/>
      <c r="C796" s="76"/>
      <c r="D796" s="76"/>
      <c r="E796" s="76"/>
      <c r="F796" s="77"/>
      <c r="G796" s="78"/>
      <c r="H796" s="76"/>
      <c r="I796" s="76"/>
      <c r="J796" s="79"/>
      <c r="K796" s="80"/>
      <c r="L796" s="81"/>
      <c r="M796" s="81"/>
      <c r="N796" s="82"/>
      <c r="O796" s="83"/>
      <c r="P796" s="84"/>
      <c r="Q796" s="84"/>
      <c r="R796" s="81"/>
      <c r="S796" s="85"/>
      <c r="T796" s="86"/>
      <c r="U796" s="86"/>
      <c r="V796" s="87"/>
      <c r="W796" s="87"/>
      <c r="X796" s="87"/>
      <c r="Y796" s="87"/>
      <c r="Z796" s="87"/>
      <c r="AA796" s="87"/>
      <c r="AB796" s="29"/>
      <c r="AC796" s="94"/>
      <c r="AD796" s="94"/>
      <c r="AE796" s="89"/>
      <c r="AF796" s="89"/>
      <c r="AG796" s="89"/>
      <c r="AH796" s="89"/>
      <c r="AI796" s="90"/>
      <c r="AJ796" s="90"/>
      <c r="AK796" s="90"/>
      <c r="AL796" s="90"/>
      <c r="AM796" s="91"/>
      <c r="AN796" s="91"/>
      <c r="AO796" s="92"/>
      <c r="AP796" s="92"/>
      <c r="AQ796" s="92"/>
      <c r="AR796" s="92"/>
      <c r="AS796" s="93"/>
      <c r="AT796" s="93"/>
      <c r="AU796" s="93"/>
      <c r="AV796" s="93"/>
      <c r="AW796" s="93"/>
      <c r="AX796" s="92"/>
      <c r="AY796" s="92"/>
      <c r="AZ796" s="90"/>
      <c r="BA796" s="83"/>
      <c r="BB796" s="92"/>
      <c r="BC796" s="92"/>
      <c r="BD796" s="92"/>
      <c r="BE796" s="93"/>
      <c r="BF796" s="92"/>
      <c r="BG796" s="82"/>
      <c r="BH796" s="82"/>
      <c r="BI796" s="29"/>
      <c r="BJ796" s="29"/>
      <c r="BK796" s="29"/>
    </row>
    <row r="797" ht="15.75" hidden="1" customHeight="1">
      <c r="A797" s="75"/>
      <c r="B797" s="73"/>
      <c r="C797" s="76"/>
      <c r="D797" s="76"/>
      <c r="E797" s="76"/>
      <c r="F797" s="77"/>
      <c r="G797" s="78"/>
      <c r="H797" s="76"/>
      <c r="I797" s="76"/>
      <c r="J797" s="79"/>
      <c r="K797" s="80"/>
      <c r="L797" s="81"/>
      <c r="M797" s="81"/>
      <c r="N797" s="82"/>
      <c r="O797" s="83"/>
      <c r="P797" s="84"/>
      <c r="Q797" s="84"/>
      <c r="R797" s="81"/>
      <c r="S797" s="85"/>
      <c r="T797" s="86"/>
      <c r="U797" s="86"/>
      <c r="V797" s="87"/>
      <c r="W797" s="87"/>
      <c r="X797" s="87"/>
      <c r="Y797" s="87"/>
      <c r="Z797" s="87"/>
      <c r="AA797" s="87"/>
      <c r="AB797" s="29"/>
      <c r="AC797" s="94"/>
      <c r="AD797" s="94"/>
      <c r="AE797" s="89"/>
      <c r="AF797" s="89"/>
      <c r="AG797" s="89"/>
      <c r="AH797" s="89"/>
      <c r="AI797" s="90"/>
      <c r="AJ797" s="90"/>
      <c r="AK797" s="90"/>
      <c r="AL797" s="90"/>
      <c r="AM797" s="91"/>
      <c r="AN797" s="91"/>
      <c r="AO797" s="92"/>
      <c r="AP797" s="92"/>
      <c r="AQ797" s="92"/>
      <c r="AR797" s="92"/>
      <c r="AS797" s="93"/>
      <c r="AT797" s="93"/>
      <c r="AU797" s="93"/>
      <c r="AV797" s="93"/>
      <c r="AW797" s="93"/>
      <c r="AX797" s="92"/>
      <c r="AY797" s="92"/>
      <c r="AZ797" s="90"/>
      <c r="BA797" s="83"/>
      <c r="BB797" s="92"/>
      <c r="BC797" s="92"/>
      <c r="BD797" s="92"/>
      <c r="BE797" s="93"/>
      <c r="BF797" s="92"/>
      <c r="BG797" s="82"/>
      <c r="BH797" s="82"/>
      <c r="BI797" s="29"/>
      <c r="BJ797" s="29"/>
      <c r="BK797" s="29"/>
    </row>
    <row r="798" ht="15.75" hidden="1" customHeight="1">
      <c r="A798" s="75"/>
      <c r="B798" s="73"/>
      <c r="C798" s="76"/>
      <c r="D798" s="76"/>
      <c r="E798" s="76"/>
      <c r="F798" s="77"/>
      <c r="G798" s="78"/>
      <c r="H798" s="76"/>
      <c r="I798" s="76"/>
      <c r="J798" s="79"/>
      <c r="K798" s="80"/>
      <c r="L798" s="81"/>
      <c r="M798" s="81"/>
      <c r="N798" s="82"/>
      <c r="O798" s="83"/>
      <c r="P798" s="84"/>
      <c r="Q798" s="84"/>
      <c r="R798" s="81"/>
      <c r="S798" s="85"/>
      <c r="T798" s="86"/>
      <c r="U798" s="86"/>
      <c r="V798" s="87"/>
      <c r="W798" s="87"/>
      <c r="X798" s="87"/>
      <c r="Y798" s="87"/>
      <c r="Z798" s="87"/>
      <c r="AA798" s="87"/>
      <c r="AB798" s="29"/>
      <c r="AC798" s="94"/>
      <c r="AD798" s="94"/>
      <c r="AE798" s="89"/>
      <c r="AF798" s="89"/>
      <c r="AG798" s="89"/>
      <c r="AH798" s="89"/>
      <c r="AI798" s="90"/>
      <c r="AJ798" s="90"/>
      <c r="AK798" s="90"/>
      <c r="AL798" s="90"/>
      <c r="AM798" s="91"/>
      <c r="AN798" s="91"/>
      <c r="AO798" s="92"/>
      <c r="AP798" s="92"/>
      <c r="AQ798" s="92"/>
      <c r="AR798" s="92"/>
      <c r="AS798" s="93"/>
      <c r="AT798" s="93"/>
      <c r="AU798" s="93"/>
      <c r="AV798" s="93"/>
      <c r="AW798" s="93"/>
      <c r="AX798" s="92"/>
      <c r="AY798" s="92"/>
      <c r="AZ798" s="90"/>
      <c r="BA798" s="83"/>
      <c r="BB798" s="92"/>
      <c r="BC798" s="92"/>
      <c r="BD798" s="92"/>
      <c r="BE798" s="93"/>
      <c r="BF798" s="92"/>
      <c r="BG798" s="82"/>
      <c r="BH798" s="82"/>
      <c r="BI798" s="29"/>
      <c r="BJ798" s="29"/>
      <c r="BK798" s="29"/>
    </row>
    <row r="799" ht="15.75" hidden="1" customHeight="1">
      <c r="A799" s="75"/>
      <c r="B799" s="73"/>
      <c r="C799" s="76"/>
      <c r="D799" s="76"/>
      <c r="E799" s="76"/>
      <c r="F799" s="77"/>
      <c r="G799" s="78"/>
      <c r="H799" s="76"/>
      <c r="I799" s="76"/>
      <c r="J799" s="79"/>
      <c r="K799" s="80"/>
      <c r="L799" s="81"/>
      <c r="M799" s="81"/>
      <c r="N799" s="82"/>
      <c r="O799" s="83"/>
      <c r="P799" s="84"/>
      <c r="Q799" s="84"/>
      <c r="R799" s="81"/>
      <c r="S799" s="85"/>
      <c r="T799" s="86"/>
      <c r="U799" s="86"/>
      <c r="V799" s="87"/>
      <c r="W799" s="87"/>
      <c r="X799" s="87"/>
      <c r="Y799" s="87"/>
      <c r="Z799" s="87"/>
      <c r="AA799" s="87"/>
      <c r="AB799" s="29"/>
      <c r="AC799" s="94"/>
      <c r="AD799" s="94"/>
      <c r="AE799" s="89"/>
      <c r="AF799" s="89"/>
      <c r="AG799" s="89"/>
      <c r="AH799" s="89"/>
      <c r="AI799" s="90"/>
      <c r="AJ799" s="90"/>
      <c r="AK799" s="90"/>
      <c r="AL799" s="90"/>
      <c r="AM799" s="91"/>
      <c r="AN799" s="91"/>
      <c r="AO799" s="92"/>
      <c r="AP799" s="92"/>
      <c r="AQ799" s="92"/>
      <c r="AR799" s="92"/>
      <c r="AS799" s="93"/>
      <c r="AT799" s="93"/>
      <c r="AU799" s="93"/>
      <c r="AV799" s="93"/>
      <c r="AW799" s="93"/>
      <c r="AX799" s="92"/>
      <c r="AY799" s="92"/>
      <c r="AZ799" s="90"/>
      <c r="BA799" s="83"/>
      <c r="BB799" s="92"/>
      <c r="BC799" s="92"/>
      <c r="BD799" s="92"/>
      <c r="BE799" s="93"/>
      <c r="BF799" s="92"/>
      <c r="BG799" s="82"/>
      <c r="BH799" s="82"/>
      <c r="BI799" s="29"/>
      <c r="BJ799" s="29"/>
      <c r="BK799" s="29"/>
    </row>
    <row r="800" ht="15.75" hidden="1" customHeight="1">
      <c r="A800" s="75"/>
      <c r="B800" s="73"/>
      <c r="C800" s="76"/>
      <c r="D800" s="76"/>
      <c r="E800" s="76"/>
      <c r="F800" s="77"/>
      <c r="G800" s="78"/>
      <c r="H800" s="76"/>
      <c r="I800" s="76"/>
      <c r="J800" s="79"/>
      <c r="K800" s="80"/>
      <c r="L800" s="81"/>
      <c r="M800" s="81"/>
      <c r="N800" s="82"/>
      <c r="O800" s="83"/>
      <c r="P800" s="84"/>
      <c r="Q800" s="84"/>
      <c r="R800" s="81"/>
      <c r="S800" s="85"/>
      <c r="T800" s="86"/>
      <c r="U800" s="86"/>
      <c r="V800" s="87"/>
      <c r="W800" s="87"/>
      <c r="X800" s="87"/>
      <c r="Y800" s="87"/>
      <c r="Z800" s="87"/>
      <c r="AA800" s="87"/>
      <c r="AB800" s="29"/>
      <c r="AC800" s="94"/>
      <c r="AD800" s="94"/>
      <c r="AE800" s="89"/>
      <c r="AF800" s="89"/>
      <c r="AG800" s="89"/>
      <c r="AH800" s="89"/>
      <c r="AI800" s="90"/>
      <c r="AJ800" s="90"/>
      <c r="AK800" s="90"/>
      <c r="AL800" s="90"/>
      <c r="AM800" s="91"/>
      <c r="AN800" s="91"/>
      <c r="AO800" s="92"/>
      <c r="AP800" s="92"/>
      <c r="AQ800" s="92"/>
      <c r="AR800" s="92"/>
      <c r="AS800" s="93"/>
      <c r="AT800" s="93"/>
      <c r="AU800" s="93"/>
      <c r="AV800" s="93"/>
      <c r="AW800" s="93"/>
      <c r="AX800" s="92"/>
      <c r="AY800" s="92"/>
      <c r="AZ800" s="90"/>
      <c r="BA800" s="83"/>
      <c r="BB800" s="92"/>
      <c r="BC800" s="92"/>
      <c r="BD800" s="92"/>
      <c r="BE800" s="93"/>
      <c r="BF800" s="92"/>
      <c r="BG800" s="82"/>
      <c r="BH800" s="82"/>
      <c r="BI800" s="29"/>
      <c r="BJ800" s="29"/>
      <c r="BK800" s="29"/>
    </row>
    <row r="801" ht="15.75" hidden="1" customHeight="1">
      <c r="A801" s="75"/>
      <c r="B801" s="73"/>
      <c r="C801" s="76"/>
      <c r="D801" s="76"/>
      <c r="E801" s="76"/>
      <c r="F801" s="77"/>
      <c r="G801" s="78"/>
      <c r="H801" s="76"/>
      <c r="I801" s="76"/>
      <c r="J801" s="79"/>
      <c r="K801" s="80"/>
      <c r="L801" s="81"/>
      <c r="M801" s="81"/>
      <c r="N801" s="82"/>
      <c r="O801" s="83"/>
      <c r="P801" s="84"/>
      <c r="Q801" s="84"/>
      <c r="R801" s="81"/>
      <c r="S801" s="85"/>
      <c r="T801" s="86"/>
      <c r="U801" s="86"/>
      <c r="V801" s="87"/>
      <c r="W801" s="87"/>
      <c r="X801" s="87"/>
      <c r="Y801" s="87"/>
      <c r="Z801" s="87"/>
      <c r="AA801" s="87"/>
      <c r="AB801" s="29"/>
      <c r="AC801" s="94"/>
      <c r="AD801" s="94"/>
      <c r="AE801" s="89"/>
      <c r="AF801" s="89"/>
      <c r="AG801" s="89"/>
      <c r="AH801" s="89"/>
      <c r="AI801" s="90"/>
      <c r="AJ801" s="90"/>
      <c r="AK801" s="90"/>
      <c r="AL801" s="90"/>
      <c r="AM801" s="91"/>
      <c r="AN801" s="91"/>
      <c r="AO801" s="92"/>
      <c r="AP801" s="92"/>
      <c r="AQ801" s="92"/>
      <c r="AR801" s="92"/>
      <c r="AS801" s="93"/>
      <c r="AT801" s="93"/>
      <c r="AU801" s="93"/>
      <c r="AV801" s="93"/>
      <c r="AW801" s="93"/>
      <c r="AX801" s="92"/>
      <c r="AY801" s="92"/>
      <c r="AZ801" s="90"/>
      <c r="BA801" s="83"/>
      <c r="BB801" s="92"/>
      <c r="BC801" s="92"/>
      <c r="BD801" s="92"/>
      <c r="BE801" s="93"/>
      <c r="BF801" s="92"/>
      <c r="BG801" s="82"/>
      <c r="BH801" s="82"/>
      <c r="BI801" s="29"/>
      <c r="BJ801" s="29"/>
      <c r="BK801" s="29"/>
    </row>
    <row r="802" ht="15.75" hidden="1" customHeight="1">
      <c r="A802" s="75"/>
      <c r="B802" s="73"/>
      <c r="C802" s="76"/>
      <c r="D802" s="76"/>
      <c r="E802" s="76"/>
      <c r="F802" s="77"/>
      <c r="G802" s="78"/>
      <c r="H802" s="76"/>
      <c r="I802" s="76"/>
      <c r="J802" s="79"/>
      <c r="K802" s="80"/>
      <c r="L802" s="81"/>
      <c r="M802" s="81"/>
      <c r="N802" s="82"/>
      <c r="O802" s="83"/>
      <c r="P802" s="84"/>
      <c r="Q802" s="84"/>
      <c r="R802" s="81"/>
      <c r="S802" s="85"/>
      <c r="T802" s="86"/>
      <c r="U802" s="86"/>
      <c r="V802" s="87"/>
      <c r="W802" s="87"/>
      <c r="X802" s="87"/>
      <c r="Y802" s="87"/>
      <c r="Z802" s="87"/>
      <c r="AA802" s="87"/>
      <c r="AB802" s="29"/>
      <c r="AC802" s="94"/>
      <c r="AD802" s="94"/>
      <c r="AE802" s="89"/>
      <c r="AF802" s="89"/>
      <c r="AG802" s="89"/>
      <c r="AH802" s="89"/>
      <c r="AI802" s="90"/>
      <c r="AJ802" s="90"/>
      <c r="AK802" s="90"/>
      <c r="AL802" s="90"/>
      <c r="AM802" s="91"/>
      <c r="AN802" s="91"/>
      <c r="AO802" s="92"/>
      <c r="AP802" s="92"/>
      <c r="AQ802" s="92"/>
      <c r="AR802" s="92"/>
      <c r="AS802" s="93"/>
      <c r="AT802" s="93"/>
      <c r="AU802" s="93"/>
      <c r="AV802" s="93"/>
      <c r="AW802" s="93"/>
      <c r="AX802" s="92"/>
      <c r="AY802" s="92"/>
      <c r="AZ802" s="90"/>
      <c r="BA802" s="83"/>
      <c r="BB802" s="92"/>
      <c r="BC802" s="92"/>
      <c r="BD802" s="92"/>
      <c r="BE802" s="93"/>
      <c r="BF802" s="92"/>
      <c r="BG802" s="82"/>
      <c r="BH802" s="82"/>
      <c r="BI802" s="29"/>
      <c r="BJ802" s="29"/>
      <c r="BK802" s="29"/>
    </row>
    <row r="803" ht="15.75" hidden="1" customHeight="1">
      <c r="A803" s="75"/>
      <c r="B803" s="73"/>
      <c r="C803" s="76"/>
      <c r="D803" s="76"/>
      <c r="E803" s="76"/>
      <c r="F803" s="77"/>
      <c r="G803" s="78"/>
      <c r="H803" s="76"/>
      <c r="I803" s="76"/>
      <c r="J803" s="79"/>
      <c r="K803" s="80"/>
      <c r="L803" s="81"/>
      <c r="M803" s="81"/>
      <c r="N803" s="82"/>
      <c r="O803" s="83"/>
      <c r="P803" s="84"/>
      <c r="Q803" s="84"/>
      <c r="R803" s="81"/>
      <c r="S803" s="85"/>
      <c r="T803" s="86"/>
      <c r="U803" s="86"/>
      <c r="V803" s="87"/>
      <c r="W803" s="87"/>
      <c r="X803" s="87"/>
      <c r="Y803" s="87"/>
      <c r="Z803" s="87"/>
      <c r="AA803" s="87"/>
      <c r="AB803" s="29"/>
      <c r="AC803" s="94"/>
      <c r="AD803" s="94"/>
      <c r="AE803" s="89"/>
      <c r="AF803" s="89"/>
      <c r="AG803" s="89"/>
      <c r="AH803" s="89"/>
      <c r="AI803" s="90"/>
      <c r="AJ803" s="90"/>
      <c r="AK803" s="90"/>
      <c r="AL803" s="90"/>
      <c r="AM803" s="91"/>
      <c r="AN803" s="91"/>
      <c r="AO803" s="92"/>
      <c r="AP803" s="92"/>
      <c r="AQ803" s="92"/>
      <c r="AR803" s="92"/>
      <c r="AS803" s="93"/>
      <c r="AT803" s="93"/>
      <c r="AU803" s="93"/>
      <c r="AV803" s="93"/>
      <c r="AW803" s="93"/>
      <c r="AX803" s="92"/>
      <c r="AY803" s="92"/>
      <c r="AZ803" s="90"/>
      <c r="BA803" s="83"/>
      <c r="BB803" s="92"/>
      <c r="BC803" s="92"/>
      <c r="BD803" s="92"/>
      <c r="BE803" s="93"/>
      <c r="BF803" s="92"/>
      <c r="BG803" s="82"/>
      <c r="BH803" s="82"/>
      <c r="BI803" s="29"/>
      <c r="BJ803" s="29"/>
      <c r="BK803" s="29"/>
    </row>
    <row r="804" ht="15.75" hidden="1" customHeight="1">
      <c r="A804" s="75"/>
      <c r="B804" s="73"/>
      <c r="C804" s="76"/>
      <c r="D804" s="76"/>
      <c r="E804" s="76"/>
      <c r="F804" s="77"/>
      <c r="G804" s="78"/>
      <c r="H804" s="76"/>
      <c r="I804" s="76"/>
      <c r="J804" s="79"/>
      <c r="K804" s="80"/>
      <c r="L804" s="81"/>
      <c r="M804" s="81"/>
      <c r="N804" s="82"/>
      <c r="O804" s="83"/>
      <c r="P804" s="84"/>
      <c r="Q804" s="84"/>
      <c r="R804" s="81"/>
      <c r="S804" s="85"/>
      <c r="T804" s="86"/>
      <c r="U804" s="86"/>
      <c r="V804" s="87"/>
      <c r="W804" s="87"/>
      <c r="X804" s="87"/>
      <c r="Y804" s="87"/>
      <c r="Z804" s="87"/>
      <c r="AA804" s="87"/>
      <c r="AB804" s="29"/>
      <c r="AC804" s="94"/>
      <c r="AD804" s="94"/>
      <c r="AE804" s="89"/>
      <c r="AF804" s="89"/>
      <c r="AG804" s="89"/>
      <c r="AH804" s="89"/>
      <c r="AI804" s="90"/>
      <c r="AJ804" s="90"/>
      <c r="AK804" s="90"/>
      <c r="AL804" s="90"/>
      <c r="AM804" s="91"/>
      <c r="AN804" s="91"/>
      <c r="AO804" s="92"/>
      <c r="AP804" s="92"/>
      <c r="AQ804" s="92"/>
      <c r="AR804" s="92"/>
      <c r="AS804" s="93"/>
      <c r="AT804" s="93"/>
      <c r="AU804" s="93"/>
      <c r="AV804" s="93"/>
      <c r="AW804" s="93"/>
      <c r="AX804" s="92"/>
      <c r="AY804" s="92"/>
      <c r="AZ804" s="90"/>
      <c r="BA804" s="83"/>
      <c r="BB804" s="92"/>
      <c r="BC804" s="92"/>
      <c r="BD804" s="92"/>
      <c r="BE804" s="93"/>
      <c r="BF804" s="92"/>
      <c r="BG804" s="82"/>
      <c r="BH804" s="82"/>
      <c r="BI804" s="29"/>
      <c r="BJ804" s="29"/>
      <c r="BK804" s="29"/>
    </row>
    <row r="805" ht="15.75" hidden="1" customHeight="1">
      <c r="A805" s="75"/>
      <c r="B805" s="73"/>
      <c r="C805" s="76"/>
      <c r="D805" s="76"/>
      <c r="E805" s="76"/>
      <c r="F805" s="77"/>
      <c r="G805" s="78"/>
      <c r="H805" s="76"/>
      <c r="I805" s="76"/>
      <c r="J805" s="79"/>
      <c r="K805" s="80"/>
      <c r="L805" s="81"/>
      <c r="M805" s="81"/>
      <c r="N805" s="82"/>
      <c r="O805" s="83"/>
      <c r="P805" s="84"/>
      <c r="Q805" s="84"/>
      <c r="R805" s="81"/>
      <c r="S805" s="85"/>
      <c r="T805" s="86"/>
      <c r="U805" s="86"/>
      <c r="V805" s="87"/>
      <c r="W805" s="87"/>
      <c r="X805" s="87"/>
      <c r="Y805" s="87"/>
      <c r="Z805" s="87"/>
      <c r="AA805" s="87"/>
      <c r="AB805" s="29"/>
      <c r="AC805" s="94"/>
      <c r="AD805" s="94"/>
      <c r="AE805" s="89"/>
      <c r="AF805" s="89"/>
      <c r="AG805" s="89"/>
      <c r="AH805" s="89"/>
      <c r="AI805" s="90"/>
      <c r="AJ805" s="90"/>
      <c r="AK805" s="90"/>
      <c r="AL805" s="90"/>
      <c r="AM805" s="91"/>
      <c r="AN805" s="91"/>
      <c r="AO805" s="92"/>
      <c r="AP805" s="92"/>
      <c r="AQ805" s="92"/>
      <c r="AR805" s="92"/>
      <c r="AS805" s="93"/>
      <c r="AT805" s="93"/>
      <c r="AU805" s="93"/>
      <c r="AV805" s="93"/>
      <c r="AW805" s="93"/>
      <c r="AX805" s="92"/>
      <c r="AY805" s="92"/>
      <c r="AZ805" s="90"/>
      <c r="BA805" s="83"/>
      <c r="BB805" s="92"/>
      <c r="BC805" s="92"/>
      <c r="BD805" s="92"/>
      <c r="BE805" s="93"/>
      <c r="BF805" s="92"/>
      <c r="BG805" s="82"/>
      <c r="BH805" s="82"/>
      <c r="BI805" s="29"/>
      <c r="BJ805" s="29"/>
      <c r="BK805" s="29"/>
    </row>
    <row r="806" ht="15.75" hidden="1" customHeight="1">
      <c r="A806" s="75"/>
      <c r="B806" s="73"/>
      <c r="C806" s="76"/>
      <c r="D806" s="76"/>
      <c r="E806" s="76"/>
      <c r="F806" s="77"/>
      <c r="G806" s="78"/>
      <c r="H806" s="76"/>
      <c r="I806" s="76"/>
      <c r="J806" s="79"/>
      <c r="K806" s="80"/>
      <c r="L806" s="81"/>
      <c r="M806" s="81"/>
      <c r="N806" s="82"/>
      <c r="O806" s="83"/>
      <c r="P806" s="84"/>
      <c r="Q806" s="84"/>
      <c r="R806" s="81"/>
      <c r="S806" s="85"/>
      <c r="T806" s="86"/>
      <c r="U806" s="86"/>
      <c r="V806" s="87"/>
      <c r="W806" s="87"/>
      <c r="X806" s="87"/>
      <c r="Y806" s="87"/>
      <c r="Z806" s="87"/>
      <c r="AA806" s="87"/>
      <c r="AB806" s="29"/>
      <c r="AC806" s="94"/>
      <c r="AD806" s="94"/>
      <c r="AE806" s="89"/>
      <c r="AF806" s="89"/>
      <c r="AG806" s="89"/>
      <c r="AH806" s="89"/>
      <c r="AI806" s="90"/>
      <c r="AJ806" s="90"/>
      <c r="AK806" s="90"/>
      <c r="AL806" s="90"/>
      <c r="AM806" s="91"/>
      <c r="AN806" s="91"/>
      <c r="AO806" s="92"/>
      <c r="AP806" s="92"/>
      <c r="AQ806" s="92"/>
      <c r="AR806" s="92"/>
      <c r="AS806" s="93"/>
      <c r="AT806" s="93"/>
      <c r="AU806" s="93"/>
      <c r="AV806" s="93"/>
      <c r="AW806" s="93"/>
      <c r="AX806" s="92"/>
      <c r="AY806" s="92"/>
      <c r="AZ806" s="90"/>
      <c r="BA806" s="83"/>
      <c r="BB806" s="92"/>
      <c r="BC806" s="92"/>
      <c r="BD806" s="92"/>
      <c r="BE806" s="93"/>
      <c r="BF806" s="92"/>
      <c r="BG806" s="82"/>
      <c r="BH806" s="82"/>
      <c r="BI806" s="29"/>
      <c r="BJ806" s="29"/>
      <c r="BK806" s="29"/>
    </row>
    <row r="807" ht="15.75" hidden="1" customHeight="1">
      <c r="A807" s="75"/>
      <c r="B807" s="73"/>
      <c r="C807" s="76"/>
      <c r="D807" s="76"/>
      <c r="E807" s="76"/>
      <c r="F807" s="77"/>
      <c r="G807" s="78"/>
      <c r="H807" s="76"/>
      <c r="I807" s="76"/>
      <c r="J807" s="79"/>
      <c r="K807" s="80"/>
      <c r="L807" s="81"/>
      <c r="M807" s="81"/>
      <c r="N807" s="82"/>
      <c r="O807" s="83"/>
      <c r="P807" s="84"/>
      <c r="Q807" s="84"/>
      <c r="R807" s="81"/>
      <c r="S807" s="85"/>
      <c r="T807" s="86"/>
      <c r="U807" s="86"/>
      <c r="V807" s="87"/>
      <c r="W807" s="87"/>
      <c r="X807" s="87"/>
      <c r="Y807" s="87"/>
      <c r="Z807" s="87"/>
      <c r="AA807" s="87"/>
      <c r="AB807" s="29"/>
      <c r="AC807" s="94"/>
      <c r="AD807" s="94"/>
      <c r="AE807" s="89"/>
      <c r="AF807" s="89"/>
      <c r="AG807" s="89"/>
      <c r="AH807" s="89"/>
      <c r="AI807" s="90"/>
      <c r="AJ807" s="90"/>
      <c r="AK807" s="90"/>
      <c r="AL807" s="90"/>
      <c r="AM807" s="91"/>
      <c r="AN807" s="91"/>
      <c r="AO807" s="92"/>
      <c r="AP807" s="92"/>
      <c r="AQ807" s="92"/>
      <c r="AR807" s="92"/>
      <c r="AS807" s="93"/>
      <c r="AT807" s="93"/>
      <c r="AU807" s="93"/>
      <c r="AV807" s="93"/>
      <c r="AW807" s="93"/>
      <c r="AX807" s="92"/>
      <c r="AY807" s="92"/>
      <c r="AZ807" s="90"/>
      <c r="BA807" s="83"/>
      <c r="BB807" s="92"/>
      <c r="BC807" s="92"/>
      <c r="BD807" s="92"/>
      <c r="BE807" s="93"/>
      <c r="BF807" s="92"/>
      <c r="BG807" s="82"/>
      <c r="BH807" s="82"/>
      <c r="BI807" s="29"/>
      <c r="BJ807" s="29"/>
      <c r="BK807" s="29"/>
    </row>
    <row r="808" ht="15.75" hidden="1" customHeight="1">
      <c r="A808" s="75"/>
      <c r="B808" s="73"/>
      <c r="C808" s="76"/>
      <c r="D808" s="76"/>
      <c r="E808" s="76"/>
      <c r="F808" s="77"/>
      <c r="G808" s="78"/>
      <c r="H808" s="76"/>
      <c r="I808" s="76"/>
      <c r="J808" s="79"/>
      <c r="K808" s="80"/>
      <c r="L808" s="81"/>
      <c r="M808" s="81"/>
      <c r="N808" s="82"/>
      <c r="O808" s="83"/>
      <c r="P808" s="84"/>
      <c r="Q808" s="84"/>
      <c r="R808" s="81"/>
      <c r="S808" s="85"/>
      <c r="T808" s="86"/>
      <c r="U808" s="86"/>
      <c r="V808" s="87"/>
      <c r="W808" s="87"/>
      <c r="X808" s="87"/>
      <c r="Y808" s="87"/>
      <c r="Z808" s="87"/>
      <c r="AA808" s="87"/>
      <c r="AB808" s="29"/>
      <c r="AC808" s="94"/>
      <c r="AD808" s="94"/>
      <c r="AE808" s="89"/>
      <c r="AF808" s="89"/>
      <c r="AG808" s="89"/>
      <c r="AH808" s="89"/>
      <c r="AI808" s="90"/>
      <c r="AJ808" s="90"/>
      <c r="AK808" s="90"/>
      <c r="AL808" s="90"/>
      <c r="AM808" s="91"/>
      <c r="AN808" s="91"/>
      <c r="AO808" s="92"/>
      <c r="AP808" s="92"/>
      <c r="AQ808" s="92"/>
      <c r="AR808" s="92"/>
      <c r="AS808" s="93"/>
      <c r="AT808" s="93"/>
      <c r="AU808" s="93"/>
      <c r="AV808" s="93"/>
      <c r="AW808" s="93"/>
      <c r="AX808" s="92"/>
      <c r="AY808" s="92"/>
      <c r="AZ808" s="90"/>
      <c r="BA808" s="83"/>
      <c r="BB808" s="92"/>
      <c r="BC808" s="92"/>
      <c r="BD808" s="92"/>
      <c r="BE808" s="93"/>
      <c r="BF808" s="92"/>
      <c r="BG808" s="82"/>
      <c r="BH808" s="82"/>
      <c r="BI808" s="29"/>
      <c r="BJ808" s="29"/>
      <c r="BK808" s="29"/>
    </row>
    <row r="809" ht="15.75" hidden="1" customHeight="1">
      <c r="A809" s="75"/>
      <c r="B809" s="73"/>
      <c r="C809" s="76"/>
      <c r="D809" s="76"/>
      <c r="E809" s="76"/>
      <c r="F809" s="77"/>
      <c r="G809" s="78"/>
      <c r="H809" s="76"/>
      <c r="I809" s="76"/>
      <c r="J809" s="79"/>
      <c r="K809" s="80"/>
      <c r="L809" s="81"/>
      <c r="M809" s="81"/>
      <c r="N809" s="82"/>
      <c r="O809" s="83"/>
      <c r="P809" s="84"/>
      <c r="Q809" s="84"/>
      <c r="R809" s="81"/>
      <c r="S809" s="85"/>
      <c r="T809" s="86"/>
      <c r="U809" s="86"/>
      <c r="V809" s="87"/>
      <c r="W809" s="87"/>
      <c r="X809" s="87"/>
      <c r="Y809" s="87"/>
      <c r="Z809" s="87"/>
      <c r="AA809" s="87"/>
      <c r="AB809" s="29"/>
      <c r="AC809" s="94"/>
      <c r="AD809" s="94"/>
      <c r="AE809" s="89"/>
      <c r="AF809" s="89"/>
      <c r="AG809" s="89"/>
      <c r="AH809" s="89"/>
      <c r="AI809" s="90"/>
      <c r="AJ809" s="90"/>
      <c r="AK809" s="90"/>
      <c r="AL809" s="90"/>
      <c r="AM809" s="91"/>
      <c r="AN809" s="91"/>
      <c r="AO809" s="92"/>
      <c r="AP809" s="92"/>
      <c r="AQ809" s="92"/>
      <c r="AR809" s="92"/>
      <c r="AS809" s="93"/>
      <c r="AT809" s="93"/>
      <c r="AU809" s="93"/>
      <c r="AV809" s="93"/>
      <c r="AW809" s="93"/>
      <c r="AX809" s="92"/>
      <c r="AY809" s="92"/>
      <c r="AZ809" s="90"/>
      <c r="BA809" s="83"/>
      <c r="BB809" s="92"/>
      <c r="BC809" s="92"/>
      <c r="BD809" s="92"/>
      <c r="BE809" s="93"/>
      <c r="BF809" s="92"/>
      <c r="BG809" s="82"/>
      <c r="BH809" s="82"/>
      <c r="BI809" s="29"/>
      <c r="BJ809" s="29"/>
      <c r="BK809" s="29"/>
    </row>
    <row r="810" ht="15.75" hidden="1" customHeight="1">
      <c r="A810" s="75"/>
      <c r="B810" s="73"/>
      <c r="C810" s="76"/>
      <c r="D810" s="76"/>
      <c r="E810" s="76"/>
      <c r="F810" s="77"/>
      <c r="G810" s="78"/>
      <c r="H810" s="76"/>
      <c r="I810" s="76"/>
      <c r="J810" s="79"/>
      <c r="K810" s="80"/>
      <c r="L810" s="81"/>
      <c r="M810" s="81"/>
      <c r="N810" s="82"/>
      <c r="O810" s="83"/>
      <c r="P810" s="84"/>
      <c r="Q810" s="84"/>
      <c r="R810" s="81"/>
      <c r="S810" s="85"/>
      <c r="T810" s="86"/>
      <c r="U810" s="86"/>
      <c r="V810" s="87"/>
      <c r="W810" s="87"/>
      <c r="X810" s="87"/>
      <c r="Y810" s="87"/>
      <c r="Z810" s="87"/>
      <c r="AA810" s="87"/>
      <c r="AB810" s="29"/>
      <c r="AC810" s="94"/>
      <c r="AD810" s="94"/>
      <c r="AE810" s="89"/>
      <c r="AF810" s="89"/>
      <c r="AG810" s="89"/>
      <c r="AH810" s="89"/>
      <c r="AI810" s="90"/>
      <c r="AJ810" s="90"/>
      <c r="AK810" s="90"/>
      <c r="AL810" s="90"/>
      <c r="AM810" s="91"/>
      <c r="AN810" s="91"/>
      <c r="AO810" s="92"/>
      <c r="AP810" s="92"/>
      <c r="AQ810" s="92"/>
      <c r="AR810" s="92"/>
      <c r="AS810" s="93"/>
      <c r="AT810" s="93"/>
      <c r="AU810" s="93"/>
      <c r="AV810" s="93"/>
      <c r="AW810" s="93"/>
      <c r="AX810" s="92"/>
      <c r="AY810" s="92"/>
      <c r="AZ810" s="90"/>
      <c r="BA810" s="83"/>
      <c r="BB810" s="92"/>
      <c r="BC810" s="92"/>
      <c r="BD810" s="92"/>
      <c r="BE810" s="93"/>
      <c r="BF810" s="92"/>
      <c r="BG810" s="82"/>
      <c r="BH810" s="82"/>
      <c r="BI810" s="29"/>
      <c r="BJ810" s="29"/>
      <c r="BK810" s="29"/>
    </row>
    <row r="811" ht="15.75" hidden="1" customHeight="1">
      <c r="A811" s="75"/>
      <c r="B811" s="73"/>
      <c r="C811" s="76"/>
      <c r="D811" s="76"/>
      <c r="E811" s="76"/>
      <c r="F811" s="77"/>
      <c r="G811" s="78"/>
      <c r="H811" s="76"/>
      <c r="I811" s="76"/>
      <c r="J811" s="79"/>
      <c r="K811" s="80"/>
      <c r="L811" s="81"/>
      <c r="M811" s="81"/>
      <c r="N811" s="82"/>
      <c r="O811" s="83"/>
      <c r="P811" s="84"/>
      <c r="Q811" s="84"/>
      <c r="R811" s="81"/>
      <c r="S811" s="85"/>
      <c r="T811" s="86"/>
      <c r="U811" s="86"/>
      <c r="V811" s="87"/>
      <c r="W811" s="87"/>
      <c r="X811" s="87"/>
      <c r="Y811" s="87"/>
      <c r="Z811" s="87"/>
      <c r="AA811" s="87"/>
      <c r="AB811" s="29"/>
      <c r="AC811" s="94"/>
      <c r="AD811" s="94"/>
      <c r="AE811" s="89"/>
      <c r="AF811" s="89"/>
      <c r="AG811" s="89"/>
      <c r="AH811" s="89"/>
      <c r="AI811" s="90"/>
      <c r="AJ811" s="90"/>
      <c r="AK811" s="90"/>
      <c r="AL811" s="90"/>
      <c r="AM811" s="91"/>
      <c r="AN811" s="91"/>
      <c r="AO811" s="92"/>
      <c r="AP811" s="92"/>
      <c r="AQ811" s="92"/>
      <c r="AR811" s="92"/>
      <c r="AS811" s="93"/>
      <c r="AT811" s="93"/>
      <c r="AU811" s="93"/>
      <c r="AV811" s="93"/>
      <c r="AW811" s="93"/>
      <c r="AX811" s="92"/>
      <c r="AY811" s="92"/>
      <c r="AZ811" s="90"/>
      <c r="BA811" s="83"/>
      <c r="BB811" s="92"/>
      <c r="BC811" s="92"/>
      <c r="BD811" s="92"/>
      <c r="BE811" s="93"/>
      <c r="BF811" s="92"/>
      <c r="BG811" s="82"/>
      <c r="BH811" s="82"/>
      <c r="BI811" s="29"/>
      <c r="BJ811" s="29"/>
      <c r="BK811" s="29"/>
    </row>
    <row r="812" ht="15.75" hidden="1" customHeight="1">
      <c r="A812" s="75"/>
      <c r="B812" s="73"/>
      <c r="C812" s="76"/>
      <c r="D812" s="76"/>
      <c r="E812" s="76"/>
      <c r="F812" s="77"/>
      <c r="G812" s="78"/>
      <c r="H812" s="76"/>
      <c r="I812" s="76"/>
      <c r="J812" s="79"/>
      <c r="K812" s="80"/>
      <c r="L812" s="81"/>
      <c r="M812" s="81"/>
      <c r="N812" s="82"/>
      <c r="O812" s="83"/>
      <c r="P812" s="84"/>
      <c r="Q812" s="84"/>
      <c r="R812" s="81"/>
      <c r="S812" s="85"/>
      <c r="T812" s="86"/>
      <c r="U812" s="86"/>
      <c r="V812" s="87"/>
      <c r="W812" s="87"/>
      <c r="X812" s="87"/>
      <c r="Y812" s="87"/>
      <c r="Z812" s="87"/>
      <c r="AA812" s="87"/>
      <c r="AB812" s="29"/>
      <c r="AC812" s="94"/>
      <c r="AD812" s="94"/>
      <c r="AE812" s="89"/>
      <c r="AF812" s="89"/>
      <c r="AG812" s="89"/>
      <c r="AH812" s="89"/>
      <c r="AI812" s="90"/>
      <c r="AJ812" s="90"/>
      <c r="AK812" s="90"/>
      <c r="AL812" s="90"/>
      <c r="AM812" s="91"/>
      <c r="AN812" s="91"/>
      <c r="AO812" s="92"/>
      <c r="AP812" s="92"/>
      <c r="AQ812" s="92"/>
      <c r="AR812" s="92"/>
      <c r="AS812" s="93"/>
      <c r="AT812" s="93"/>
      <c r="AU812" s="93"/>
      <c r="AV812" s="93"/>
      <c r="AW812" s="93"/>
      <c r="AX812" s="92"/>
      <c r="AY812" s="92"/>
      <c r="AZ812" s="90"/>
      <c r="BA812" s="83"/>
      <c r="BB812" s="92"/>
      <c r="BC812" s="92"/>
      <c r="BD812" s="92"/>
      <c r="BE812" s="93"/>
      <c r="BF812" s="92"/>
      <c r="BG812" s="82"/>
      <c r="BH812" s="82"/>
      <c r="BI812" s="29"/>
      <c r="BJ812" s="29"/>
      <c r="BK812" s="29"/>
    </row>
    <row r="813" ht="15.75" hidden="1" customHeight="1">
      <c r="A813" s="75"/>
      <c r="B813" s="73"/>
      <c r="C813" s="76"/>
      <c r="D813" s="76"/>
      <c r="E813" s="76"/>
      <c r="F813" s="77"/>
      <c r="G813" s="78"/>
      <c r="H813" s="76"/>
      <c r="I813" s="76"/>
      <c r="J813" s="79"/>
      <c r="K813" s="80"/>
      <c r="L813" s="81"/>
      <c r="M813" s="81"/>
      <c r="N813" s="82"/>
      <c r="O813" s="83"/>
      <c r="P813" s="84"/>
      <c r="Q813" s="84"/>
      <c r="R813" s="81"/>
      <c r="S813" s="85"/>
      <c r="T813" s="86"/>
      <c r="U813" s="86"/>
      <c r="V813" s="87"/>
      <c r="W813" s="87"/>
      <c r="X813" s="87"/>
      <c r="Y813" s="87"/>
      <c r="Z813" s="87"/>
      <c r="AA813" s="87"/>
      <c r="AB813" s="29"/>
      <c r="AC813" s="94"/>
      <c r="AD813" s="94"/>
      <c r="AE813" s="89"/>
      <c r="AF813" s="89"/>
      <c r="AG813" s="89"/>
      <c r="AH813" s="89"/>
      <c r="AI813" s="90"/>
      <c r="AJ813" s="90"/>
      <c r="AK813" s="90"/>
      <c r="AL813" s="90"/>
      <c r="AM813" s="91"/>
      <c r="AN813" s="91"/>
      <c r="AO813" s="92"/>
      <c r="AP813" s="92"/>
      <c r="AQ813" s="92"/>
      <c r="AR813" s="92"/>
      <c r="AS813" s="93"/>
      <c r="AT813" s="93"/>
      <c r="AU813" s="93"/>
      <c r="AV813" s="93"/>
      <c r="AW813" s="93"/>
      <c r="AX813" s="92"/>
      <c r="AY813" s="92"/>
      <c r="AZ813" s="90"/>
      <c r="BA813" s="83"/>
      <c r="BB813" s="92"/>
      <c r="BC813" s="92"/>
      <c r="BD813" s="92"/>
      <c r="BE813" s="93"/>
      <c r="BF813" s="92"/>
      <c r="BG813" s="82"/>
      <c r="BH813" s="82"/>
      <c r="BI813" s="29"/>
      <c r="BJ813" s="29"/>
      <c r="BK813" s="29"/>
    </row>
    <row r="814" ht="15.75" hidden="1" customHeight="1">
      <c r="A814" s="75"/>
      <c r="B814" s="73"/>
      <c r="C814" s="76"/>
      <c r="D814" s="76"/>
      <c r="E814" s="76"/>
      <c r="F814" s="77"/>
      <c r="G814" s="78"/>
      <c r="H814" s="76"/>
      <c r="I814" s="76"/>
      <c r="J814" s="79"/>
      <c r="K814" s="80"/>
      <c r="L814" s="81"/>
      <c r="M814" s="81"/>
      <c r="N814" s="82"/>
      <c r="O814" s="83"/>
      <c r="P814" s="84"/>
      <c r="Q814" s="84"/>
      <c r="R814" s="81"/>
      <c r="S814" s="85"/>
      <c r="T814" s="86"/>
      <c r="U814" s="86"/>
      <c r="V814" s="87"/>
      <c r="W814" s="87"/>
      <c r="X814" s="87"/>
      <c r="Y814" s="87"/>
      <c r="Z814" s="87"/>
      <c r="AA814" s="87"/>
      <c r="AB814" s="29"/>
      <c r="AC814" s="94"/>
      <c r="AD814" s="94"/>
      <c r="AE814" s="89"/>
      <c r="AF814" s="89"/>
      <c r="AG814" s="89"/>
      <c r="AH814" s="89"/>
      <c r="AI814" s="90"/>
      <c r="AJ814" s="90"/>
      <c r="AK814" s="90"/>
      <c r="AL814" s="90"/>
      <c r="AM814" s="91"/>
      <c r="AN814" s="91"/>
      <c r="AO814" s="92"/>
      <c r="AP814" s="92"/>
      <c r="AQ814" s="92"/>
      <c r="AR814" s="92"/>
      <c r="AS814" s="93"/>
      <c r="AT814" s="93"/>
      <c r="AU814" s="93"/>
      <c r="AV814" s="93"/>
      <c r="AW814" s="93"/>
      <c r="AX814" s="92"/>
      <c r="AY814" s="92"/>
      <c r="AZ814" s="90"/>
      <c r="BA814" s="83"/>
      <c r="BB814" s="92"/>
      <c r="BC814" s="92"/>
      <c r="BD814" s="92"/>
      <c r="BE814" s="93"/>
      <c r="BF814" s="92"/>
      <c r="BG814" s="82"/>
      <c r="BH814" s="82"/>
      <c r="BI814" s="29"/>
      <c r="BJ814" s="29"/>
      <c r="BK814" s="29"/>
    </row>
    <row r="815" ht="15.75" hidden="1" customHeight="1">
      <c r="A815" s="75"/>
      <c r="B815" s="73"/>
      <c r="C815" s="76"/>
      <c r="D815" s="76"/>
      <c r="E815" s="76"/>
      <c r="F815" s="77"/>
      <c r="G815" s="78"/>
      <c r="H815" s="76"/>
      <c r="I815" s="76"/>
      <c r="J815" s="79"/>
      <c r="K815" s="80"/>
      <c r="L815" s="81"/>
      <c r="M815" s="81"/>
      <c r="N815" s="82"/>
      <c r="O815" s="83"/>
      <c r="P815" s="84"/>
      <c r="Q815" s="84"/>
      <c r="R815" s="81"/>
      <c r="S815" s="85"/>
      <c r="T815" s="86"/>
      <c r="U815" s="86"/>
      <c r="V815" s="87"/>
      <c r="W815" s="87"/>
      <c r="X815" s="87"/>
      <c r="Y815" s="87"/>
      <c r="Z815" s="87"/>
      <c r="AA815" s="87"/>
      <c r="AB815" s="29"/>
      <c r="AC815" s="94"/>
      <c r="AD815" s="94"/>
      <c r="AE815" s="89"/>
      <c r="AF815" s="89"/>
      <c r="AG815" s="89"/>
      <c r="AH815" s="89"/>
      <c r="AI815" s="90"/>
      <c r="AJ815" s="90"/>
      <c r="AK815" s="90"/>
      <c r="AL815" s="90"/>
      <c r="AM815" s="91"/>
      <c r="AN815" s="91"/>
      <c r="AO815" s="92"/>
      <c r="AP815" s="92"/>
      <c r="AQ815" s="92"/>
      <c r="AR815" s="92"/>
      <c r="AS815" s="93"/>
      <c r="AT815" s="93"/>
      <c r="AU815" s="93"/>
      <c r="AV815" s="93"/>
      <c r="AW815" s="93"/>
      <c r="AX815" s="92"/>
      <c r="AY815" s="92"/>
      <c r="AZ815" s="90"/>
      <c r="BA815" s="83"/>
      <c r="BB815" s="92"/>
      <c r="BC815" s="92"/>
      <c r="BD815" s="92"/>
      <c r="BE815" s="93"/>
      <c r="BF815" s="92"/>
      <c r="BG815" s="82"/>
      <c r="BH815" s="82"/>
      <c r="BI815" s="29"/>
      <c r="BJ815" s="29"/>
      <c r="BK815" s="29"/>
    </row>
    <row r="816" ht="15.75" hidden="1" customHeight="1">
      <c r="A816" s="75"/>
      <c r="B816" s="73"/>
      <c r="C816" s="76"/>
      <c r="D816" s="76"/>
      <c r="E816" s="76"/>
      <c r="F816" s="77"/>
      <c r="G816" s="78"/>
      <c r="H816" s="76"/>
      <c r="I816" s="76"/>
      <c r="J816" s="79"/>
      <c r="K816" s="80"/>
      <c r="L816" s="81"/>
      <c r="M816" s="81"/>
      <c r="N816" s="82"/>
      <c r="O816" s="83"/>
      <c r="P816" s="84"/>
      <c r="Q816" s="84"/>
      <c r="R816" s="81"/>
      <c r="S816" s="85"/>
      <c r="T816" s="86"/>
      <c r="U816" s="86"/>
      <c r="V816" s="87"/>
      <c r="W816" s="87"/>
      <c r="X816" s="87"/>
      <c r="Y816" s="87"/>
      <c r="Z816" s="87"/>
      <c r="AA816" s="87"/>
      <c r="AB816" s="29"/>
      <c r="AC816" s="94"/>
      <c r="AD816" s="94"/>
      <c r="AE816" s="89"/>
      <c r="AF816" s="89"/>
      <c r="AG816" s="89"/>
      <c r="AH816" s="89"/>
      <c r="AI816" s="90"/>
      <c r="AJ816" s="90"/>
      <c r="AK816" s="90"/>
      <c r="AL816" s="90"/>
      <c r="AM816" s="91"/>
      <c r="AN816" s="91"/>
      <c r="AO816" s="92"/>
      <c r="AP816" s="92"/>
      <c r="AQ816" s="92"/>
      <c r="AR816" s="92"/>
      <c r="AS816" s="93"/>
      <c r="AT816" s="93"/>
      <c r="AU816" s="93"/>
      <c r="AV816" s="93"/>
      <c r="AW816" s="93"/>
      <c r="AX816" s="92"/>
      <c r="AY816" s="92"/>
      <c r="AZ816" s="90"/>
      <c r="BA816" s="83"/>
      <c r="BB816" s="92"/>
      <c r="BC816" s="92"/>
      <c r="BD816" s="92"/>
      <c r="BE816" s="93"/>
      <c r="BF816" s="92"/>
      <c r="BG816" s="82"/>
      <c r="BH816" s="82"/>
      <c r="BI816" s="29"/>
      <c r="BJ816" s="29"/>
      <c r="BK816" s="29"/>
    </row>
    <row r="817" ht="15.75" hidden="1" customHeight="1">
      <c r="A817" s="75"/>
      <c r="B817" s="73"/>
      <c r="C817" s="76"/>
      <c r="D817" s="76"/>
      <c r="E817" s="76"/>
      <c r="F817" s="77"/>
      <c r="G817" s="78"/>
      <c r="H817" s="76"/>
      <c r="I817" s="76"/>
      <c r="J817" s="79"/>
      <c r="K817" s="80"/>
      <c r="L817" s="81"/>
      <c r="M817" s="81"/>
      <c r="N817" s="82"/>
      <c r="O817" s="83"/>
      <c r="P817" s="84"/>
      <c r="Q817" s="84"/>
      <c r="R817" s="81"/>
      <c r="S817" s="85"/>
      <c r="T817" s="86"/>
      <c r="U817" s="86"/>
      <c r="V817" s="87"/>
      <c r="W817" s="87"/>
      <c r="X817" s="87"/>
      <c r="Y817" s="87"/>
      <c r="Z817" s="87"/>
      <c r="AA817" s="87"/>
      <c r="AB817" s="29"/>
      <c r="AC817" s="94"/>
      <c r="AD817" s="94"/>
      <c r="AE817" s="89"/>
      <c r="AF817" s="89"/>
      <c r="AG817" s="89"/>
      <c r="AH817" s="89"/>
      <c r="AI817" s="90"/>
      <c r="AJ817" s="90"/>
      <c r="AK817" s="90"/>
      <c r="AL817" s="90"/>
      <c r="AM817" s="91"/>
      <c r="AN817" s="91"/>
      <c r="AO817" s="92"/>
      <c r="AP817" s="92"/>
      <c r="AQ817" s="92"/>
      <c r="AR817" s="92"/>
      <c r="AS817" s="93"/>
      <c r="AT817" s="93"/>
      <c r="AU817" s="93"/>
      <c r="AV817" s="93"/>
      <c r="AW817" s="93"/>
      <c r="AX817" s="92"/>
      <c r="AY817" s="92"/>
      <c r="AZ817" s="90"/>
      <c r="BA817" s="83"/>
      <c r="BB817" s="92"/>
      <c r="BC817" s="92"/>
      <c r="BD817" s="92"/>
      <c r="BE817" s="93"/>
      <c r="BF817" s="92"/>
      <c r="BG817" s="82"/>
      <c r="BH817" s="82"/>
      <c r="BI817" s="29"/>
      <c r="BJ817" s="29"/>
      <c r="BK817" s="29"/>
    </row>
    <row r="818" ht="15.75" hidden="1" customHeight="1">
      <c r="A818" s="75"/>
      <c r="B818" s="73"/>
      <c r="C818" s="76"/>
      <c r="D818" s="76"/>
      <c r="E818" s="76"/>
      <c r="F818" s="77"/>
      <c r="G818" s="78"/>
      <c r="H818" s="76"/>
      <c r="I818" s="76"/>
      <c r="J818" s="79"/>
      <c r="K818" s="80"/>
      <c r="L818" s="81"/>
      <c r="M818" s="81"/>
      <c r="N818" s="82"/>
      <c r="O818" s="83"/>
      <c r="P818" s="84"/>
      <c r="Q818" s="84"/>
      <c r="R818" s="81"/>
      <c r="S818" s="85"/>
      <c r="T818" s="86"/>
      <c r="U818" s="86"/>
      <c r="V818" s="87"/>
      <c r="W818" s="87"/>
      <c r="X818" s="87"/>
      <c r="Y818" s="87"/>
      <c r="Z818" s="87"/>
      <c r="AA818" s="87"/>
      <c r="AB818" s="29"/>
      <c r="AC818" s="94"/>
      <c r="AD818" s="94"/>
      <c r="AE818" s="89"/>
      <c r="AF818" s="89"/>
      <c r="AG818" s="89"/>
      <c r="AH818" s="89"/>
      <c r="AI818" s="90"/>
      <c r="AJ818" s="90"/>
      <c r="AK818" s="90"/>
      <c r="AL818" s="90"/>
      <c r="AM818" s="91"/>
      <c r="AN818" s="91"/>
      <c r="AO818" s="92"/>
      <c r="AP818" s="92"/>
      <c r="AQ818" s="92"/>
      <c r="AR818" s="92"/>
      <c r="AS818" s="93"/>
      <c r="AT818" s="93"/>
      <c r="AU818" s="93"/>
      <c r="AV818" s="93"/>
      <c r="AW818" s="93"/>
      <c r="AX818" s="92"/>
      <c r="AY818" s="92"/>
      <c r="AZ818" s="90"/>
      <c r="BA818" s="83"/>
      <c r="BB818" s="92"/>
      <c r="BC818" s="92"/>
      <c r="BD818" s="92"/>
      <c r="BE818" s="93"/>
      <c r="BF818" s="92"/>
      <c r="BG818" s="82"/>
      <c r="BH818" s="82"/>
      <c r="BI818" s="29"/>
      <c r="BJ818" s="29"/>
      <c r="BK818" s="29"/>
    </row>
    <row r="819" ht="15.75" hidden="1" customHeight="1">
      <c r="A819" s="75"/>
      <c r="B819" s="73"/>
      <c r="C819" s="76"/>
      <c r="D819" s="76"/>
      <c r="E819" s="76"/>
      <c r="F819" s="77"/>
      <c r="G819" s="78"/>
      <c r="H819" s="76"/>
      <c r="I819" s="76"/>
      <c r="J819" s="79"/>
      <c r="K819" s="80"/>
      <c r="L819" s="81"/>
      <c r="M819" s="81"/>
      <c r="N819" s="82"/>
      <c r="O819" s="83"/>
      <c r="P819" s="84"/>
      <c r="Q819" s="84"/>
      <c r="R819" s="81"/>
      <c r="S819" s="85"/>
      <c r="T819" s="86"/>
      <c r="U819" s="86"/>
      <c r="V819" s="87"/>
      <c r="W819" s="87"/>
      <c r="X819" s="87"/>
      <c r="Y819" s="87"/>
      <c r="Z819" s="87"/>
      <c r="AA819" s="87"/>
      <c r="AB819" s="29"/>
      <c r="AC819" s="94"/>
      <c r="AD819" s="94"/>
      <c r="AE819" s="89"/>
      <c r="AF819" s="89"/>
      <c r="AG819" s="89"/>
      <c r="AH819" s="89"/>
      <c r="AI819" s="90"/>
      <c r="AJ819" s="90"/>
      <c r="AK819" s="90"/>
      <c r="AL819" s="90"/>
      <c r="AM819" s="91"/>
      <c r="AN819" s="91"/>
      <c r="AO819" s="92"/>
      <c r="AP819" s="92"/>
      <c r="AQ819" s="92"/>
      <c r="AR819" s="92"/>
      <c r="AS819" s="93"/>
      <c r="AT819" s="93"/>
      <c r="AU819" s="93"/>
      <c r="AV819" s="93"/>
      <c r="AW819" s="93"/>
      <c r="AX819" s="92"/>
      <c r="AY819" s="92"/>
      <c r="AZ819" s="90"/>
      <c r="BA819" s="83"/>
      <c r="BB819" s="92"/>
      <c r="BC819" s="92"/>
      <c r="BD819" s="92"/>
      <c r="BE819" s="93"/>
      <c r="BF819" s="92"/>
      <c r="BG819" s="82"/>
      <c r="BH819" s="82"/>
      <c r="BI819" s="29"/>
      <c r="BJ819" s="29"/>
      <c r="BK819" s="29"/>
    </row>
    <row r="820" ht="15.75" hidden="1" customHeight="1">
      <c r="A820" s="75"/>
      <c r="B820" s="73"/>
      <c r="C820" s="76"/>
      <c r="D820" s="76"/>
      <c r="E820" s="76"/>
      <c r="F820" s="77"/>
      <c r="G820" s="78"/>
      <c r="H820" s="76"/>
      <c r="I820" s="76"/>
      <c r="J820" s="79"/>
      <c r="K820" s="80"/>
      <c r="L820" s="81"/>
      <c r="M820" s="81"/>
      <c r="N820" s="82"/>
      <c r="O820" s="83"/>
      <c r="P820" s="84"/>
      <c r="Q820" s="84"/>
      <c r="R820" s="81"/>
      <c r="S820" s="85"/>
      <c r="T820" s="86"/>
      <c r="U820" s="86"/>
      <c r="V820" s="87"/>
      <c r="W820" s="87"/>
      <c r="X820" s="87"/>
      <c r="Y820" s="87"/>
      <c r="Z820" s="87"/>
      <c r="AA820" s="87"/>
      <c r="AB820" s="29"/>
      <c r="AC820" s="94"/>
      <c r="AD820" s="94"/>
      <c r="AE820" s="89"/>
      <c r="AF820" s="89"/>
      <c r="AG820" s="89"/>
      <c r="AH820" s="89"/>
      <c r="AI820" s="90"/>
      <c r="AJ820" s="90"/>
      <c r="AK820" s="90"/>
      <c r="AL820" s="90"/>
      <c r="AM820" s="91"/>
      <c r="AN820" s="91"/>
      <c r="AO820" s="92"/>
      <c r="AP820" s="92"/>
      <c r="AQ820" s="92"/>
      <c r="AR820" s="92"/>
      <c r="AS820" s="93"/>
      <c r="AT820" s="93"/>
      <c r="AU820" s="93"/>
      <c r="AV820" s="93"/>
      <c r="AW820" s="93"/>
      <c r="AX820" s="92"/>
      <c r="AY820" s="92"/>
      <c r="AZ820" s="90"/>
      <c r="BA820" s="83"/>
      <c r="BB820" s="92"/>
      <c r="BC820" s="92"/>
      <c r="BD820" s="92"/>
      <c r="BE820" s="93"/>
      <c r="BF820" s="92"/>
      <c r="BG820" s="82"/>
      <c r="BH820" s="82"/>
      <c r="BI820" s="29"/>
      <c r="BJ820" s="29"/>
      <c r="BK820" s="29"/>
    </row>
    <row r="821" ht="15.75" hidden="1" customHeight="1">
      <c r="A821" s="75"/>
      <c r="B821" s="73"/>
      <c r="C821" s="76"/>
      <c r="D821" s="76"/>
      <c r="E821" s="76"/>
      <c r="F821" s="77"/>
      <c r="G821" s="78"/>
      <c r="H821" s="76"/>
      <c r="I821" s="76"/>
      <c r="J821" s="79"/>
      <c r="K821" s="80"/>
      <c r="L821" s="81"/>
      <c r="M821" s="81"/>
      <c r="N821" s="82"/>
      <c r="O821" s="83"/>
      <c r="P821" s="84"/>
      <c r="Q821" s="84"/>
      <c r="R821" s="81"/>
      <c r="S821" s="85"/>
      <c r="T821" s="86"/>
      <c r="U821" s="86"/>
      <c r="V821" s="87"/>
      <c r="W821" s="87"/>
      <c r="X821" s="87"/>
      <c r="Y821" s="87"/>
      <c r="Z821" s="87"/>
      <c r="AA821" s="87"/>
      <c r="AB821" s="29"/>
      <c r="AC821" s="94"/>
      <c r="AD821" s="94"/>
      <c r="AE821" s="89"/>
      <c r="AF821" s="89"/>
      <c r="AG821" s="89"/>
      <c r="AH821" s="89"/>
      <c r="AI821" s="90"/>
      <c r="AJ821" s="90"/>
      <c r="AK821" s="90"/>
      <c r="AL821" s="90"/>
      <c r="AM821" s="91"/>
      <c r="AN821" s="91"/>
      <c r="AO821" s="92"/>
      <c r="AP821" s="92"/>
      <c r="AQ821" s="92"/>
      <c r="AR821" s="92"/>
      <c r="AS821" s="93"/>
      <c r="AT821" s="93"/>
      <c r="AU821" s="93"/>
      <c r="AV821" s="93"/>
      <c r="AW821" s="93"/>
      <c r="AX821" s="92"/>
      <c r="AY821" s="92"/>
      <c r="AZ821" s="90"/>
      <c r="BA821" s="83"/>
      <c r="BB821" s="92"/>
      <c r="BC821" s="92"/>
      <c r="BD821" s="92"/>
      <c r="BE821" s="93"/>
      <c r="BF821" s="92"/>
      <c r="BG821" s="82"/>
      <c r="BH821" s="82"/>
      <c r="BI821" s="29"/>
      <c r="BJ821" s="29"/>
      <c r="BK821" s="29"/>
    </row>
    <row r="822" ht="15.75" hidden="1" customHeight="1">
      <c r="A822" s="75"/>
      <c r="B822" s="73"/>
      <c r="C822" s="76"/>
      <c r="D822" s="76"/>
      <c r="E822" s="76"/>
      <c r="F822" s="77"/>
      <c r="G822" s="78"/>
      <c r="H822" s="76"/>
      <c r="I822" s="76"/>
      <c r="J822" s="79"/>
      <c r="K822" s="80"/>
      <c r="L822" s="81"/>
      <c r="M822" s="81"/>
      <c r="N822" s="82"/>
      <c r="O822" s="83"/>
      <c r="P822" s="84"/>
      <c r="Q822" s="84"/>
      <c r="R822" s="81"/>
      <c r="S822" s="85"/>
      <c r="T822" s="86"/>
      <c r="U822" s="86"/>
      <c r="V822" s="87"/>
      <c r="W822" s="87"/>
      <c r="X822" s="87"/>
      <c r="Y822" s="87"/>
      <c r="Z822" s="87"/>
      <c r="AA822" s="87"/>
      <c r="AB822" s="29"/>
      <c r="AC822" s="94"/>
      <c r="AD822" s="94"/>
      <c r="AE822" s="89"/>
      <c r="AF822" s="89"/>
      <c r="AG822" s="89"/>
      <c r="AH822" s="89"/>
      <c r="AI822" s="90"/>
      <c r="AJ822" s="90"/>
      <c r="AK822" s="90"/>
      <c r="AL822" s="90"/>
      <c r="AM822" s="91"/>
      <c r="AN822" s="91"/>
      <c r="AO822" s="92"/>
      <c r="AP822" s="92"/>
      <c r="AQ822" s="92"/>
      <c r="AR822" s="92"/>
      <c r="AS822" s="93"/>
      <c r="AT822" s="93"/>
      <c r="AU822" s="93"/>
      <c r="AV822" s="93"/>
      <c r="AW822" s="93"/>
      <c r="AX822" s="92"/>
      <c r="AY822" s="92"/>
      <c r="AZ822" s="90"/>
      <c r="BA822" s="83"/>
      <c r="BB822" s="92"/>
      <c r="BC822" s="92"/>
      <c r="BD822" s="92"/>
      <c r="BE822" s="93"/>
      <c r="BF822" s="92"/>
      <c r="BG822" s="82"/>
      <c r="BH822" s="82"/>
      <c r="BI822" s="29"/>
      <c r="BJ822" s="29"/>
      <c r="BK822" s="29"/>
    </row>
    <row r="823" ht="15.75" hidden="1" customHeight="1">
      <c r="A823" s="75"/>
      <c r="B823" s="73"/>
      <c r="C823" s="76"/>
      <c r="D823" s="76"/>
      <c r="E823" s="76"/>
      <c r="F823" s="77"/>
      <c r="G823" s="78"/>
      <c r="H823" s="76"/>
      <c r="I823" s="76"/>
      <c r="J823" s="79"/>
      <c r="K823" s="80"/>
      <c r="L823" s="81"/>
      <c r="M823" s="81"/>
      <c r="N823" s="82"/>
      <c r="O823" s="83"/>
      <c r="P823" s="84"/>
      <c r="Q823" s="84"/>
      <c r="R823" s="81"/>
      <c r="S823" s="85"/>
      <c r="T823" s="86"/>
      <c r="U823" s="86"/>
      <c r="V823" s="87"/>
      <c r="W823" s="87"/>
      <c r="X823" s="87"/>
      <c r="Y823" s="87"/>
      <c r="Z823" s="87"/>
      <c r="AA823" s="87"/>
      <c r="AB823" s="29"/>
      <c r="AC823" s="94"/>
      <c r="AD823" s="94"/>
      <c r="AE823" s="89"/>
      <c r="AF823" s="89"/>
      <c r="AG823" s="89"/>
      <c r="AH823" s="89"/>
      <c r="AI823" s="90"/>
      <c r="AJ823" s="90"/>
      <c r="AK823" s="90"/>
      <c r="AL823" s="90"/>
      <c r="AM823" s="91"/>
      <c r="AN823" s="91"/>
      <c r="AO823" s="92"/>
      <c r="AP823" s="92"/>
      <c r="AQ823" s="92"/>
      <c r="AR823" s="92"/>
      <c r="AS823" s="93"/>
      <c r="AT823" s="93"/>
      <c r="AU823" s="93"/>
      <c r="AV823" s="93"/>
      <c r="AW823" s="93"/>
      <c r="AX823" s="92"/>
      <c r="AY823" s="92"/>
      <c r="AZ823" s="90"/>
      <c r="BA823" s="83"/>
      <c r="BB823" s="92"/>
      <c r="BC823" s="92"/>
      <c r="BD823" s="92"/>
      <c r="BE823" s="93"/>
      <c r="BF823" s="92"/>
      <c r="BG823" s="82"/>
      <c r="BH823" s="82"/>
      <c r="BI823" s="29"/>
      <c r="BJ823" s="29"/>
      <c r="BK823" s="29"/>
    </row>
    <row r="824" ht="15.75" hidden="1" customHeight="1">
      <c r="A824" s="75"/>
      <c r="B824" s="73"/>
      <c r="C824" s="76"/>
      <c r="D824" s="76"/>
      <c r="E824" s="76"/>
      <c r="F824" s="77"/>
      <c r="G824" s="78"/>
      <c r="H824" s="76"/>
      <c r="I824" s="76"/>
      <c r="J824" s="79"/>
      <c r="K824" s="80"/>
      <c r="L824" s="81"/>
      <c r="M824" s="81"/>
      <c r="N824" s="82"/>
      <c r="O824" s="83"/>
      <c r="P824" s="84"/>
      <c r="Q824" s="84"/>
      <c r="R824" s="81"/>
      <c r="S824" s="85"/>
      <c r="T824" s="86"/>
      <c r="U824" s="86"/>
      <c r="V824" s="87"/>
      <c r="W824" s="87"/>
      <c r="X824" s="87"/>
      <c r="Y824" s="87"/>
      <c r="Z824" s="87"/>
      <c r="AA824" s="87"/>
      <c r="AB824" s="29"/>
      <c r="AC824" s="94"/>
      <c r="AD824" s="94"/>
      <c r="AE824" s="89"/>
      <c r="AF824" s="89"/>
      <c r="AG824" s="89"/>
      <c r="AH824" s="89"/>
      <c r="AI824" s="90"/>
      <c r="AJ824" s="90"/>
      <c r="AK824" s="90"/>
      <c r="AL824" s="90"/>
      <c r="AM824" s="91"/>
      <c r="AN824" s="91"/>
      <c r="AO824" s="92"/>
      <c r="AP824" s="92"/>
      <c r="AQ824" s="92"/>
      <c r="AR824" s="92"/>
      <c r="AS824" s="93"/>
      <c r="AT824" s="93"/>
      <c r="AU824" s="93"/>
      <c r="AV824" s="93"/>
      <c r="AW824" s="93"/>
      <c r="AX824" s="92"/>
      <c r="AY824" s="92"/>
      <c r="AZ824" s="90"/>
      <c r="BA824" s="83"/>
      <c r="BB824" s="92"/>
      <c r="BC824" s="92"/>
      <c r="BD824" s="92"/>
      <c r="BE824" s="93"/>
      <c r="BF824" s="92"/>
      <c r="BG824" s="82"/>
      <c r="BH824" s="82"/>
      <c r="BI824" s="29"/>
      <c r="BJ824" s="29"/>
      <c r="BK824" s="29"/>
    </row>
    <row r="825" ht="15.75" hidden="1" customHeight="1">
      <c r="A825" s="75"/>
      <c r="B825" s="73"/>
      <c r="C825" s="76"/>
      <c r="D825" s="76"/>
      <c r="E825" s="76"/>
      <c r="F825" s="77"/>
      <c r="G825" s="78"/>
      <c r="H825" s="76"/>
      <c r="I825" s="76"/>
      <c r="J825" s="79"/>
      <c r="K825" s="80"/>
      <c r="L825" s="81"/>
      <c r="M825" s="81"/>
      <c r="N825" s="82"/>
      <c r="O825" s="83"/>
      <c r="P825" s="84"/>
      <c r="Q825" s="84"/>
      <c r="R825" s="81"/>
      <c r="S825" s="85"/>
      <c r="T825" s="86"/>
      <c r="U825" s="86"/>
      <c r="V825" s="87"/>
      <c r="W825" s="87"/>
      <c r="X825" s="87"/>
      <c r="Y825" s="87"/>
      <c r="Z825" s="87"/>
      <c r="AA825" s="87"/>
      <c r="AB825" s="29"/>
      <c r="AC825" s="94"/>
      <c r="AD825" s="94"/>
      <c r="AE825" s="89"/>
      <c r="AF825" s="89"/>
      <c r="AG825" s="89"/>
      <c r="AH825" s="89"/>
      <c r="AI825" s="90"/>
      <c r="AJ825" s="90"/>
      <c r="AK825" s="90"/>
      <c r="AL825" s="90"/>
      <c r="AM825" s="91"/>
      <c r="AN825" s="91"/>
      <c r="AO825" s="92"/>
      <c r="AP825" s="92"/>
      <c r="AQ825" s="92"/>
      <c r="AR825" s="92"/>
      <c r="AS825" s="93"/>
      <c r="AT825" s="93"/>
      <c r="AU825" s="93"/>
      <c r="AV825" s="93"/>
      <c r="AW825" s="93"/>
      <c r="AX825" s="92"/>
      <c r="AY825" s="92"/>
      <c r="AZ825" s="90"/>
      <c r="BA825" s="83"/>
      <c r="BB825" s="92"/>
      <c r="BC825" s="92"/>
      <c r="BD825" s="92"/>
      <c r="BE825" s="93"/>
      <c r="BF825" s="92"/>
      <c r="BG825" s="82"/>
      <c r="BH825" s="82"/>
      <c r="BI825" s="29"/>
      <c r="BJ825" s="29"/>
      <c r="BK825" s="29"/>
    </row>
    <row r="826" ht="15.75" hidden="1" customHeight="1">
      <c r="A826" s="75"/>
      <c r="B826" s="73"/>
      <c r="C826" s="76"/>
      <c r="D826" s="76"/>
      <c r="E826" s="76"/>
      <c r="F826" s="77"/>
      <c r="G826" s="78"/>
      <c r="H826" s="76"/>
      <c r="I826" s="76"/>
      <c r="J826" s="79"/>
      <c r="K826" s="80"/>
      <c r="L826" s="81"/>
      <c r="M826" s="81"/>
      <c r="N826" s="82"/>
      <c r="O826" s="83"/>
      <c r="P826" s="84"/>
      <c r="Q826" s="84"/>
      <c r="R826" s="81"/>
      <c r="S826" s="85"/>
      <c r="T826" s="86"/>
      <c r="U826" s="86"/>
      <c r="V826" s="87"/>
      <c r="W826" s="87"/>
      <c r="X826" s="87"/>
      <c r="Y826" s="87"/>
      <c r="Z826" s="87"/>
      <c r="AA826" s="87"/>
      <c r="AB826" s="29"/>
      <c r="AC826" s="94"/>
      <c r="AD826" s="94"/>
      <c r="AE826" s="89"/>
      <c r="AF826" s="89"/>
      <c r="AG826" s="89"/>
      <c r="AH826" s="89"/>
      <c r="AI826" s="90"/>
      <c r="AJ826" s="90"/>
      <c r="AK826" s="90"/>
      <c r="AL826" s="90"/>
      <c r="AM826" s="91"/>
      <c r="AN826" s="91"/>
      <c r="AO826" s="92"/>
      <c r="AP826" s="92"/>
      <c r="AQ826" s="92"/>
      <c r="AR826" s="92"/>
      <c r="AS826" s="93"/>
      <c r="AT826" s="93"/>
      <c r="AU826" s="93"/>
      <c r="AV826" s="93"/>
      <c r="AW826" s="93"/>
      <c r="AX826" s="92"/>
      <c r="AY826" s="92"/>
      <c r="AZ826" s="90"/>
      <c r="BA826" s="83"/>
      <c r="BB826" s="92"/>
      <c r="BC826" s="92"/>
      <c r="BD826" s="92"/>
      <c r="BE826" s="93"/>
      <c r="BF826" s="92"/>
      <c r="BG826" s="82"/>
      <c r="BH826" s="82"/>
      <c r="BI826" s="29"/>
      <c r="BJ826" s="29"/>
      <c r="BK826" s="29"/>
    </row>
    <row r="827" ht="15.75" hidden="1" customHeight="1">
      <c r="A827" s="75"/>
      <c r="B827" s="73"/>
      <c r="C827" s="76"/>
      <c r="D827" s="76"/>
      <c r="E827" s="76"/>
      <c r="F827" s="77"/>
      <c r="G827" s="78"/>
      <c r="H827" s="76"/>
      <c r="I827" s="76"/>
      <c r="J827" s="79"/>
      <c r="K827" s="80"/>
      <c r="L827" s="81"/>
      <c r="M827" s="81"/>
      <c r="N827" s="82"/>
      <c r="O827" s="83"/>
      <c r="P827" s="84"/>
      <c r="Q827" s="84"/>
      <c r="R827" s="81"/>
      <c r="S827" s="85"/>
      <c r="T827" s="86"/>
      <c r="U827" s="86"/>
      <c r="V827" s="87"/>
      <c r="W827" s="87"/>
      <c r="X827" s="87"/>
      <c r="Y827" s="87"/>
      <c r="Z827" s="87"/>
      <c r="AA827" s="87"/>
      <c r="AB827" s="29"/>
      <c r="AC827" s="94"/>
      <c r="AD827" s="94"/>
      <c r="AE827" s="89"/>
      <c r="AF827" s="89"/>
      <c r="AG827" s="89"/>
      <c r="AH827" s="89"/>
      <c r="AI827" s="90"/>
      <c r="AJ827" s="90"/>
      <c r="AK827" s="90"/>
      <c r="AL827" s="90"/>
      <c r="AM827" s="91"/>
      <c r="AN827" s="91"/>
      <c r="AO827" s="92"/>
      <c r="AP827" s="92"/>
      <c r="AQ827" s="92"/>
      <c r="AR827" s="92"/>
      <c r="AS827" s="93"/>
      <c r="AT827" s="93"/>
      <c r="AU827" s="93"/>
      <c r="AV827" s="93"/>
      <c r="AW827" s="93"/>
      <c r="AX827" s="92"/>
      <c r="AY827" s="92"/>
      <c r="AZ827" s="90"/>
      <c r="BA827" s="83"/>
      <c r="BB827" s="92"/>
      <c r="BC827" s="92"/>
      <c r="BD827" s="92"/>
      <c r="BE827" s="93"/>
      <c r="BF827" s="92"/>
      <c r="BG827" s="82"/>
      <c r="BH827" s="82"/>
      <c r="BI827" s="29"/>
      <c r="BJ827" s="29"/>
      <c r="BK827" s="29"/>
    </row>
    <row r="828" ht="15.75" hidden="1" customHeight="1">
      <c r="A828" s="75"/>
      <c r="B828" s="73"/>
      <c r="C828" s="76"/>
      <c r="D828" s="76"/>
      <c r="E828" s="76"/>
      <c r="F828" s="77"/>
      <c r="G828" s="78"/>
      <c r="H828" s="76"/>
      <c r="I828" s="76"/>
      <c r="J828" s="79"/>
      <c r="K828" s="80"/>
      <c r="L828" s="81"/>
      <c r="M828" s="81"/>
      <c r="N828" s="82"/>
      <c r="O828" s="83"/>
      <c r="P828" s="84"/>
      <c r="Q828" s="84"/>
      <c r="R828" s="81"/>
      <c r="S828" s="85"/>
      <c r="T828" s="86"/>
      <c r="U828" s="86"/>
      <c r="V828" s="87"/>
      <c r="W828" s="87"/>
      <c r="X828" s="87"/>
      <c r="Y828" s="87"/>
      <c r="Z828" s="87"/>
      <c r="AA828" s="87"/>
      <c r="AB828" s="29"/>
      <c r="AC828" s="94"/>
      <c r="AD828" s="94"/>
      <c r="AE828" s="89"/>
      <c r="AF828" s="89"/>
      <c r="AG828" s="89"/>
      <c r="AH828" s="89"/>
      <c r="AI828" s="90"/>
      <c r="AJ828" s="90"/>
      <c r="AK828" s="90"/>
      <c r="AL828" s="90"/>
      <c r="AM828" s="91"/>
      <c r="AN828" s="91"/>
      <c r="AO828" s="92"/>
      <c r="AP828" s="92"/>
      <c r="AQ828" s="92"/>
      <c r="AR828" s="92"/>
      <c r="AS828" s="93"/>
      <c r="AT828" s="93"/>
      <c r="AU828" s="93"/>
      <c r="AV828" s="93"/>
      <c r="AW828" s="93"/>
      <c r="AX828" s="92"/>
      <c r="AY828" s="92"/>
      <c r="AZ828" s="90"/>
      <c r="BA828" s="83"/>
      <c r="BB828" s="92"/>
      <c r="BC828" s="92"/>
      <c r="BD828" s="92"/>
      <c r="BE828" s="93"/>
      <c r="BF828" s="92"/>
      <c r="BG828" s="82"/>
      <c r="BH828" s="82"/>
      <c r="BI828" s="29"/>
      <c r="BJ828" s="29"/>
      <c r="BK828" s="29"/>
    </row>
    <row r="829" ht="15.75" hidden="1" customHeight="1">
      <c r="A829" s="75"/>
      <c r="B829" s="73"/>
      <c r="C829" s="76"/>
      <c r="D829" s="76"/>
      <c r="E829" s="76"/>
      <c r="F829" s="77"/>
      <c r="G829" s="78"/>
      <c r="H829" s="76"/>
      <c r="I829" s="76"/>
      <c r="J829" s="79"/>
      <c r="K829" s="80"/>
      <c r="L829" s="81"/>
      <c r="M829" s="81"/>
      <c r="N829" s="82"/>
      <c r="O829" s="83"/>
      <c r="P829" s="84"/>
      <c r="Q829" s="84"/>
      <c r="R829" s="81"/>
      <c r="S829" s="85"/>
      <c r="T829" s="86"/>
      <c r="U829" s="86"/>
      <c r="V829" s="87"/>
      <c r="W829" s="87"/>
      <c r="X829" s="87"/>
      <c r="Y829" s="87"/>
      <c r="Z829" s="87"/>
      <c r="AA829" s="87"/>
      <c r="AB829" s="29"/>
      <c r="AC829" s="94"/>
      <c r="AD829" s="94"/>
      <c r="AE829" s="89"/>
      <c r="AF829" s="89"/>
      <c r="AG829" s="89"/>
      <c r="AH829" s="89"/>
      <c r="AI829" s="90"/>
      <c r="AJ829" s="90"/>
      <c r="AK829" s="90"/>
      <c r="AL829" s="90"/>
      <c r="AM829" s="91"/>
      <c r="AN829" s="91"/>
      <c r="AO829" s="92"/>
      <c r="AP829" s="92"/>
      <c r="AQ829" s="92"/>
      <c r="AR829" s="92"/>
      <c r="AS829" s="93"/>
      <c r="AT829" s="93"/>
      <c r="AU829" s="93"/>
      <c r="AV829" s="93"/>
      <c r="AW829" s="93"/>
      <c r="AX829" s="92"/>
      <c r="AY829" s="92"/>
      <c r="AZ829" s="90"/>
      <c r="BA829" s="83"/>
      <c r="BB829" s="92"/>
      <c r="BC829" s="92"/>
      <c r="BD829" s="92"/>
      <c r="BE829" s="93"/>
      <c r="BF829" s="92"/>
      <c r="BG829" s="82"/>
      <c r="BH829" s="82"/>
      <c r="BI829" s="29"/>
      <c r="BJ829" s="29"/>
      <c r="BK829" s="29"/>
    </row>
    <row r="830" ht="15.75" hidden="1" customHeight="1">
      <c r="A830" s="75"/>
      <c r="B830" s="73"/>
      <c r="C830" s="76"/>
      <c r="D830" s="76"/>
      <c r="E830" s="76"/>
      <c r="F830" s="77"/>
      <c r="G830" s="78"/>
      <c r="H830" s="76"/>
      <c r="I830" s="76"/>
      <c r="J830" s="79"/>
      <c r="K830" s="80"/>
      <c r="L830" s="81"/>
      <c r="M830" s="81"/>
      <c r="N830" s="82"/>
      <c r="O830" s="83"/>
      <c r="P830" s="84"/>
      <c r="Q830" s="84"/>
      <c r="R830" s="81"/>
      <c r="S830" s="85"/>
      <c r="T830" s="86"/>
      <c r="U830" s="86"/>
      <c r="V830" s="87"/>
      <c r="W830" s="87"/>
      <c r="X830" s="87"/>
      <c r="Y830" s="87"/>
      <c r="Z830" s="87"/>
      <c r="AA830" s="87"/>
      <c r="AB830" s="29"/>
      <c r="AC830" s="94"/>
      <c r="AD830" s="94"/>
      <c r="AE830" s="89"/>
      <c r="AF830" s="89"/>
      <c r="AG830" s="89"/>
      <c r="AH830" s="89"/>
      <c r="AI830" s="90"/>
      <c r="AJ830" s="90"/>
      <c r="AK830" s="90"/>
      <c r="AL830" s="90"/>
      <c r="AM830" s="91"/>
      <c r="AN830" s="91"/>
      <c r="AO830" s="92"/>
      <c r="AP830" s="92"/>
      <c r="AQ830" s="92"/>
      <c r="AR830" s="92"/>
      <c r="AS830" s="93"/>
      <c r="AT830" s="93"/>
      <c r="AU830" s="93"/>
      <c r="AV830" s="93"/>
      <c r="AW830" s="93"/>
      <c r="AX830" s="92"/>
      <c r="AY830" s="92"/>
      <c r="AZ830" s="90"/>
      <c r="BA830" s="83"/>
      <c r="BB830" s="92"/>
      <c r="BC830" s="92"/>
      <c r="BD830" s="92"/>
      <c r="BE830" s="93"/>
      <c r="BF830" s="92"/>
      <c r="BG830" s="82"/>
      <c r="BH830" s="82"/>
      <c r="BI830" s="29"/>
      <c r="BJ830" s="29"/>
      <c r="BK830" s="29"/>
    </row>
    <row r="831" ht="15.75" hidden="1" customHeight="1">
      <c r="A831" s="75"/>
      <c r="B831" s="73"/>
      <c r="C831" s="76"/>
      <c r="D831" s="76"/>
      <c r="E831" s="76"/>
      <c r="F831" s="77"/>
      <c r="G831" s="78"/>
      <c r="H831" s="76"/>
      <c r="I831" s="76"/>
      <c r="J831" s="79"/>
      <c r="K831" s="80"/>
      <c r="L831" s="81"/>
      <c r="M831" s="81"/>
      <c r="N831" s="82"/>
      <c r="O831" s="83"/>
      <c r="P831" s="84"/>
      <c r="Q831" s="84"/>
      <c r="R831" s="81"/>
      <c r="S831" s="85"/>
      <c r="T831" s="86"/>
      <c r="U831" s="86"/>
      <c r="V831" s="87"/>
      <c r="W831" s="87"/>
      <c r="X831" s="87"/>
      <c r="Y831" s="87"/>
      <c r="Z831" s="87"/>
      <c r="AA831" s="87"/>
      <c r="AB831" s="29"/>
      <c r="AC831" s="94"/>
      <c r="AD831" s="94"/>
      <c r="AE831" s="89"/>
      <c r="AF831" s="89"/>
      <c r="AG831" s="89"/>
      <c r="AH831" s="89"/>
      <c r="AI831" s="90"/>
      <c r="AJ831" s="90"/>
      <c r="AK831" s="90"/>
      <c r="AL831" s="90"/>
      <c r="AM831" s="91"/>
      <c r="AN831" s="91"/>
      <c r="AO831" s="92"/>
      <c r="AP831" s="92"/>
      <c r="AQ831" s="92"/>
      <c r="AR831" s="92"/>
      <c r="AS831" s="93"/>
      <c r="AT831" s="93"/>
      <c r="AU831" s="93"/>
      <c r="AV831" s="93"/>
      <c r="AW831" s="93"/>
      <c r="AX831" s="92"/>
      <c r="AY831" s="92"/>
      <c r="AZ831" s="90"/>
      <c r="BA831" s="83"/>
      <c r="BB831" s="92"/>
      <c r="BC831" s="92"/>
      <c r="BD831" s="92"/>
      <c r="BE831" s="93"/>
      <c r="BF831" s="92"/>
      <c r="BG831" s="82"/>
      <c r="BH831" s="82"/>
      <c r="BI831" s="29"/>
      <c r="BJ831" s="29"/>
      <c r="BK831" s="29"/>
    </row>
    <row r="832" ht="15.75" hidden="1" customHeight="1">
      <c r="A832" s="75"/>
      <c r="B832" s="73"/>
      <c r="C832" s="76"/>
      <c r="D832" s="76"/>
      <c r="E832" s="76"/>
      <c r="F832" s="77"/>
      <c r="G832" s="78"/>
      <c r="H832" s="76"/>
      <c r="I832" s="76"/>
      <c r="J832" s="79"/>
      <c r="K832" s="80"/>
      <c r="L832" s="81"/>
      <c r="M832" s="81"/>
      <c r="N832" s="82"/>
      <c r="O832" s="83"/>
      <c r="P832" s="84"/>
      <c r="Q832" s="84"/>
      <c r="R832" s="81"/>
      <c r="S832" s="85"/>
      <c r="T832" s="86"/>
      <c r="U832" s="86"/>
      <c r="V832" s="87"/>
      <c r="W832" s="87"/>
      <c r="X832" s="87"/>
      <c r="Y832" s="87"/>
      <c r="Z832" s="87"/>
      <c r="AA832" s="87"/>
      <c r="AB832" s="29"/>
      <c r="AC832" s="94"/>
      <c r="AD832" s="94"/>
      <c r="AE832" s="89"/>
      <c r="AF832" s="89"/>
      <c r="AG832" s="89"/>
      <c r="AH832" s="89"/>
      <c r="AI832" s="90"/>
      <c r="AJ832" s="90"/>
      <c r="AK832" s="90"/>
      <c r="AL832" s="90"/>
      <c r="AM832" s="91"/>
      <c r="AN832" s="91"/>
      <c r="AO832" s="92"/>
      <c r="AP832" s="92"/>
      <c r="AQ832" s="92"/>
      <c r="AR832" s="92"/>
      <c r="AS832" s="93"/>
      <c r="AT832" s="93"/>
      <c r="AU832" s="93"/>
      <c r="AV832" s="93"/>
      <c r="AW832" s="93"/>
      <c r="AX832" s="92"/>
      <c r="AY832" s="92"/>
      <c r="AZ832" s="90"/>
      <c r="BA832" s="83"/>
      <c r="BB832" s="92"/>
      <c r="BC832" s="92"/>
      <c r="BD832" s="92"/>
      <c r="BE832" s="93"/>
      <c r="BF832" s="92"/>
      <c r="BG832" s="82"/>
      <c r="BH832" s="82"/>
      <c r="BI832" s="29"/>
      <c r="BJ832" s="29"/>
      <c r="BK832" s="29"/>
    </row>
    <row r="833" ht="15.75" hidden="1" customHeight="1">
      <c r="A833" s="75"/>
      <c r="B833" s="73"/>
      <c r="C833" s="76"/>
      <c r="D833" s="76"/>
      <c r="E833" s="76"/>
      <c r="F833" s="77"/>
      <c r="G833" s="78"/>
      <c r="H833" s="76"/>
      <c r="I833" s="76"/>
      <c r="J833" s="79"/>
      <c r="K833" s="80"/>
      <c r="L833" s="81"/>
      <c r="M833" s="81"/>
      <c r="N833" s="82"/>
      <c r="O833" s="83"/>
      <c r="P833" s="84"/>
      <c r="Q833" s="84"/>
      <c r="R833" s="81"/>
      <c r="S833" s="85"/>
      <c r="T833" s="86"/>
      <c r="U833" s="86"/>
      <c r="V833" s="87"/>
      <c r="W833" s="87"/>
      <c r="X833" s="87"/>
      <c r="Y833" s="87"/>
      <c r="Z833" s="87"/>
      <c r="AA833" s="87"/>
      <c r="AB833" s="29"/>
      <c r="AC833" s="94"/>
      <c r="AD833" s="94"/>
      <c r="AE833" s="89"/>
      <c r="AF833" s="89"/>
      <c r="AG833" s="89"/>
      <c r="AH833" s="89"/>
      <c r="AI833" s="90"/>
      <c r="AJ833" s="90"/>
      <c r="AK833" s="90"/>
      <c r="AL833" s="90"/>
      <c r="AM833" s="91"/>
      <c r="AN833" s="91"/>
      <c r="AO833" s="92"/>
      <c r="AP833" s="92"/>
      <c r="AQ833" s="92"/>
      <c r="AR833" s="92"/>
      <c r="AS833" s="93"/>
      <c r="AT833" s="93"/>
      <c r="AU833" s="93"/>
      <c r="AV833" s="93"/>
      <c r="AW833" s="93"/>
      <c r="AX833" s="92"/>
      <c r="AY833" s="92"/>
      <c r="AZ833" s="90"/>
      <c r="BA833" s="83"/>
      <c r="BB833" s="92"/>
      <c r="BC833" s="92"/>
      <c r="BD833" s="92"/>
      <c r="BE833" s="93"/>
      <c r="BF833" s="92"/>
      <c r="BG833" s="82"/>
      <c r="BH833" s="82"/>
      <c r="BI833" s="29"/>
      <c r="BJ833" s="29"/>
      <c r="BK833" s="29"/>
    </row>
    <row r="834" ht="15.75" hidden="1" customHeight="1">
      <c r="A834" s="75"/>
      <c r="B834" s="73"/>
      <c r="C834" s="76"/>
      <c r="D834" s="76"/>
      <c r="E834" s="76"/>
      <c r="F834" s="77"/>
      <c r="G834" s="78"/>
      <c r="H834" s="76"/>
      <c r="I834" s="76"/>
      <c r="J834" s="79"/>
      <c r="K834" s="80"/>
      <c r="L834" s="81"/>
      <c r="M834" s="81"/>
      <c r="N834" s="82"/>
      <c r="O834" s="83"/>
      <c r="P834" s="84"/>
      <c r="Q834" s="84"/>
      <c r="R834" s="81"/>
      <c r="S834" s="85"/>
      <c r="T834" s="86"/>
      <c r="U834" s="86"/>
      <c r="V834" s="87"/>
      <c r="W834" s="87"/>
      <c r="X834" s="87"/>
      <c r="Y834" s="87"/>
      <c r="Z834" s="87"/>
      <c r="AA834" s="87"/>
      <c r="AB834" s="29"/>
      <c r="AC834" s="94"/>
      <c r="AD834" s="94"/>
      <c r="AE834" s="89"/>
      <c r="AF834" s="89"/>
      <c r="AG834" s="89"/>
      <c r="AH834" s="89"/>
      <c r="AI834" s="90"/>
      <c r="AJ834" s="90"/>
      <c r="AK834" s="90"/>
      <c r="AL834" s="90"/>
      <c r="AM834" s="91"/>
      <c r="AN834" s="91"/>
      <c r="AO834" s="92"/>
      <c r="AP834" s="92"/>
      <c r="AQ834" s="92"/>
      <c r="AR834" s="92"/>
      <c r="AS834" s="93"/>
      <c r="AT834" s="93"/>
      <c r="AU834" s="93"/>
      <c r="AV834" s="93"/>
      <c r="AW834" s="93"/>
      <c r="AX834" s="92"/>
      <c r="AY834" s="92"/>
      <c r="AZ834" s="90"/>
      <c r="BA834" s="83"/>
      <c r="BB834" s="92"/>
      <c r="BC834" s="92"/>
      <c r="BD834" s="92"/>
      <c r="BE834" s="93"/>
      <c r="BF834" s="92"/>
      <c r="BG834" s="82"/>
      <c r="BH834" s="82"/>
      <c r="BI834" s="29"/>
      <c r="BJ834" s="29"/>
      <c r="BK834" s="29"/>
    </row>
    <row r="835" ht="15.75" hidden="1" customHeight="1">
      <c r="A835" s="75"/>
      <c r="B835" s="73"/>
      <c r="C835" s="76"/>
      <c r="D835" s="76"/>
      <c r="E835" s="76"/>
      <c r="F835" s="77"/>
      <c r="G835" s="78"/>
      <c r="H835" s="76"/>
      <c r="I835" s="76"/>
      <c r="J835" s="79"/>
      <c r="K835" s="80"/>
      <c r="L835" s="81"/>
      <c r="M835" s="81"/>
      <c r="N835" s="82"/>
      <c r="O835" s="83"/>
      <c r="P835" s="84"/>
      <c r="Q835" s="84"/>
      <c r="R835" s="81"/>
      <c r="S835" s="85"/>
      <c r="T835" s="86"/>
      <c r="U835" s="86"/>
      <c r="V835" s="87"/>
      <c r="W835" s="87"/>
      <c r="X835" s="87"/>
      <c r="Y835" s="87"/>
      <c r="Z835" s="87"/>
      <c r="AA835" s="87"/>
      <c r="AB835" s="29"/>
      <c r="AC835" s="94"/>
      <c r="AD835" s="94"/>
      <c r="AE835" s="89"/>
      <c r="AF835" s="89"/>
      <c r="AG835" s="89"/>
      <c r="AH835" s="89"/>
      <c r="AI835" s="90"/>
      <c r="AJ835" s="90"/>
      <c r="AK835" s="90"/>
      <c r="AL835" s="90"/>
      <c r="AM835" s="91"/>
      <c r="AN835" s="91"/>
      <c r="AO835" s="92"/>
      <c r="AP835" s="92"/>
      <c r="AQ835" s="92"/>
      <c r="AR835" s="92"/>
      <c r="AS835" s="93"/>
      <c r="AT835" s="93"/>
      <c r="AU835" s="93"/>
      <c r="AV835" s="93"/>
      <c r="AW835" s="93"/>
      <c r="AX835" s="92"/>
      <c r="AY835" s="92"/>
      <c r="AZ835" s="90"/>
      <c r="BA835" s="83"/>
      <c r="BB835" s="92"/>
      <c r="BC835" s="92"/>
      <c r="BD835" s="92"/>
      <c r="BE835" s="93"/>
      <c r="BF835" s="92"/>
      <c r="BG835" s="82"/>
      <c r="BH835" s="82"/>
      <c r="BI835" s="29"/>
      <c r="BJ835" s="29"/>
      <c r="BK835" s="29"/>
    </row>
    <row r="836" ht="15.75" hidden="1" customHeight="1">
      <c r="A836" s="75"/>
      <c r="B836" s="73"/>
      <c r="C836" s="76"/>
      <c r="D836" s="76"/>
      <c r="E836" s="76"/>
      <c r="F836" s="77"/>
      <c r="G836" s="78"/>
      <c r="H836" s="76"/>
      <c r="I836" s="76"/>
      <c r="J836" s="79"/>
      <c r="K836" s="80"/>
      <c r="L836" s="81"/>
      <c r="M836" s="81"/>
      <c r="N836" s="82"/>
      <c r="O836" s="83"/>
      <c r="P836" s="84"/>
      <c r="Q836" s="84"/>
      <c r="R836" s="81"/>
      <c r="S836" s="85"/>
      <c r="T836" s="86"/>
      <c r="U836" s="86"/>
      <c r="V836" s="87"/>
      <c r="W836" s="87"/>
      <c r="X836" s="87"/>
      <c r="Y836" s="87"/>
      <c r="Z836" s="87"/>
      <c r="AA836" s="87"/>
      <c r="AB836" s="29"/>
      <c r="AC836" s="94"/>
      <c r="AD836" s="94"/>
      <c r="AE836" s="89"/>
      <c r="AF836" s="89"/>
      <c r="AG836" s="89"/>
      <c r="AH836" s="89"/>
      <c r="AI836" s="90"/>
      <c r="AJ836" s="90"/>
      <c r="AK836" s="90"/>
      <c r="AL836" s="90"/>
      <c r="AM836" s="91"/>
      <c r="AN836" s="91"/>
      <c r="AO836" s="92"/>
      <c r="AP836" s="92"/>
      <c r="AQ836" s="92"/>
      <c r="AR836" s="92"/>
      <c r="AS836" s="93"/>
      <c r="AT836" s="93"/>
      <c r="AU836" s="93"/>
      <c r="AV836" s="93"/>
      <c r="AW836" s="93"/>
      <c r="AX836" s="92"/>
      <c r="AY836" s="92"/>
      <c r="AZ836" s="90"/>
      <c r="BA836" s="83"/>
      <c r="BB836" s="92"/>
      <c r="BC836" s="92"/>
      <c r="BD836" s="92"/>
      <c r="BE836" s="93"/>
      <c r="BF836" s="92"/>
      <c r="BG836" s="82"/>
      <c r="BH836" s="82"/>
      <c r="BI836" s="29"/>
      <c r="BJ836" s="29"/>
      <c r="BK836" s="29"/>
    </row>
    <row r="837" ht="15.75" hidden="1" customHeight="1">
      <c r="A837" s="75"/>
      <c r="B837" s="73"/>
      <c r="C837" s="76"/>
      <c r="D837" s="76"/>
      <c r="E837" s="76"/>
      <c r="F837" s="77"/>
      <c r="G837" s="78"/>
      <c r="H837" s="76"/>
      <c r="I837" s="76"/>
      <c r="J837" s="79"/>
      <c r="K837" s="80"/>
      <c r="L837" s="81"/>
      <c r="M837" s="81"/>
      <c r="N837" s="82"/>
      <c r="O837" s="83"/>
      <c r="P837" s="84"/>
      <c r="Q837" s="84"/>
      <c r="R837" s="81"/>
      <c r="S837" s="85"/>
      <c r="T837" s="86"/>
      <c r="U837" s="86"/>
      <c r="V837" s="87"/>
      <c r="W837" s="87"/>
      <c r="X837" s="87"/>
      <c r="Y837" s="87"/>
      <c r="Z837" s="87"/>
      <c r="AA837" s="87"/>
      <c r="AB837" s="29"/>
      <c r="AC837" s="94"/>
      <c r="AD837" s="94"/>
      <c r="AE837" s="89"/>
      <c r="AF837" s="89"/>
      <c r="AG837" s="89"/>
      <c r="AH837" s="89"/>
      <c r="AI837" s="90"/>
      <c r="AJ837" s="90"/>
      <c r="AK837" s="90"/>
      <c r="AL837" s="90"/>
      <c r="AM837" s="91"/>
      <c r="AN837" s="91"/>
      <c r="AO837" s="92"/>
      <c r="AP837" s="92"/>
      <c r="AQ837" s="92"/>
      <c r="AR837" s="92"/>
      <c r="AS837" s="93"/>
      <c r="AT837" s="93"/>
      <c r="AU837" s="93"/>
      <c r="AV837" s="93"/>
      <c r="AW837" s="93"/>
      <c r="AX837" s="92"/>
      <c r="AY837" s="92"/>
      <c r="AZ837" s="90"/>
      <c r="BA837" s="83"/>
      <c r="BB837" s="92"/>
      <c r="BC837" s="92"/>
      <c r="BD837" s="92"/>
      <c r="BE837" s="93"/>
      <c r="BF837" s="92"/>
      <c r="BG837" s="82"/>
      <c r="BH837" s="82"/>
      <c r="BI837" s="29"/>
      <c r="BJ837" s="29"/>
      <c r="BK837" s="29"/>
    </row>
    <row r="838" ht="15.75" hidden="1" customHeight="1">
      <c r="A838" s="75"/>
      <c r="B838" s="73"/>
      <c r="C838" s="76"/>
      <c r="D838" s="76"/>
      <c r="E838" s="76"/>
      <c r="F838" s="77"/>
      <c r="G838" s="78"/>
      <c r="H838" s="76"/>
      <c r="I838" s="76"/>
      <c r="J838" s="79"/>
      <c r="K838" s="80"/>
      <c r="L838" s="81"/>
      <c r="M838" s="81"/>
      <c r="N838" s="82"/>
      <c r="O838" s="83"/>
      <c r="P838" s="84"/>
      <c r="Q838" s="84"/>
      <c r="R838" s="81"/>
      <c r="S838" s="85"/>
      <c r="T838" s="86"/>
      <c r="U838" s="86"/>
      <c r="V838" s="87"/>
      <c r="W838" s="87"/>
      <c r="X838" s="87"/>
      <c r="Y838" s="87"/>
      <c r="Z838" s="87"/>
      <c r="AA838" s="87"/>
      <c r="AB838" s="29"/>
      <c r="AC838" s="94"/>
      <c r="AD838" s="94"/>
      <c r="AE838" s="89"/>
      <c r="AF838" s="89"/>
      <c r="AG838" s="89"/>
      <c r="AH838" s="89"/>
      <c r="AI838" s="90"/>
      <c r="AJ838" s="90"/>
      <c r="AK838" s="90"/>
      <c r="AL838" s="90"/>
      <c r="AM838" s="91"/>
      <c r="AN838" s="91"/>
      <c r="AO838" s="92"/>
      <c r="AP838" s="92"/>
      <c r="AQ838" s="92"/>
      <c r="AR838" s="92"/>
      <c r="AS838" s="93"/>
      <c r="AT838" s="93"/>
      <c r="AU838" s="93"/>
      <c r="AV838" s="93"/>
      <c r="AW838" s="93"/>
      <c r="AX838" s="92"/>
      <c r="AY838" s="92"/>
      <c r="AZ838" s="90"/>
      <c r="BA838" s="83"/>
      <c r="BB838" s="92"/>
      <c r="BC838" s="92"/>
      <c r="BD838" s="92"/>
      <c r="BE838" s="93"/>
      <c r="BF838" s="92"/>
      <c r="BG838" s="82"/>
      <c r="BH838" s="82"/>
      <c r="BI838" s="29"/>
      <c r="BJ838" s="29"/>
      <c r="BK838" s="29"/>
    </row>
    <row r="839" ht="15.75" hidden="1" customHeight="1">
      <c r="A839" s="75"/>
      <c r="B839" s="73"/>
      <c r="C839" s="76"/>
      <c r="D839" s="76"/>
      <c r="E839" s="76"/>
      <c r="F839" s="77"/>
      <c r="G839" s="78"/>
      <c r="H839" s="76"/>
      <c r="I839" s="76"/>
      <c r="J839" s="79"/>
      <c r="K839" s="80"/>
      <c r="L839" s="81"/>
      <c r="M839" s="81"/>
      <c r="N839" s="82"/>
      <c r="O839" s="83"/>
      <c r="P839" s="84"/>
      <c r="Q839" s="84"/>
      <c r="R839" s="81"/>
      <c r="S839" s="85"/>
      <c r="T839" s="86"/>
      <c r="U839" s="86"/>
      <c r="V839" s="87"/>
      <c r="W839" s="87"/>
      <c r="X839" s="87"/>
      <c r="Y839" s="87"/>
      <c r="Z839" s="87"/>
      <c r="AA839" s="87"/>
      <c r="AB839" s="29"/>
      <c r="AC839" s="94"/>
      <c r="AD839" s="94"/>
      <c r="AE839" s="89"/>
      <c r="AF839" s="89"/>
      <c r="AG839" s="89"/>
      <c r="AH839" s="89"/>
      <c r="AI839" s="90"/>
      <c r="AJ839" s="90"/>
      <c r="AK839" s="90"/>
      <c r="AL839" s="90"/>
      <c r="AM839" s="91"/>
      <c r="AN839" s="91"/>
      <c r="AO839" s="92"/>
      <c r="AP839" s="92"/>
      <c r="AQ839" s="92"/>
      <c r="AR839" s="92"/>
      <c r="AS839" s="93"/>
      <c r="AT839" s="93"/>
      <c r="AU839" s="93"/>
      <c r="AV839" s="93"/>
      <c r="AW839" s="93"/>
      <c r="AX839" s="92"/>
      <c r="AY839" s="92"/>
      <c r="AZ839" s="90"/>
      <c r="BA839" s="83"/>
      <c r="BB839" s="92"/>
      <c r="BC839" s="92"/>
      <c r="BD839" s="92"/>
      <c r="BE839" s="93"/>
      <c r="BF839" s="92"/>
      <c r="BG839" s="82"/>
      <c r="BH839" s="82"/>
      <c r="BI839" s="29"/>
      <c r="BJ839" s="29"/>
      <c r="BK839" s="29"/>
    </row>
    <row r="840" ht="15.75" hidden="1" customHeight="1">
      <c r="A840" s="75"/>
      <c r="B840" s="73"/>
      <c r="C840" s="76"/>
      <c r="D840" s="76"/>
      <c r="E840" s="76"/>
      <c r="F840" s="77"/>
      <c r="G840" s="78"/>
      <c r="H840" s="76"/>
      <c r="I840" s="76"/>
      <c r="J840" s="79"/>
      <c r="K840" s="80"/>
      <c r="L840" s="81"/>
      <c r="M840" s="81"/>
      <c r="N840" s="82"/>
      <c r="O840" s="83"/>
      <c r="P840" s="84"/>
      <c r="Q840" s="84"/>
      <c r="R840" s="81"/>
      <c r="S840" s="85"/>
      <c r="T840" s="86"/>
      <c r="U840" s="86"/>
      <c r="V840" s="87"/>
      <c r="W840" s="87"/>
      <c r="X840" s="87"/>
      <c r="Y840" s="87"/>
      <c r="Z840" s="87"/>
      <c r="AA840" s="87"/>
      <c r="AB840" s="29"/>
      <c r="AC840" s="94"/>
      <c r="AD840" s="94"/>
      <c r="AE840" s="89"/>
      <c r="AF840" s="89"/>
      <c r="AG840" s="89"/>
      <c r="AH840" s="89"/>
      <c r="AI840" s="90"/>
      <c r="AJ840" s="90"/>
      <c r="AK840" s="90"/>
      <c r="AL840" s="90"/>
      <c r="AM840" s="91"/>
      <c r="AN840" s="91"/>
      <c r="AO840" s="92"/>
      <c r="AP840" s="92"/>
      <c r="AQ840" s="92"/>
      <c r="AR840" s="92"/>
      <c r="AS840" s="93"/>
      <c r="AT840" s="93"/>
      <c r="AU840" s="93"/>
      <c r="AV840" s="93"/>
      <c r="AW840" s="93"/>
      <c r="AX840" s="92"/>
      <c r="AY840" s="92"/>
      <c r="AZ840" s="90"/>
      <c r="BA840" s="83"/>
      <c r="BB840" s="92"/>
      <c r="BC840" s="92"/>
      <c r="BD840" s="92"/>
      <c r="BE840" s="93"/>
      <c r="BF840" s="92"/>
      <c r="BG840" s="82"/>
      <c r="BH840" s="82"/>
      <c r="BI840" s="29"/>
      <c r="BJ840" s="29"/>
      <c r="BK840" s="29"/>
    </row>
    <row r="841" ht="15.75" hidden="1" customHeight="1">
      <c r="A841" s="75"/>
      <c r="B841" s="73"/>
      <c r="C841" s="76"/>
      <c r="D841" s="76"/>
      <c r="E841" s="76"/>
      <c r="F841" s="77"/>
      <c r="G841" s="78"/>
      <c r="H841" s="76"/>
      <c r="I841" s="76"/>
      <c r="J841" s="79"/>
      <c r="K841" s="80"/>
      <c r="L841" s="81"/>
      <c r="M841" s="81"/>
      <c r="N841" s="82"/>
      <c r="O841" s="83"/>
      <c r="P841" s="84"/>
      <c r="Q841" s="84"/>
      <c r="R841" s="81"/>
      <c r="S841" s="85"/>
      <c r="T841" s="86"/>
      <c r="U841" s="86"/>
      <c r="V841" s="87"/>
      <c r="W841" s="87"/>
      <c r="X841" s="87"/>
      <c r="Y841" s="87"/>
      <c r="Z841" s="87"/>
      <c r="AA841" s="87"/>
      <c r="AB841" s="29"/>
      <c r="AC841" s="94"/>
      <c r="AD841" s="94"/>
      <c r="AE841" s="89"/>
      <c r="AF841" s="89"/>
      <c r="AG841" s="89"/>
      <c r="AH841" s="89"/>
      <c r="AI841" s="90"/>
      <c r="AJ841" s="90"/>
      <c r="AK841" s="90"/>
      <c r="AL841" s="90"/>
      <c r="AM841" s="91"/>
      <c r="AN841" s="91"/>
      <c r="AO841" s="92"/>
      <c r="AP841" s="92"/>
      <c r="AQ841" s="92"/>
      <c r="AR841" s="92"/>
      <c r="AS841" s="93"/>
      <c r="AT841" s="93"/>
      <c r="AU841" s="93"/>
      <c r="AV841" s="93"/>
      <c r="AW841" s="93"/>
      <c r="AX841" s="92"/>
      <c r="AY841" s="92"/>
      <c r="AZ841" s="90"/>
      <c r="BA841" s="83"/>
      <c r="BB841" s="92"/>
      <c r="BC841" s="92"/>
      <c r="BD841" s="92"/>
      <c r="BE841" s="93"/>
      <c r="BF841" s="92"/>
      <c r="BG841" s="82"/>
      <c r="BH841" s="82"/>
      <c r="BI841" s="29"/>
      <c r="BJ841" s="29"/>
      <c r="BK841" s="29"/>
    </row>
    <row r="842" ht="15.75" hidden="1" customHeight="1">
      <c r="A842" s="75"/>
      <c r="B842" s="73"/>
      <c r="C842" s="76"/>
      <c r="D842" s="76"/>
      <c r="E842" s="76"/>
      <c r="F842" s="77"/>
      <c r="G842" s="78"/>
      <c r="H842" s="76"/>
      <c r="I842" s="76"/>
      <c r="J842" s="79"/>
      <c r="K842" s="80"/>
      <c r="L842" s="81"/>
      <c r="M842" s="81"/>
      <c r="N842" s="82"/>
      <c r="O842" s="83"/>
      <c r="P842" s="84"/>
      <c r="Q842" s="84"/>
      <c r="R842" s="81"/>
      <c r="S842" s="85"/>
      <c r="T842" s="86"/>
      <c r="U842" s="86"/>
      <c r="V842" s="87"/>
      <c r="W842" s="87"/>
      <c r="X842" s="87"/>
      <c r="Y842" s="87"/>
      <c r="Z842" s="87"/>
      <c r="AA842" s="87"/>
      <c r="AB842" s="29"/>
      <c r="AC842" s="94"/>
      <c r="AD842" s="94"/>
      <c r="AE842" s="89"/>
      <c r="AF842" s="89"/>
      <c r="AG842" s="89"/>
      <c r="AH842" s="89"/>
      <c r="AI842" s="90"/>
      <c r="AJ842" s="90"/>
      <c r="AK842" s="90"/>
      <c r="AL842" s="90"/>
      <c r="AM842" s="91"/>
      <c r="AN842" s="91"/>
      <c r="AO842" s="92"/>
      <c r="AP842" s="92"/>
      <c r="AQ842" s="92"/>
      <c r="AR842" s="92"/>
      <c r="AS842" s="93"/>
      <c r="AT842" s="93"/>
      <c r="AU842" s="93"/>
      <c r="AV842" s="93"/>
      <c r="AW842" s="93"/>
      <c r="AX842" s="92"/>
      <c r="AY842" s="92"/>
      <c r="AZ842" s="90"/>
      <c r="BA842" s="83"/>
      <c r="BB842" s="92"/>
      <c r="BC842" s="92"/>
      <c r="BD842" s="92"/>
      <c r="BE842" s="93"/>
      <c r="BF842" s="92"/>
      <c r="BG842" s="82"/>
      <c r="BH842" s="82"/>
      <c r="BI842" s="29"/>
      <c r="BJ842" s="29"/>
      <c r="BK842" s="29"/>
    </row>
    <row r="843" ht="15.75" hidden="1" customHeight="1">
      <c r="A843" s="75"/>
      <c r="B843" s="73"/>
      <c r="C843" s="76"/>
      <c r="D843" s="76"/>
      <c r="E843" s="76"/>
      <c r="F843" s="77"/>
      <c r="G843" s="78"/>
      <c r="H843" s="76"/>
      <c r="I843" s="76"/>
      <c r="J843" s="79"/>
      <c r="K843" s="80"/>
      <c r="L843" s="81"/>
      <c r="M843" s="81"/>
      <c r="N843" s="82"/>
      <c r="O843" s="83"/>
      <c r="P843" s="84"/>
      <c r="Q843" s="84"/>
      <c r="R843" s="81"/>
      <c r="S843" s="85"/>
      <c r="T843" s="86"/>
      <c r="U843" s="86"/>
      <c r="V843" s="87"/>
      <c r="W843" s="87"/>
      <c r="X843" s="87"/>
      <c r="Y843" s="87"/>
      <c r="Z843" s="87"/>
      <c r="AA843" s="87"/>
      <c r="AB843" s="29"/>
      <c r="AC843" s="94"/>
      <c r="AD843" s="94"/>
      <c r="AE843" s="89"/>
      <c r="AF843" s="89"/>
      <c r="AG843" s="89"/>
      <c r="AH843" s="89"/>
      <c r="AI843" s="90"/>
      <c r="AJ843" s="90"/>
      <c r="AK843" s="90"/>
      <c r="AL843" s="90"/>
      <c r="AM843" s="91"/>
      <c r="AN843" s="91"/>
      <c r="AO843" s="92"/>
      <c r="AP843" s="92"/>
      <c r="AQ843" s="92"/>
      <c r="AR843" s="92"/>
      <c r="AS843" s="93"/>
      <c r="AT843" s="93"/>
      <c r="AU843" s="93"/>
      <c r="AV843" s="93"/>
      <c r="AW843" s="93"/>
      <c r="AX843" s="92"/>
      <c r="AY843" s="92"/>
      <c r="AZ843" s="90"/>
      <c r="BA843" s="83"/>
      <c r="BB843" s="92"/>
      <c r="BC843" s="92"/>
      <c r="BD843" s="92"/>
      <c r="BE843" s="93"/>
      <c r="BF843" s="92"/>
      <c r="BG843" s="82"/>
      <c r="BH843" s="82"/>
      <c r="BI843" s="29"/>
      <c r="BJ843" s="29"/>
      <c r="BK843" s="29"/>
    </row>
    <row r="844" ht="15.75" hidden="1" customHeight="1">
      <c r="A844" s="75"/>
      <c r="B844" s="73"/>
      <c r="C844" s="76"/>
      <c r="D844" s="76"/>
      <c r="E844" s="76"/>
      <c r="F844" s="77"/>
      <c r="G844" s="78"/>
      <c r="H844" s="76"/>
      <c r="I844" s="76"/>
      <c r="J844" s="79"/>
      <c r="K844" s="80"/>
      <c r="L844" s="81"/>
      <c r="M844" s="81"/>
      <c r="N844" s="82"/>
      <c r="O844" s="83"/>
      <c r="P844" s="84"/>
      <c r="Q844" s="84"/>
      <c r="R844" s="81"/>
      <c r="S844" s="85"/>
      <c r="T844" s="86"/>
      <c r="U844" s="86"/>
      <c r="V844" s="87"/>
      <c r="W844" s="87"/>
      <c r="X844" s="87"/>
      <c r="Y844" s="87"/>
      <c r="Z844" s="87"/>
      <c r="AA844" s="87"/>
      <c r="AB844" s="29"/>
      <c r="AC844" s="94"/>
      <c r="AD844" s="94"/>
      <c r="AE844" s="89"/>
      <c r="AF844" s="89"/>
      <c r="AG844" s="89"/>
      <c r="AH844" s="89"/>
      <c r="AI844" s="90"/>
      <c r="AJ844" s="90"/>
      <c r="AK844" s="90"/>
      <c r="AL844" s="90"/>
      <c r="AM844" s="91"/>
      <c r="AN844" s="91"/>
      <c r="AO844" s="92"/>
      <c r="AP844" s="92"/>
      <c r="AQ844" s="92"/>
      <c r="AR844" s="92"/>
      <c r="AS844" s="93"/>
      <c r="AT844" s="93"/>
      <c r="AU844" s="93"/>
      <c r="AV844" s="93"/>
      <c r="AW844" s="93"/>
      <c r="AX844" s="92"/>
      <c r="AY844" s="92"/>
      <c r="AZ844" s="90"/>
      <c r="BA844" s="83"/>
      <c r="BB844" s="92"/>
      <c r="BC844" s="92"/>
      <c r="BD844" s="92"/>
      <c r="BE844" s="93"/>
      <c r="BF844" s="92"/>
      <c r="BG844" s="82"/>
      <c r="BH844" s="82"/>
      <c r="BI844" s="29"/>
      <c r="BJ844" s="29"/>
      <c r="BK844" s="29"/>
    </row>
    <row r="845" ht="15.75" hidden="1" customHeight="1">
      <c r="A845" s="75"/>
      <c r="B845" s="73"/>
      <c r="C845" s="76"/>
      <c r="D845" s="76"/>
      <c r="E845" s="76"/>
      <c r="F845" s="77"/>
      <c r="G845" s="78"/>
      <c r="H845" s="76"/>
      <c r="I845" s="76"/>
      <c r="J845" s="79"/>
      <c r="K845" s="80"/>
      <c r="L845" s="81"/>
      <c r="M845" s="81"/>
      <c r="N845" s="82"/>
      <c r="O845" s="83"/>
      <c r="P845" s="84"/>
      <c r="Q845" s="84"/>
      <c r="R845" s="81"/>
      <c r="S845" s="85"/>
      <c r="T845" s="86"/>
      <c r="U845" s="86"/>
      <c r="V845" s="87"/>
      <c r="W845" s="87"/>
      <c r="X845" s="87"/>
      <c r="Y845" s="87"/>
      <c r="Z845" s="87"/>
      <c r="AA845" s="87"/>
      <c r="AB845" s="29"/>
      <c r="AC845" s="94"/>
      <c r="AD845" s="94"/>
      <c r="AE845" s="89"/>
      <c r="AF845" s="89"/>
      <c r="AG845" s="89"/>
      <c r="AH845" s="89"/>
      <c r="AI845" s="90"/>
      <c r="AJ845" s="90"/>
      <c r="AK845" s="90"/>
      <c r="AL845" s="90"/>
      <c r="AM845" s="91"/>
      <c r="AN845" s="91"/>
      <c r="AO845" s="92"/>
      <c r="AP845" s="92"/>
      <c r="AQ845" s="92"/>
      <c r="AR845" s="92"/>
      <c r="AS845" s="93"/>
      <c r="AT845" s="93"/>
      <c r="AU845" s="93"/>
      <c r="AV845" s="93"/>
      <c r="AW845" s="93"/>
      <c r="AX845" s="92"/>
      <c r="AY845" s="92"/>
      <c r="AZ845" s="90"/>
      <c r="BA845" s="83"/>
      <c r="BB845" s="92"/>
      <c r="BC845" s="92"/>
      <c r="BD845" s="92"/>
      <c r="BE845" s="93"/>
      <c r="BF845" s="92"/>
      <c r="BG845" s="82"/>
      <c r="BH845" s="82"/>
      <c r="BI845" s="29"/>
      <c r="BJ845" s="29"/>
      <c r="BK845" s="29"/>
    </row>
    <row r="846" ht="15.75" hidden="1" customHeight="1">
      <c r="A846" s="75"/>
      <c r="B846" s="73"/>
      <c r="C846" s="76"/>
      <c r="D846" s="76"/>
      <c r="E846" s="76"/>
      <c r="F846" s="77"/>
      <c r="G846" s="78"/>
      <c r="H846" s="76"/>
      <c r="I846" s="76"/>
      <c r="J846" s="79"/>
      <c r="K846" s="80"/>
      <c r="L846" s="81"/>
      <c r="M846" s="81"/>
      <c r="N846" s="82"/>
      <c r="O846" s="83"/>
      <c r="P846" s="84"/>
      <c r="Q846" s="84"/>
      <c r="R846" s="81"/>
      <c r="S846" s="85"/>
      <c r="T846" s="86"/>
      <c r="U846" s="86"/>
      <c r="V846" s="87"/>
      <c r="W846" s="87"/>
      <c r="X846" s="87"/>
      <c r="Y846" s="87"/>
      <c r="Z846" s="87"/>
      <c r="AA846" s="87"/>
      <c r="AB846" s="29"/>
      <c r="AC846" s="94"/>
      <c r="AD846" s="94"/>
      <c r="AE846" s="89"/>
      <c r="AF846" s="89"/>
      <c r="AG846" s="89"/>
      <c r="AH846" s="89"/>
      <c r="AI846" s="90"/>
      <c r="AJ846" s="90"/>
      <c r="AK846" s="90"/>
      <c r="AL846" s="90"/>
      <c r="AM846" s="91"/>
      <c r="AN846" s="91"/>
      <c r="AO846" s="92"/>
      <c r="AP846" s="92"/>
      <c r="AQ846" s="92"/>
      <c r="AR846" s="92"/>
      <c r="AS846" s="93"/>
      <c r="AT846" s="93"/>
      <c r="AU846" s="93"/>
      <c r="AV846" s="93"/>
      <c r="AW846" s="93"/>
      <c r="AX846" s="92"/>
      <c r="AY846" s="92"/>
      <c r="AZ846" s="90"/>
      <c r="BA846" s="83"/>
      <c r="BB846" s="92"/>
      <c r="BC846" s="92"/>
      <c r="BD846" s="92"/>
      <c r="BE846" s="93"/>
      <c r="BF846" s="92"/>
      <c r="BG846" s="82"/>
      <c r="BH846" s="82"/>
      <c r="BI846" s="29"/>
      <c r="BJ846" s="29"/>
      <c r="BK846" s="29"/>
    </row>
    <row r="847" ht="15.75" hidden="1" customHeight="1">
      <c r="A847" s="75"/>
      <c r="B847" s="73"/>
      <c r="C847" s="76"/>
      <c r="D847" s="76"/>
      <c r="E847" s="76"/>
      <c r="F847" s="77"/>
      <c r="G847" s="78"/>
      <c r="H847" s="76"/>
      <c r="I847" s="76"/>
      <c r="J847" s="79"/>
      <c r="K847" s="80"/>
      <c r="L847" s="81"/>
      <c r="M847" s="81"/>
      <c r="N847" s="82"/>
      <c r="O847" s="83"/>
      <c r="P847" s="84"/>
      <c r="Q847" s="84"/>
      <c r="R847" s="81"/>
      <c r="S847" s="85"/>
      <c r="T847" s="86"/>
      <c r="U847" s="86"/>
      <c r="V847" s="87"/>
      <c r="W847" s="87"/>
      <c r="X847" s="87"/>
      <c r="Y847" s="87"/>
      <c r="Z847" s="87"/>
      <c r="AA847" s="87"/>
      <c r="AB847" s="29"/>
      <c r="AC847" s="94"/>
      <c r="AD847" s="94"/>
      <c r="AE847" s="89"/>
      <c r="AF847" s="89"/>
      <c r="AG847" s="89"/>
      <c r="AH847" s="89"/>
      <c r="AI847" s="90"/>
      <c r="AJ847" s="90"/>
      <c r="AK847" s="90"/>
      <c r="AL847" s="90"/>
      <c r="AM847" s="91"/>
      <c r="AN847" s="91"/>
      <c r="AO847" s="92"/>
      <c r="AP847" s="92"/>
      <c r="AQ847" s="92"/>
      <c r="AR847" s="92"/>
      <c r="AS847" s="93"/>
      <c r="AT847" s="93"/>
      <c r="AU847" s="93"/>
      <c r="AV847" s="93"/>
      <c r="AW847" s="93"/>
      <c r="AX847" s="92"/>
      <c r="AY847" s="92"/>
      <c r="AZ847" s="90"/>
      <c r="BA847" s="83"/>
      <c r="BB847" s="92"/>
      <c r="BC847" s="92"/>
      <c r="BD847" s="92"/>
      <c r="BE847" s="93"/>
      <c r="BF847" s="92"/>
      <c r="BG847" s="82"/>
      <c r="BH847" s="82"/>
      <c r="BI847" s="29"/>
      <c r="BJ847" s="29"/>
      <c r="BK847" s="29"/>
    </row>
    <row r="848" ht="15.75" hidden="1" customHeight="1">
      <c r="A848" s="75"/>
      <c r="B848" s="73"/>
      <c r="C848" s="76"/>
      <c r="D848" s="76"/>
      <c r="E848" s="76"/>
      <c r="F848" s="77"/>
      <c r="G848" s="78"/>
      <c r="H848" s="76"/>
      <c r="I848" s="76"/>
      <c r="J848" s="79"/>
      <c r="K848" s="80"/>
      <c r="L848" s="81"/>
      <c r="M848" s="81"/>
      <c r="N848" s="82"/>
      <c r="O848" s="83"/>
      <c r="P848" s="84"/>
      <c r="Q848" s="84"/>
      <c r="R848" s="81"/>
      <c r="S848" s="85"/>
      <c r="T848" s="86"/>
      <c r="U848" s="86"/>
      <c r="V848" s="87"/>
      <c r="W848" s="87"/>
      <c r="X848" s="87"/>
      <c r="Y848" s="87"/>
      <c r="Z848" s="87"/>
      <c r="AA848" s="87"/>
      <c r="AB848" s="29"/>
      <c r="AC848" s="94"/>
      <c r="AD848" s="94"/>
      <c r="AE848" s="89"/>
      <c r="AF848" s="89"/>
      <c r="AG848" s="89"/>
      <c r="AH848" s="89"/>
      <c r="AI848" s="90"/>
      <c r="AJ848" s="90"/>
      <c r="AK848" s="90"/>
      <c r="AL848" s="90"/>
      <c r="AM848" s="91"/>
      <c r="AN848" s="91"/>
      <c r="AO848" s="92"/>
      <c r="AP848" s="92"/>
      <c r="AQ848" s="92"/>
      <c r="AR848" s="92"/>
      <c r="AS848" s="93"/>
      <c r="AT848" s="93"/>
      <c r="AU848" s="93"/>
      <c r="AV848" s="93"/>
      <c r="AW848" s="93"/>
      <c r="AX848" s="92"/>
      <c r="AY848" s="92"/>
      <c r="AZ848" s="90"/>
      <c r="BA848" s="83"/>
      <c r="BB848" s="92"/>
      <c r="BC848" s="92"/>
      <c r="BD848" s="92"/>
      <c r="BE848" s="93"/>
      <c r="BF848" s="92"/>
      <c r="BG848" s="82"/>
      <c r="BH848" s="82"/>
      <c r="BI848" s="29"/>
      <c r="BJ848" s="29"/>
      <c r="BK848" s="29"/>
    </row>
    <row r="849" ht="15.75" hidden="1" customHeight="1">
      <c r="A849" s="75"/>
      <c r="B849" s="73"/>
      <c r="C849" s="76"/>
      <c r="D849" s="76"/>
      <c r="E849" s="76"/>
      <c r="F849" s="77"/>
      <c r="G849" s="78"/>
      <c r="H849" s="76"/>
      <c r="I849" s="76"/>
      <c r="J849" s="79"/>
      <c r="K849" s="80"/>
      <c r="L849" s="81"/>
      <c r="M849" s="81"/>
      <c r="N849" s="82"/>
      <c r="O849" s="83"/>
      <c r="P849" s="84"/>
      <c r="Q849" s="84"/>
      <c r="R849" s="81"/>
      <c r="S849" s="85"/>
      <c r="T849" s="86"/>
      <c r="U849" s="86"/>
      <c r="V849" s="87"/>
      <c r="W849" s="87"/>
      <c r="X849" s="87"/>
      <c r="Y849" s="87"/>
      <c r="Z849" s="87"/>
      <c r="AA849" s="87"/>
      <c r="AB849" s="29"/>
      <c r="AC849" s="94"/>
      <c r="AD849" s="94"/>
      <c r="AE849" s="89"/>
      <c r="AF849" s="89"/>
      <c r="AG849" s="89"/>
      <c r="AH849" s="89"/>
      <c r="AI849" s="90"/>
      <c r="AJ849" s="90"/>
      <c r="AK849" s="90"/>
      <c r="AL849" s="90"/>
      <c r="AM849" s="91"/>
      <c r="AN849" s="91"/>
      <c r="AO849" s="92"/>
      <c r="AP849" s="92"/>
      <c r="AQ849" s="92"/>
      <c r="AR849" s="92"/>
      <c r="AS849" s="93"/>
      <c r="AT849" s="93"/>
      <c r="AU849" s="93"/>
      <c r="AV849" s="93"/>
      <c r="AW849" s="93"/>
      <c r="AX849" s="92"/>
      <c r="AY849" s="92"/>
      <c r="AZ849" s="90"/>
      <c r="BA849" s="83"/>
      <c r="BB849" s="92"/>
      <c r="BC849" s="92"/>
      <c r="BD849" s="92"/>
      <c r="BE849" s="93"/>
      <c r="BF849" s="92"/>
      <c r="BG849" s="82"/>
      <c r="BH849" s="82"/>
      <c r="BI849" s="29"/>
      <c r="BJ849" s="29"/>
      <c r="BK849" s="29"/>
    </row>
    <row r="850" ht="15.75" hidden="1" customHeight="1">
      <c r="A850" s="75"/>
      <c r="B850" s="73"/>
      <c r="C850" s="76"/>
      <c r="D850" s="76"/>
      <c r="E850" s="76"/>
      <c r="F850" s="77"/>
      <c r="G850" s="78"/>
      <c r="H850" s="76"/>
      <c r="I850" s="76"/>
      <c r="J850" s="79"/>
      <c r="K850" s="80"/>
      <c r="L850" s="81"/>
      <c r="M850" s="81"/>
      <c r="N850" s="82"/>
      <c r="O850" s="83"/>
      <c r="P850" s="84"/>
      <c r="Q850" s="84"/>
      <c r="R850" s="81"/>
      <c r="S850" s="85"/>
      <c r="T850" s="86"/>
      <c r="U850" s="86"/>
      <c r="V850" s="87"/>
      <c r="W850" s="87"/>
      <c r="X850" s="87"/>
      <c r="Y850" s="87"/>
      <c r="Z850" s="87"/>
      <c r="AA850" s="87"/>
      <c r="AB850" s="29"/>
      <c r="AC850" s="94"/>
      <c r="AD850" s="94"/>
      <c r="AE850" s="89"/>
      <c r="AF850" s="89"/>
      <c r="AG850" s="89"/>
      <c r="AH850" s="89"/>
      <c r="AI850" s="90"/>
      <c r="AJ850" s="90"/>
      <c r="AK850" s="90"/>
      <c r="AL850" s="90"/>
      <c r="AM850" s="91"/>
      <c r="AN850" s="91"/>
      <c r="AO850" s="92"/>
      <c r="AP850" s="92"/>
      <c r="AQ850" s="92"/>
      <c r="AR850" s="92"/>
      <c r="AS850" s="93"/>
      <c r="AT850" s="93"/>
      <c r="AU850" s="93"/>
      <c r="AV850" s="93"/>
      <c r="AW850" s="93"/>
      <c r="AX850" s="92"/>
      <c r="AY850" s="92"/>
      <c r="AZ850" s="90"/>
      <c r="BA850" s="83"/>
      <c r="BB850" s="92"/>
      <c r="BC850" s="92"/>
      <c r="BD850" s="92"/>
      <c r="BE850" s="93"/>
      <c r="BF850" s="92"/>
      <c r="BG850" s="82"/>
      <c r="BH850" s="82"/>
      <c r="BI850" s="29"/>
      <c r="BJ850" s="29"/>
      <c r="BK850" s="29"/>
    </row>
    <row r="851" ht="15.75" hidden="1" customHeight="1">
      <c r="A851" s="75"/>
      <c r="B851" s="73"/>
      <c r="C851" s="76"/>
      <c r="D851" s="76"/>
      <c r="E851" s="76"/>
      <c r="F851" s="77"/>
      <c r="G851" s="78"/>
      <c r="H851" s="76"/>
      <c r="I851" s="76"/>
      <c r="J851" s="79"/>
      <c r="K851" s="80"/>
      <c r="L851" s="81"/>
      <c r="M851" s="81"/>
      <c r="N851" s="82"/>
      <c r="O851" s="83"/>
      <c r="P851" s="84"/>
      <c r="Q851" s="84"/>
      <c r="R851" s="81"/>
      <c r="S851" s="85"/>
      <c r="T851" s="86"/>
      <c r="U851" s="86"/>
      <c r="V851" s="87"/>
      <c r="W851" s="87"/>
      <c r="X851" s="87"/>
      <c r="Y851" s="87"/>
      <c r="Z851" s="87"/>
      <c r="AA851" s="87"/>
      <c r="AB851" s="29"/>
      <c r="AC851" s="94"/>
      <c r="AD851" s="94"/>
      <c r="AE851" s="89"/>
      <c r="AF851" s="89"/>
      <c r="AG851" s="89"/>
      <c r="AH851" s="89"/>
      <c r="AI851" s="90"/>
      <c r="AJ851" s="90"/>
      <c r="AK851" s="90"/>
      <c r="AL851" s="90"/>
      <c r="AM851" s="91"/>
      <c r="AN851" s="91"/>
      <c r="AO851" s="92"/>
      <c r="AP851" s="92"/>
      <c r="AQ851" s="92"/>
      <c r="AR851" s="92"/>
      <c r="AS851" s="93"/>
      <c r="AT851" s="93"/>
      <c r="AU851" s="93"/>
      <c r="AV851" s="93"/>
      <c r="AW851" s="93"/>
      <c r="AX851" s="92"/>
      <c r="AY851" s="92"/>
      <c r="AZ851" s="90"/>
      <c r="BA851" s="83"/>
      <c r="BB851" s="92"/>
      <c r="BC851" s="92"/>
      <c r="BD851" s="92"/>
      <c r="BE851" s="93"/>
      <c r="BF851" s="92"/>
      <c r="BG851" s="82"/>
      <c r="BH851" s="82"/>
      <c r="BI851" s="29"/>
      <c r="BJ851" s="29"/>
      <c r="BK851" s="29"/>
    </row>
    <row r="852" ht="15.75" hidden="1" customHeight="1">
      <c r="A852" s="75"/>
      <c r="B852" s="73"/>
      <c r="C852" s="76"/>
      <c r="D852" s="76"/>
      <c r="E852" s="76"/>
      <c r="F852" s="77"/>
      <c r="G852" s="78"/>
      <c r="H852" s="76"/>
      <c r="I852" s="76"/>
      <c r="J852" s="79"/>
      <c r="K852" s="80"/>
      <c r="L852" s="81"/>
      <c r="M852" s="81"/>
      <c r="N852" s="82"/>
      <c r="O852" s="83"/>
      <c r="P852" s="84"/>
      <c r="Q852" s="84"/>
      <c r="R852" s="81"/>
      <c r="S852" s="85"/>
      <c r="T852" s="86"/>
      <c r="U852" s="86"/>
      <c r="V852" s="87"/>
      <c r="W852" s="87"/>
      <c r="X852" s="87"/>
      <c r="Y852" s="87"/>
      <c r="Z852" s="87"/>
      <c r="AA852" s="87"/>
      <c r="AB852" s="29"/>
      <c r="AC852" s="94"/>
      <c r="AD852" s="94"/>
      <c r="AE852" s="89"/>
      <c r="AF852" s="89"/>
      <c r="AG852" s="89"/>
      <c r="AH852" s="89"/>
      <c r="AI852" s="90"/>
      <c r="AJ852" s="90"/>
      <c r="AK852" s="90"/>
      <c r="AL852" s="90"/>
      <c r="AM852" s="91"/>
      <c r="AN852" s="91"/>
      <c r="AO852" s="92"/>
      <c r="AP852" s="92"/>
      <c r="AQ852" s="92"/>
      <c r="AR852" s="92"/>
      <c r="AS852" s="93"/>
      <c r="AT852" s="93"/>
      <c r="AU852" s="93"/>
      <c r="AV852" s="93"/>
      <c r="AW852" s="93"/>
      <c r="AX852" s="92"/>
      <c r="AY852" s="92"/>
      <c r="AZ852" s="90"/>
      <c r="BA852" s="83"/>
      <c r="BB852" s="92"/>
      <c r="BC852" s="92"/>
      <c r="BD852" s="92"/>
      <c r="BE852" s="93"/>
      <c r="BF852" s="92"/>
      <c r="BG852" s="82"/>
      <c r="BH852" s="82"/>
      <c r="BI852" s="29"/>
      <c r="BJ852" s="29"/>
      <c r="BK852" s="29"/>
    </row>
    <row r="853" ht="15.75" hidden="1" customHeight="1">
      <c r="A853" s="75"/>
      <c r="B853" s="73"/>
      <c r="C853" s="76"/>
      <c r="D853" s="76"/>
      <c r="E853" s="76"/>
      <c r="F853" s="77"/>
      <c r="G853" s="78"/>
      <c r="H853" s="76"/>
      <c r="I853" s="76"/>
      <c r="J853" s="79"/>
      <c r="K853" s="80"/>
      <c r="L853" s="81"/>
      <c r="M853" s="81"/>
      <c r="N853" s="82"/>
      <c r="O853" s="83"/>
      <c r="P853" s="84"/>
      <c r="Q853" s="84"/>
      <c r="R853" s="81"/>
      <c r="S853" s="85"/>
      <c r="T853" s="86"/>
      <c r="U853" s="86"/>
      <c r="V853" s="87"/>
      <c r="W853" s="87"/>
      <c r="X853" s="87"/>
      <c r="Y853" s="87"/>
      <c r="Z853" s="87"/>
      <c r="AA853" s="87"/>
      <c r="AB853" s="29"/>
      <c r="AC853" s="94"/>
      <c r="AD853" s="94"/>
      <c r="AE853" s="89"/>
      <c r="AF853" s="89"/>
      <c r="AG853" s="89"/>
      <c r="AH853" s="89"/>
      <c r="AI853" s="90"/>
      <c r="AJ853" s="90"/>
      <c r="AK853" s="90"/>
      <c r="AL853" s="90"/>
      <c r="AM853" s="91"/>
      <c r="AN853" s="91"/>
      <c r="AO853" s="92"/>
      <c r="AP853" s="92"/>
      <c r="AQ853" s="92"/>
      <c r="AR853" s="92"/>
      <c r="AS853" s="93"/>
      <c r="AT853" s="93"/>
      <c r="AU853" s="93"/>
      <c r="AV853" s="93"/>
      <c r="AW853" s="93"/>
      <c r="AX853" s="92"/>
      <c r="AY853" s="92"/>
      <c r="AZ853" s="90"/>
      <c r="BA853" s="83"/>
      <c r="BB853" s="92"/>
      <c r="BC853" s="92"/>
      <c r="BD853" s="92"/>
      <c r="BE853" s="93"/>
      <c r="BF853" s="92"/>
      <c r="BG853" s="82"/>
      <c r="BH853" s="82"/>
      <c r="BI853" s="29"/>
      <c r="BJ853" s="29"/>
      <c r="BK853" s="29"/>
    </row>
    <row r="854" ht="15.75" hidden="1" customHeight="1">
      <c r="A854" s="75"/>
      <c r="B854" s="73"/>
      <c r="C854" s="76"/>
      <c r="D854" s="76"/>
      <c r="E854" s="76"/>
      <c r="F854" s="77"/>
      <c r="G854" s="78"/>
      <c r="H854" s="76"/>
      <c r="I854" s="76"/>
      <c r="J854" s="79"/>
      <c r="K854" s="80"/>
      <c r="L854" s="81"/>
      <c r="M854" s="81"/>
      <c r="N854" s="82"/>
      <c r="O854" s="83"/>
      <c r="P854" s="84"/>
      <c r="Q854" s="84"/>
      <c r="R854" s="81"/>
      <c r="S854" s="85"/>
      <c r="T854" s="86"/>
      <c r="U854" s="86"/>
      <c r="V854" s="87"/>
      <c r="W854" s="87"/>
      <c r="X854" s="87"/>
      <c r="Y854" s="87"/>
      <c r="Z854" s="87"/>
      <c r="AA854" s="87"/>
      <c r="AB854" s="29"/>
      <c r="AC854" s="94"/>
      <c r="AD854" s="94"/>
      <c r="AE854" s="89"/>
      <c r="AF854" s="89"/>
      <c r="AG854" s="89"/>
      <c r="AH854" s="89"/>
      <c r="AI854" s="90"/>
      <c r="AJ854" s="90"/>
      <c r="AK854" s="90"/>
      <c r="AL854" s="90"/>
      <c r="AM854" s="91"/>
      <c r="AN854" s="91"/>
      <c r="AO854" s="92"/>
      <c r="AP854" s="92"/>
      <c r="AQ854" s="92"/>
      <c r="AR854" s="92"/>
      <c r="AS854" s="93"/>
      <c r="AT854" s="93"/>
      <c r="AU854" s="93"/>
      <c r="AV854" s="93"/>
      <c r="AW854" s="93"/>
      <c r="AX854" s="92"/>
      <c r="AY854" s="92"/>
      <c r="AZ854" s="90"/>
      <c r="BA854" s="83"/>
      <c r="BB854" s="92"/>
      <c r="BC854" s="92"/>
      <c r="BD854" s="92"/>
      <c r="BE854" s="93"/>
      <c r="BF854" s="92"/>
      <c r="BG854" s="82"/>
      <c r="BH854" s="82"/>
      <c r="BI854" s="29"/>
      <c r="BJ854" s="29"/>
      <c r="BK854" s="29"/>
    </row>
    <row r="855" ht="15.75" hidden="1" customHeight="1">
      <c r="A855" s="75"/>
      <c r="B855" s="73"/>
      <c r="C855" s="76"/>
      <c r="D855" s="76"/>
      <c r="E855" s="76"/>
      <c r="F855" s="77"/>
      <c r="G855" s="78"/>
      <c r="H855" s="76"/>
      <c r="I855" s="76"/>
      <c r="J855" s="79"/>
      <c r="K855" s="80"/>
      <c r="L855" s="81"/>
      <c r="M855" s="81"/>
      <c r="N855" s="82"/>
      <c r="O855" s="83"/>
      <c r="P855" s="84"/>
      <c r="Q855" s="84"/>
      <c r="R855" s="81"/>
      <c r="S855" s="85"/>
      <c r="T855" s="86"/>
      <c r="U855" s="86"/>
      <c r="V855" s="87"/>
      <c r="W855" s="87"/>
      <c r="X855" s="87"/>
      <c r="Y855" s="87"/>
      <c r="Z855" s="87"/>
      <c r="AA855" s="87"/>
      <c r="AB855" s="29"/>
      <c r="AC855" s="94"/>
      <c r="AD855" s="94"/>
      <c r="AE855" s="89"/>
      <c r="AF855" s="89"/>
      <c r="AG855" s="89"/>
      <c r="AH855" s="89"/>
      <c r="AI855" s="90"/>
      <c r="AJ855" s="90"/>
      <c r="AK855" s="90"/>
      <c r="AL855" s="90"/>
      <c r="AM855" s="91"/>
      <c r="AN855" s="91"/>
      <c r="AO855" s="92"/>
      <c r="AP855" s="92"/>
      <c r="AQ855" s="92"/>
      <c r="AR855" s="92"/>
      <c r="AS855" s="93"/>
      <c r="AT855" s="93"/>
      <c r="AU855" s="93"/>
      <c r="AV855" s="93"/>
      <c r="AW855" s="93"/>
      <c r="AX855" s="92"/>
      <c r="AY855" s="92"/>
      <c r="AZ855" s="90"/>
      <c r="BA855" s="83"/>
      <c r="BB855" s="92"/>
      <c r="BC855" s="92"/>
      <c r="BD855" s="92"/>
      <c r="BE855" s="93"/>
      <c r="BF855" s="92"/>
      <c r="BG855" s="82"/>
      <c r="BH855" s="82"/>
      <c r="BI855" s="29"/>
      <c r="BJ855" s="29"/>
      <c r="BK855" s="29"/>
    </row>
    <row r="856" ht="15.75" hidden="1" customHeight="1">
      <c r="A856" s="75"/>
      <c r="B856" s="73"/>
      <c r="C856" s="76"/>
      <c r="D856" s="76"/>
      <c r="E856" s="76"/>
      <c r="F856" s="77"/>
      <c r="G856" s="78"/>
      <c r="H856" s="76"/>
      <c r="I856" s="76"/>
      <c r="J856" s="79"/>
      <c r="K856" s="80"/>
      <c r="L856" s="81"/>
      <c r="M856" s="81"/>
      <c r="N856" s="82"/>
      <c r="O856" s="83"/>
      <c r="P856" s="84"/>
      <c r="Q856" s="84"/>
      <c r="R856" s="81"/>
      <c r="S856" s="85"/>
      <c r="T856" s="86"/>
      <c r="U856" s="86"/>
      <c r="V856" s="87"/>
      <c r="W856" s="87"/>
      <c r="X856" s="87"/>
      <c r="Y856" s="87"/>
      <c r="Z856" s="87"/>
      <c r="AA856" s="87"/>
      <c r="AB856" s="29"/>
      <c r="AC856" s="94"/>
      <c r="AD856" s="94"/>
      <c r="AE856" s="89"/>
      <c r="AF856" s="89"/>
      <c r="AG856" s="89"/>
      <c r="AH856" s="89"/>
      <c r="AI856" s="90"/>
      <c r="AJ856" s="90"/>
      <c r="AK856" s="90"/>
      <c r="AL856" s="90"/>
      <c r="AM856" s="91"/>
      <c r="AN856" s="91"/>
      <c r="AO856" s="92"/>
      <c r="AP856" s="92"/>
      <c r="AQ856" s="92"/>
      <c r="AR856" s="92"/>
      <c r="AS856" s="93"/>
      <c r="AT856" s="93"/>
      <c r="AU856" s="93"/>
      <c r="AV856" s="93"/>
      <c r="AW856" s="93"/>
      <c r="AX856" s="92"/>
      <c r="AY856" s="92"/>
      <c r="AZ856" s="90"/>
      <c r="BA856" s="83"/>
      <c r="BB856" s="92"/>
      <c r="BC856" s="92"/>
      <c r="BD856" s="92"/>
      <c r="BE856" s="93"/>
      <c r="BF856" s="92"/>
      <c r="BG856" s="82"/>
      <c r="BH856" s="82"/>
      <c r="BI856" s="29"/>
      <c r="BJ856" s="29"/>
      <c r="BK856" s="29"/>
    </row>
    <row r="857" ht="15.75" hidden="1" customHeight="1">
      <c r="A857" s="75"/>
      <c r="B857" s="73"/>
      <c r="C857" s="76"/>
      <c r="D857" s="76"/>
      <c r="E857" s="76"/>
      <c r="F857" s="77"/>
      <c r="G857" s="78"/>
      <c r="H857" s="76"/>
      <c r="I857" s="76"/>
      <c r="J857" s="79"/>
      <c r="K857" s="80"/>
      <c r="L857" s="81"/>
      <c r="M857" s="81"/>
      <c r="N857" s="82"/>
      <c r="O857" s="83"/>
      <c r="P857" s="84"/>
      <c r="Q857" s="84"/>
      <c r="R857" s="81"/>
      <c r="S857" s="85"/>
      <c r="T857" s="86"/>
      <c r="U857" s="86"/>
      <c r="V857" s="87"/>
      <c r="W857" s="87"/>
      <c r="X857" s="87"/>
      <c r="Y857" s="87"/>
      <c r="Z857" s="87"/>
      <c r="AA857" s="87"/>
      <c r="AB857" s="29"/>
      <c r="AC857" s="94"/>
      <c r="AD857" s="94"/>
      <c r="AE857" s="89"/>
      <c r="AF857" s="89"/>
      <c r="AG857" s="89"/>
      <c r="AH857" s="89"/>
      <c r="AI857" s="90"/>
      <c r="AJ857" s="90"/>
      <c r="AK857" s="90"/>
      <c r="AL857" s="90"/>
      <c r="AM857" s="91"/>
      <c r="AN857" s="91"/>
      <c r="AO857" s="92"/>
      <c r="AP857" s="92"/>
      <c r="AQ857" s="92"/>
      <c r="AR857" s="92"/>
      <c r="AS857" s="93"/>
      <c r="AT857" s="93"/>
      <c r="AU857" s="93"/>
      <c r="AV857" s="93"/>
      <c r="AW857" s="93"/>
      <c r="AX857" s="92"/>
      <c r="AY857" s="92"/>
      <c r="AZ857" s="90"/>
      <c r="BA857" s="83"/>
      <c r="BB857" s="92"/>
      <c r="BC857" s="92"/>
      <c r="BD857" s="92"/>
      <c r="BE857" s="93"/>
      <c r="BF857" s="92"/>
      <c r="BG857" s="82"/>
      <c r="BH857" s="82"/>
      <c r="BI857" s="29"/>
      <c r="BJ857" s="29"/>
      <c r="BK857" s="29"/>
    </row>
    <row r="858" ht="15.75" hidden="1" customHeight="1">
      <c r="A858" s="75"/>
      <c r="B858" s="73"/>
      <c r="C858" s="76"/>
      <c r="D858" s="76"/>
      <c r="E858" s="76"/>
      <c r="F858" s="77"/>
      <c r="G858" s="78"/>
      <c r="H858" s="76"/>
      <c r="I858" s="76"/>
      <c r="J858" s="79"/>
      <c r="K858" s="80"/>
      <c r="L858" s="81"/>
      <c r="M858" s="81"/>
      <c r="N858" s="82"/>
      <c r="O858" s="83"/>
      <c r="P858" s="84"/>
      <c r="Q858" s="84"/>
      <c r="R858" s="81"/>
      <c r="S858" s="85"/>
      <c r="T858" s="86"/>
      <c r="U858" s="86"/>
      <c r="V858" s="87"/>
      <c r="W858" s="87"/>
      <c r="X858" s="87"/>
      <c r="Y858" s="87"/>
      <c r="Z858" s="87"/>
      <c r="AA858" s="87"/>
      <c r="AB858" s="29"/>
      <c r="AC858" s="94"/>
      <c r="AD858" s="94"/>
      <c r="AE858" s="89"/>
      <c r="AF858" s="89"/>
      <c r="AG858" s="89"/>
      <c r="AH858" s="89"/>
      <c r="AI858" s="90"/>
      <c r="AJ858" s="90"/>
      <c r="AK858" s="90"/>
      <c r="AL858" s="90"/>
      <c r="AM858" s="91"/>
      <c r="AN858" s="91"/>
      <c r="AO858" s="92"/>
      <c r="AP858" s="92"/>
      <c r="AQ858" s="92"/>
      <c r="AR858" s="92"/>
      <c r="AS858" s="93"/>
      <c r="AT858" s="93"/>
      <c r="AU858" s="93"/>
      <c r="AV858" s="93"/>
      <c r="AW858" s="93"/>
      <c r="AX858" s="92"/>
      <c r="AY858" s="92"/>
      <c r="AZ858" s="90"/>
      <c r="BA858" s="83"/>
      <c r="BB858" s="92"/>
      <c r="BC858" s="92"/>
      <c r="BD858" s="92"/>
      <c r="BE858" s="93"/>
      <c r="BF858" s="92"/>
      <c r="BG858" s="82"/>
      <c r="BH858" s="82"/>
      <c r="BI858" s="29"/>
      <c r="BJ858" s="29"/>
      <c r="BK858" s="29"/>
    </row>
    <row r="859" ht="15.75" hidden="1" customHeight="1">
      <c r="A859" s="75"/>
      <c r="B859" s="73"/>
      <c r="C859" s="76"/>
      <c r="D859" s="76"/>
      <c r="E859" s="76"/>
      <c r="F859" s="77"/>
      <c r="G859" s="78"/>
      <c r="H859" s="76"/>
      <c r="I859" s="76"/>
      <c r="J859" s="79"/>
      <c r="K859" s="80"/>
      <c r="L859" s="81"/>
      <c r="M859" s="81"/>
      <c r="N859" s="82"/>
      <c r="O859" s="83"/>
      <c r="P859" s="84"/>
      <c r="Q859" s="84"/>
      <c r="R859" s="81"/>
      <c r="S859" s="85"/>
      <c r="T859" s="86"/>
      <c r="U859" s="86"/>
      <c r="V859" s="87"/>
      <c r="W859" s="87"/>
      <c r="X859" s="87"/>
      <c r="Y859" s="87"/>
      <c r="Z859" s="87"/>
      <c r="AA859" s="87"/>
      <c r="AB859" s="29"/>
      <c r="AC859" s="94"/>
      <c r="AD859" s="94"/>
      <c r="AE859" s="89"/>
      <c r="AF859" s="89"/>
      <c r="AG859" s="89"/>
      <c r="AH859" s="89"/>
      <c r="AI859" s="90"/>
      <c r="AJ859" s="90"/>
      <c r="AK859" s="90"/>
      <c r="AL859" s="90"/>
      <c r="AM859" s="91"/>
      <c r="AN859" s="91"/>
      <c r="AO859" s="92"/>
      <c r="AP859" s="92"/>
      <c r="AQ859" s="92"/>
      <c r="AR859" s="92"/>
      <c r="AS859" s="93"/>
      <c r="AT859" s="93"/>
      <c r="AU859" s="93"/>
      <c r="AV859" s="93"/>
      <c r="AW859" s="93"/>
      <c r="AX859" s="92"/>
      <c r="AY859" s="92"/>
      <c r="AZ859" s="90"/>
      <c r="BA859" s="83"/>
      <c r="BB859" s="92"/>
      <c r="BC859" s="92"/>
      <c r="BD859" s="92"/>
      <c r="BE859" s="93"/>
      <c r="BF859" s="92"/>
      <c r="BG859" s="82"/>
      <c r="BH859" s="82"/>
      <c r="BI859" s="29"/>
      <c r="BJ859" s="29"/>
      <c r="BK859" s="29"/>
    </row>
    <row r="860" ht="15.75" hidden="1" customHeight="1">
      <c r="A860" s="75"/>
      <c r="B860" s="73"/>
      <c r="C860" s="76"/>
      <c r="D860" s="76"/>
      <c r="E860" s="76"/>
      <c r="F860" s="77"/>
      <c r="G860" s="78"/>
      <c r="H860" s="76"/>
      <c r="I860" s="76"/>
      <c r="J860" s="79"/>
      <c r="K860" s="80"/>
      <c r="L860" s="81"/>
      <c r="M860" s="81"/>
      <c r="N860" s="82"/>
      <c r="O860" s="83"/>
      <c r="P860" s="84"/>
      <c r="Q860" s="84"/>
      <c r="R860" s="81"/>
      <c r="S860" s="85"/>
      <c r="T860" s="86"/>
      <c r="U860" s="86"/>
      <c r="V860" s="87"/>
      <c r="W860" s="87"/>
      <c r="X860" s="87"/>
      <c r="Y860" s="87"/>
      <c r="Z860" s="87"/>
      <c r="AA860" s="87"/>
      <c r="AB860" s="29"/>
      <c r="AC860" s="94"/>
      <c r="AD860" s="94"/>
      <c r="AE860" s="89"/>
      <c r="AF860" s="89"/>
      <c r="AG860" s="89"/>
      <c r="AH860" s="89"/>
      <c r="AI860" s="90"/>
      <c r="AJ860" s="90"/>
      <c r="AK860" s="90"/>
      <c r="AL860" s="90"/>
      <c r="AM860" s="91"/>
      <c r="AN860" s="91"/>
      <c r="AO860" s="92"/>
      <c r="AP860" s="92"/>
      <c r="AQ860" s="92"/>
      <c r="AR860" s="92"/>
      <c r="AS860" s="93"/>
      <c r="AT860" s="93"/>
      <c r="AU860" s="93"/>
      <c r="AV860" s="93"/>
      <c r="AW860" s="93"/>
      <c r="AX860" s="92"/>
      <c r="AY860" s="92"/>
      <c r="AZ860" s="90"/>
      <c r="BA860" s="83"/>
      <c r="BB860" s="92"/>
      <c r="BC860" s="92"/>
      <c r="BD860" s="92"/>
      <c r="BE860" s="93"/>
      <c r="BF860" s="92"/>
      <c r="BG860" s="82"/>
      <c r="BH860" s="82"/>
      <c r="BI860" s="29"/>
      <c r="BJ860" s="29"/>
      <c r="BK860" s="29"/>
    </row>
    <row r="861" ht="15.75" hidden="1" customHeight="1">
      <c r="A861" s="75"/>
      <c r="B861" s="73"/>
      <c r="C861" s="76"/>
      <c r="D861" s="76"/>
      <c r="E861" s="76"/>
      <c r="F861" s="77"/>
      <c r="G861" s="78"/>
      <c r="H861" s="76"/>
      <c r="I861" s="76"/>
      <c r="J861" s="79"/>
      <c r="K861" s="80"/>
      <c r="L861" s="81"/>
      <c r="M861" s="81"/>
      <c r="N861" s="82"/>
      <c r="O861" s="83"/>
      <c r="P861" s="84"/>
      <c r="Q861" s="84"/>
      <c r="R861" s="81"/>
      <c r="S861" s="85"/>
      <c r="T861" s="86"/>
      <c r="U861" s="86"/>
      <c r="V861" s="87"/>
      <c r="W861" s="87"/>
      <c r="X861" s="87"/>
      <c r="Y861" s="87"/>
      <c r="Z861" s="87"/>
      <c r="AA861" s="87"/>
      <c r="AB861" s="29"/>
      <c r="AC861" s="94"/>
      <c r="AD861" s="94"/>
      <c r="AE861" s="89"/>
      <c r="AF861" s="89"/>
      <c r="AG861" s="89"/>
      <c r="AH861" s="89"/>
      <c r="AI861" s="90"/>
      <c r="AJ861" s="90"/>
      <c r="AK861" s="90"/>
      <c r="AL861" s="90"/>
      <c r="AM861" s="91"/>
      <c r="AN861" s="91"/>
      <c r="AO861" s="92"/>
      <c r="AP861" s="92"/>
      <c r="AQ861" s="92"/>
      <c r="AR861" s="92"/>
      <c r="AS861" s="93"/>
      <c r="AT861" s="93"/>
      <c r="AU861" s="93"/>
      <c r="AV861" s="93"/>
      <c r="AW861" s="93"/>
      <c r="AX861" s="92"/>
      <c r="AY861" s="92"/>
      <c r="AZ861" s="90"/>
      <c r="BA861" s="83"/>
      <c r="BB861" s="92"/>
      <c r="BC861" s="92"/>
      <c r="BD861" s="92"/>
      <c r="BE861" s="93"/>
      <c r="BF861" s="92"/>
      <c r="BG861" s="82"/>
      <c r="BH861" s="82"/>
      <c r="BI861" s="29"/>
      <c r="BJ861" s="29"/>
      <c r="BK861" s="29"/>
    </row>
    <row r="862" ht="15.75" hidden="1" customHeight="1">
      <c r="A862" s="75"/>
      <c r="B862" s="73"/>
      <c r="C862" s="76"/>
      <c r="D862" s="76"/>
      <c r="E862" s="76"/>
      <c r="F862" s="77"/>
      <c r="G862" s="78"/>
      <c r="H862" s="76"/>
      <c r="I862" s="76"/>
      <c r="J862" s="79"/>
      <c r="K862" s="80"/>
      <c r="L862" s="81"/>
      <c r="M862" s="81"/>
      <c r="N862" s="82"/>
      <c r="O862" s="83"/>
      <c r="P862" s="84"/>
      <c r="Q862" s="84"/>
      <c r="R862" s="81"/>
      <c r="S862" s="85"/>
      <c r="T862" s="86"/>
      <c r="U862" s="86"/>
      <c r="V862" s="87"/>
      <c r="W862" s="87"/>
      <c r="X862" s="87"/>
      <c r="Y862" s="87"/>
      <c r="Z862" s="87"/>
      <c r="AA862" s="87"/>
      <c r="AB862" s="29"/>
      <c r="AC862" s="94"/>
      <c r="AD862" s="94"/>
      <c r="AE862" s="89"/>
      <c r="AF862" s="89"/>
      <c r="AG862" s="89"/>
      <c r="AH862" s="89"/>
      <c r="AI862" s="90"/>
      <c r="AJ862" s="90"/>
      <c r="AK862" s="90"/>
      <c r="AL862" s="90"/>
      <c r="AM862" s="91"/>
      <c r="AN862" s="91"/>
      <c r="AO862" s="92"/>
      <c r="AP862" s="92"/>
      <c r="AQ862" s="92"/>
      <c r="AR862" s="92"/>
      <c r="AS862" s="93"/>
      <c r="AT862" s="93"/>
      <c r="AU862" s="93"/>
      <c r="AV862" s="93"/>
      <c r="AW862" s="93"/>
      <c r="AX862" s="92"/>
      <c r="AY862" s="92"/>
      <c r="AZ862" s="90"/>
      <c r="BA862" s="83"/>
      <c r="BB862" s="92"/>
      <c r="BC862" s="92"/>
      <c r="BD862" s="92"/>
      <c r="BE862" s="93"/>
      <c r="BF862" s="92"/>
      <c r="BG862" s="82"/>
      <c r="BH862" s="82"/>
      <c r="BI862" s="29"/>
      <c r="BJ862" s="29"/>
      <c r="BK862" s="29"/>
    </row>
    <row r="863" ht="15.75" hidden="1" customHeight="1">
      <c r="A863" s="75"/>
      <c r="B863" s="73"/>
      <c r="C863" s="76"/>
      <c r="D863" s="76"/>
      <c r="E863" s="76"/>
      <c r="F863" s="77"/>
      <c r="G863" s="78"/>
      <c r="H863" s="76"/>
      <c r="I863" s="76"/>
      <c r="J863" s="79"/>
      <c r="K863" s="80"/>
      <c r="L863" s="81"/>
      <c r="M863" s="81"/>
      <c r="N863" s="82"/>
      <c r="O863" s="83"/>
      <c r="P863" s="84"/>
      <c r="Q863" s="84"/>
      <c r="R863" s="81"/>
      <c r="S863" s="85"/>
      <c r="T863" s="86"/>
      <c r="U863" s="86"/>
      <c r="V863" s="87"/>
      <c r="W863" s="87"/>
      <c r="X863" s="87"/>
      <c r="Y863" s="87"/>
      <c r="Z863" s="87"/>
      <c r="AA863" s="87"/>
      <c r="AB863" s="29"/>
      <c r="AC863" s="94"/>
      <c r="AD863" s="94"/>
      <c r="AE863" s="89"/>
      <c r="AF863" s="89"/>
      <c r="AG863" s="89"/>
      <c r="AH863" s="89"/>
      <c r="AI863" s="90"/>
      <c r="AJ863" s="90"/>
      <c r="AK863" s="90"/>
      <c r="AL863" s="90"/>
      <c r="AM863" s="91"/>
      <c r="AN863" s="91"/>
      <c r="AO863" s="92"/>
      <c r="AP863" s="92"/>
      <c r="AQ863" s="92"/>
      <c r="AR863" s="92"/>
      <c r="AS863" s="93"/>
      <c r="AT863" s="93"/>
      <c r="AU863" s="93"/>
      <c r="AV863" s="93"/>
      <c r="AW863" s="93"/>
      <c r="AX863" s="92"/>
      <c r="AY863" s="92"/>
      <c r="AZ863" s="90"/>
      <c r="BA863" s="83"/>
      <c r="BB863" s="92"/>
      <c r="BC863" s="92"/>
      <c r="BD863" s="92"/>
      <c r="BE863" s="93"/>
      <c r="BF863" s="92"/>
      <c r="BG863" s="82"/>
      <c r="BH863" s="82"/>
      <c r="BI863" s="29"/>
      <c r="BJ863" s="29"/>
      <c r="BK863" s="29"/>
    </row>
    <row r="864" ht="15.75" hidden="1" customHeight="1">
      <c r="A864" s="75"/>
      <c r="B864" s="73"/>
      <c r="C864" s="76"/>
      <c r="D864" s="76"/>
      <c r="E864" s="76"/>
      <c r="F864" s="77"/>
      <c r="G864" s="78"/>
      <c r="H864" s="76"/>
      <c r="I864" s="76"/>
      <c r="J864" s="79"/>
      <c r="K864" s="80"/>
      <c r="L864" s="81"/>
      <c r="M864" s="81"/>
      <c r="N864" s="82"/>
      <c r="O864" s="83"/>
      <c r="P864" s="84"/>
      <c r="Q864" s="84"/>
      <c r="R864" s="81"/>
      <c r="S864" s="85"/>
      <c r="T864" s="86"/>
      <c r="U864" s="86"/>
      <c r="V864" s="87"/>
      <c r="W864" s="87"/>
      <c r="X864" s="87"/>
      <c r="Y864" s="87"/>
      <c r="Z864" s="87"/>
      <c r="AA864" s="87"/>
      <c r="AB864" s="29"/>
      <c r="AC864" s="94"/>
      <c r="AD864" s="94"/>
      <c r="AE864" s="89"/>
      <c r="AF864" s="89"/>
      <c r="AG864" s="89"/>
      <c r="AH864" s="89"/>
      <c r="AI864" s="90"/>
      <c r="AJ864" s="90"/>
      <c r="AK864" s="90"/>
      <c r="AL864" s="90"/>
      <c r="AM864" s="91"/>
      <c r="AN864" s="91"/>
      <c r="AO864" s="92"/>
      <c r="AP864" s="92"/>
      <c r="AQ864" s="92"/>
      <c r="AR864" s="92"/>
      <c r="AS864" s="93"/>
      <c r="AT864" s="93"/>
      <c r="AU864" s="93"/>
      <c r="AV864" s="93"/>
      <c r="AW864" s="93"/>
      <c r="AX864" s="92"/>
      <c r="AY864" s="92"/>
      <c r="AZ864" s="90"/>
      <c r="BA864" s="83"/>
      <c r="BB864" s="92"/>
      <c r="BC864" s="92"/>
      <c r="BD864" s="92"/>
      <c r="BE864" s="93"/>
      <c r="BF864" s="92"/>
      <c r="BG864" s="82"/>
      <c r="BH864" s="82"/>
      <c r="BI864" s="29"/>
      <c r="BJ864" s="29"/>
      <c r="BK864" s="29"/>
    </row>
    <row r="865" ht="15.75" hidden="1" customHeight="1">
      <c r="A865" s="75"/>
      <c r="B865" s="73"/>
      <c r="C865" s="76"/>
      <c r="D865" s="76"/>
      <c r="E865" s="76"/>
      <c r="F865" s="77"/>
      <c r="G865" s="78"/>
      <c r="H865" s="76"/>
      <c r="I865" s="76"/>
      <c r="J865" s="79"/>
      <c r="K865" s="80"/>
      <c r="L865" s="81"/>
      <c r="M865" s="81"/>
      <c r="N865" s="82"/>
      <c r="O865" s="83"/>
      <c r="P865" s="84"/>
      <c r="Q865" s="84"/>
      <c r="R865" s="81"/>
      <c r="S865" s="85"/>
      <c r="T865" s="86"/>
      <c r="U865" s="86"/>
      <c r="V865" s="87"/>
      <c r="W865" s="87"/>
      <c r="X865" s="87"/>
      <c r="Y865" s="87"/>
      <c r="Z865" s="87"/>
      <c r="AA865" s="87"/>
      <c r="AB865" s="29"/>
      <c r="AC865" s="94"/>
      <c r="AD865" s="94"/>
      <c r="AE865" s="89"/>
      <c r="AF865" s="89"/>
      <c r="AG865" s="89"/>
      <c r="AH865" s="89"/>
      <c r="AI865" s="90"/>
      <c r="AJ865" s="90"/>
      <c r="AK865" s="90"/>
      <c r="AL865" s="90"/>
      <c r="AM865" s="91"/>
      <c r="AN865" s="91"/>
      <c r="AO865" s="92"/>
      <c r="AP865" s="92"/>
      <c r="AQ865" s="92"/>
      <c r="AR865" s="92"/>
      <c r="AS865" s="93"/>
      <c r="AT865" s="93"/>
      <c r="AU865" s="93"/>
      <c r="AV865" s="93"/>
      <c r="AW865" s="93"/>
      <c r="AX865" s="92"/>
      <c r="AY865" s="92"/>
      <c r="AZ865" s="90"/>
      <c r="BA865" s="83"/>
      <c r="BB865" s="92"/>
      <c r="BC865" s="92"/>
      <c r="BD865" s="92"/>
      <c r="BE865" s="93"/>
      <c r="BF865" s="92"/>
      <c r="BG865" s="82"/>
      <c r="BH865" s="82"/>
      <c r="BI865" s="29"/>
      <c r="BJ865" s="29"/>
      <c r="BK865" s="29"/>
    </row>
    <row r="866" ht="15.75" hidden="1" customHeight="1">
      <c r="A866" s="75"/>
      <c r="B866" s="73"/>
      <c r="C866" s="76"/>
      <c r="D866" s="76"/>
      <c r="E866" s="76"/>
      <c r="F866" s="77"/>
      <c r="G866" s="78"/>
      <c r="H866" s="76"/>
      <c r="I866" s="76"/>
      <c r="J866" s="79"/>
      <c r="K866" s="80"/>
      <c r="L866" s="81"/>
      <c r="M866" s="81"/>
      <c r="N866" s="82"/>
      <c r="O866" s="83"/>
      <c r="P866" s="84"/>
      <c r="Q866" s="84"/>
      <c r="R866" s="81"/>
      <c r="S866" s="85"/>
      <c r="T866" s="86"/>
      <c r="U866" s="86"/>
      <c r="V866" s="87"/>
      <c r="W866" s="87"/>
      <c r="X866" s="87"/>
      <c r="Y866" s="87"/>
      <c r="Z866" s="87"/>
      <c r="AA866" s="87"/>
      <c r="AB866" s="29"/>
      <c r="AC866" s="94"/>
      <c r="AD866" s="94"/>
      <c r="AE866" s="89"/>
      <c r="AF866" s="89"/>
      <c r="AG866" s="89"/>
      <c r="AH866" s="89"/>
      <c r="AI866" s="90"/>
      <c r="AJ866" s="90"/>
      <c r="AK866" s="90"/>
      <c r="AL866" s="90"/>
      <c r="AM866" s="91"/>
      <c r="AN866" s="91"/>
      <c r="AO866" s="92"/>
      <c r="AP866" s="92"/>
      <c r="AQ866" s="92"/>
      <c r="AR866" s="92"/>
      <c r="AS866" s="93"/>
      <c r="AT866" s="93"/>
      <c r="AU866" s="93"/>
      <c r="AV866" s="93"/>
      <c r="AW866" s="93"/>
      <c r="AX866" s="92"/>
      <c r="AY866" s="92"/>
      <c r="AZ866" s="90"/>
      <c r="BA866" s="83"/>
      <c r="BB866" s="92"/>
      <c r="BC866" s="92"/>
      <c r="BD866" s="92"/>
      <c r="BE866" s="93"/>
      <c r="BF866" s="92"/>
      <c r="BG866" s="82"/>
      <c r="BH866" s="82"/>
      <c r="BI866" s="29"/>
      <c r="BJ866" s="29"/>
      <c r="BK866" s="29"/>
    </row>
    <row r="867" ht="15.75" hidden="1" customHeight="1">
      <c r="A867" s="75"/>
      <c r="B867" s="73"/>
      <c r="C867" s="76"/>
      <c r="D867" s="76"/>
      <c r="E867" s="76"/>
      <c r="F867" s="77"/>
      <c r="G867" s="78"/>
      <c r="H867" s="76"/>
      <c r="I867" s="76"/>
      <c r="J867" s="79"/>
      <c r="K867" s="80"/>
      <c r="L867" s="81"/>
      <c r="M867" s="81"/>
      <c r="N867" s="82"/>
      <c r="O867" s="83"/>
      <c r="P867" s="84"/>
      <c r="Q867" s="84"/>
      <c r="R867" s="81"/>
      <c r="S867" s="85"/>
      <c r="T867" s="86"/>
      <c r="U867" s="86"/>
      <c r="V867" s="87"/>
      <c r="W867" s="87"/>
      <c r="X867" s="87"/>
      <c r="Y867" s="87"/>
      <c r="Z867" s="87"/>
      <c r="AA867" s="87"/>
      <c r="AB867" s="29"/>
      <c r="AC867" s="94"/>
      <c r="AD867" s="94"/>
      <c r="AE867" s="89"/>
      <c r="AF867" s="89"/>
      <c r="AG867" s="89"/>
      <c r="AH867" s="89"/>
      <c r="AI867" s="90"/>
      <c r="AJ867" s="90"/>
      <c r="AK867" s="90"/>
      <c r="AL867" s="90"/>
      <c r="AM867" s="91"/>
      <c r="AN867" s="91"/>
      <c r="AO867" s="92"/>
      <c r="AP867" s="92"/>
      <c r="AQ867" s="92"/>
      <c r="AR867" s="92"/>
      <c r="AS867" s="93"/>
      <c r="AT867" s="93"/>
      <c r="AU867" s="93"/>
      <c r="AV867" s="93"/>
      <c r="AW867" s="93"/>
      <c r="AX867" s="92"/>
      <c r="AY867" s="92"/>
      <c r="AZ867" s="90"/>
      <c r="BA867" s="83"/>
      <c r="BB867" s="92"/>
      <c r="BC867" s="92"/>
      <c r="BD867" s="92"/>
      <c r="BE867" s="93"/>
      <c r="BF867" s="92"/>
      <c r="BG867" s="82"/>
      <c r="BH867" s="82"/>
      <c r="BI867" s="29"/>
      <c r="BJ867" s="29"/>
      <c r="BK867" s="29"/>
    </row>
    <row r="868" ht="15.75" hidden="1" customHeight="1">
      <c r="A868" s="75"/>
      <c r="B868" s="73"/>
      <c r="C868" s="76"/>
      <c r="D868" s="76"/>
      <c r="E868" s="76"/>
      <c r="F868" s="77"/>
      <c r="G868" s="78"/>
      <c r="H868" s="76"/>
      <c r="I868" s="76"/>
      <c r="J868" s="79"/>
      <c r="K868" s="80"/>
      <c r="L868" s="81"/>
      <c r="M868" s="81"/>
      <c r="N868" s="82"/>
      <c r="O868" s="83"/>
      <c r="P868" s="84"/>
      <c r="Q868" s="84"/>
      <c r="R868" s="81"/>
      <c r="S868" s="85"/>
      <c r="T868" s="86"/>
      <c r="U868" s="86"/>
      <c r="V868" s="87"/>
      <c r="W868" s="87"/>
      <c r="X868" s="87"/>
      <c r="Y868" s="87"/>
      <c r="Z868" s="87"/>
      <c r="AA868" s="87"/>
      <c r="AB868" s="29"/>
      <c r="AC868" s="94"/>
      <c r="AD868" s="94"/>
      <c r="AE868" s="89"/>
      <c r="AF868" s="89"/>
      <c r="AG868" s="89"/>
      <c r="AH868" s="89"/>
      <c r="AI868" s="90"/>
      <c r="AJ868" s="90"/>
      <c r="AK868" s="90"/>
      <c r="AL868" s="90"/>
      <c r="AM868" s="91"/>
      <c r="AN868" s="91"/>
      <c r="AO868" s="92"/>
      <c r="AP868" s="92"/>
      <c r="AQ868" s="92"/>
      <c r="AR868" s="92"/>
      <c r="AS868" s="93"/>
      <c r="AT868" s="93"/>
      <c r="AU868" s="93"/>
      <c r="AV868" s="93"/>
      <c r="AW868" s="93"/>
      <c r="AX868" s="92"/>
      <c r="AY868" s="92"/>
      <c r="AZ868" s="90"/>
      <c r="BA868" s="83"/>
      <c r="BB868" s="92"/>
      <c r="BC868" s="92"/>
      <c r="BD868" s="92"/>
      <c r="BE868" s="93"/>
      <c r="BF868" s="92"/>
      <c r="BG868" s="82"/>
      <c r="BH868" s="82"/>
      <c r="BI868" s="29"/>
      <c r="BJ868" s="29"/>
      <c r="BK868" s="29"/>
    </row>
    <row r="869" ht="15.75" hidden="1" customHeight="1">
      <c r="A869" s="75"/>
      <c r="B869" s="73"/>
      <c r="C869" s="76"/>
      <c r="D869" s="76"/>
      <c r="E869" s="76"/>
      <c r="F869" s="77"/>
      <c r="G869" s="78"/>
      <c r="H869" s="76"/>
      <c r="I869" s="76"/>
      <c r="J869" s="79"/>
      <c r="K869" s="80"/>
      <c r="L869" s="81"/>
      <c r="M869" s="81"/>
      <c r="N869" s="82"/>
      <c r="O869" s="83"/>
      <c r="P869" s="84"/>
      <c r="Q869" s="84"/>
      <c r="R869" s="81"/>
      <c r="S869" s="85"/>
      <c r="T869" s="86"/>
      <c r="U869" s="86"/>
      <c r="V869" s="87"/>
      <c r="W869" s="87"/>
      <c r="X869" s="87"/>
      <c r="Y869" s="87"/>
      <c r="Z869" s="87"/>
      <c r="AA869" s="87"/>
      <c r="AB869" s="29"/>
      <c r="AC869" s="94"/>
      <c r="AD869" s="94"/>
      <c r="AE869" s="89"/>
      <c r="AF869" s="89"/>
      <c r="AG869" s="89"/>
      <c r="AH869" s="89"/>
      <c r="AI869" s="90"/>
      <c r="AJ869" s="90"/>
      <c r="AK869" s="90"/>
      <c r="AL869" s="90"/>
      <c r="AM869" s="91"/>
      <c r="AN869" s="91"/>
      <c r="AO869" s="92"/>
      <c r="AP869" s="92"/>
      <c r="AQ869" s="92"/>
      <c r="AR869" s="92"/>
      <c r="AS869" s="93"/>
      <c r="AT869" s="93"/>
      <c r="AU869" s="93"/>
      <c r="AV869" s="93"/>
      <c r="AW869" s="93"/>
      <c r="AX869" s="92"/>
      <c r="AY869" s="92"/>
      <c r="AZ869" s="90"/>
      <c r="BA869" s="83"/>
      <c r="BB869" s="92"/>
      <c r="BC869" s="92"/>
      <c r="BD869" s="92"/>
      <c r="BE869" s="93"/>
      <c r="BF869" s="92"/>
      <c r="BG869" s="82"/>
      <c r="BH869" s="82"/>
      <c r="BI869" s="29"/>
      <c r="BJ869" s="29"/>
      <c r="BK869" s="29"/>
    </row>
    <row r="870" ht="15.75" hidden="1" customHeight="1">
      <c r="A870" s="75"/>
      <c r="B870" s="73"/>
      <c r="C870" s="76"/>
      <c r="D870" s="76"/>
      <c r="E870" s="76"/>
      <c r="F870" s="77"/>
      <c r="G870" s="78"/>
      <c r="H870" s="76"/>
      <c r="I870" s="76"/>
      <c r="J870" s="79"/>
      <c r="K870" s="80"/>
      <c r="L870" s="81"/>
      <c r="M870" s="81"/>
      <c r="N870" s="82"/>
      <c r="O870" s="83"/>
      <c r="P870" s="84"/>
      <c r="Q870" s="84"/>
      <c r="R870" s="81"/>
      <c r="S870" s="85"/>
      <c r="T870" s="86"/>
      <c r="U870" s="86"/>
      <c r="V870" s="87"/>
      <c r="W870" s="87"/>
      <c r="X870" s="87"/>
      <c r="Y870" s="87"/>
      <c r="Z870" s="87"/>
      <c r="AA870" s="87"/>
      <c r="AB870" s="29"/>
      <c r="AC870" s="94"/>
      <c r="AD870" s="94"/>
      <c r="AE870" s="89"/>
      <c r="AF870" s="89"/>
      <c r="AG870" s="89"/>
      <c r="AH870" s="89"/>
      <c r="AI870" s="90"/>
      <c r="AJ870" s="90"/>
      <c r="AK870" s="90"/>
      <c r="AL870" s="90"/>
      <c r="AM870" s="91"/>
      <c r="AN870" s="91"/>
      <c r="AO870" s="92"/>
      <c r="AP870" s="92"/>
      <c r="AQ870" s="92"/>
      <c r="AR870" s="92"/>
      <c r="AS870" s="93"/>
      <c r="AT870" s="93"/>
      <c r="AU870" s="93"/>
      <c r="AV870" s="93"/>
      <c r="AW870" s="93"/>
      <c r="AX870" s="92"/>
      <c r="AY870" s="92"/>
      <c r="AZ870" s="90"/>
      <c r="BA870" s="83"/>
      <c r="BB870" s="92"/>
      <c r="BC870" s="92"/>
      <c r="BD870" s="92"/>
      <c r="BE870" s="93"/>
      <c r="BF870" s="92"/>
      <c r="BG870" s="82"/>
      <c r="BH870" s="82"/>
      <c r="BI870" s="29"/>
      <c r="BJ870" s="29"/>
      <c r="BK870" s="29"/>
    </row>
    <row r="871" ht="15.75" hidden="1" customHeight="1">
      <c r="A871" s="75"/>
      <c r="B871" s="73"/>
      <c r="C871" s="76"/>
      <c r="D871" s="76"/>
      <c r="E871" s="76"/>
      <c r="F871" s="77"/>
      <c r="G871" s="78"/>
      <c r="H871" s="76"/>
      <c r="I871" s="76"/>
      <c r="J871" s="79"/>
      <c r="K871" s="80"/>
      <c r="L871" s="81"/>
      <c r="M871" s="81"/>
      <c r="N871" s="82"/>
      <c r="O871" s="83"/>
      <c r="P871" s="84"/>
      <c r="Q871" s="84"/>
      <c r="R871" s="81"/>
      <c r="S871" s="85"/>
      <c r="T871" s="86"/>
      <c r="U871" s="86"/>
      <c r="V871" s="87"/>
      <c r="W871" s="87"/>
      <c r="X871" s="87"/>
      <c r="Y871" s="87"/>
      <c r="Z871" s="87"/>
      <c r="AA871" s="87"/>
      <c r="AB871" s="29"/>
      <c r="AC871" s="94"/>
      <c r="AD871" s="94"/>
      <c r="AE871" s="89"/>
      <c r="AF871" s="89"/>
      <c r="AG871" s="89"/>
      <c r="AH871" s="89"/>
      <c r="AI871" s="90"/>
      <c r="AJ871" s="90"/>
      <c r="AK871" s="90"/>
      <c r="AL871" s="90"/>
      <c r="AM871" s="91"/>
      <c r="AN871" s="91"/>
      <c r="AO871" s="92"/>
      <c r="AP871" s="92"/>
      <c r="AQ871" s="92"/>
      <c r="AR871" s="92"/>
      <c r="AS871" s="93"/>
      <c r="AT871" s="93"/>
      <c r="AU871" s="93"/>
      <c r="AV871" s="93"/>
      <c r="AW871" s="93"/>
      <c r="AX871" s="92"/>
      <c r="AY871" s="92"/>
      <c r="AZ871" s="90"/>
      <c r="BA871" s="83"/>
      <c r="BB871" s="92"/>
      <c r="BC871" s="92"/>
      <c r="BD871" s="92"/>
      <c r="BE871" s="93"/>
      <c r="BF871" s="92"/>
      <c r="BG871" s="82"/>
      <c r="BH871" s="82"/>
      <c r="BI871" s="29"/>
      <c r="BJ871" s="29"/>
      <c r="BK871" s="29"/>
    </row>
    <row r="872" ht="15.75" hidden="1" customHeight="1">
      <c r="A872" s="75"/>
      <c r="B872" s="73"/>
      <c r="C872" s="76"/>
      <c r="D872" s="76"/>
      <c r="E872" s="76"/>
      <c r="F872" s="77"/>
      <c r="G872" s="78"/>
      <c r="H872" s="76"/>
      <c r="I872" s="76"/>
      <c r="J872" s="79"/>
      <c r="K872" s="80"/>
      <c r="L872" s="81"/>
      <c r="M872" s="81"/>
      <c r="N872" s="82"/>
      <c r="O872" s="83"/>
      <c r="P872" s="84"/>
      <c r="Q872" s="84"/>
      <c r="R872" s="81"/>
      <c r="S872" s="85"/>
      <c r="T872" s="86"/>
      <c r="U872" s="86"/>
      <c r="V872" s="87"/>
      <c r="W872" s="87"/>
      <c r="X872" s="87"/>
      <c r="Y872" s="87"/>
      <c r="Z872" s="87"/>
      <c r="AA872" s="87"/>
      <c r="AB872" s="29"/>
      <c r="AC872" s="94"/>
      <c r="AD872" s="94"/>
      <c r="AE872" s="89"/>
      <c r="AF872" s="89"/>
      <c r="AG872" s="89"/>
      <c r="AH872" s="89"/>
      <c r="AI872" s="90"/>
      <c r="AJ872" s="90"/>
      <c r="AK872" s="90"/>
      <c r="AL872" s="90"/>
      <c r="AM872" s="91"/>
      <c r="AN872" s="91"/>
      <c r="AO872" s="92"/>
      <c r="AP872" s="92"/>
      <c r="AQ872" s="92"/>
      <c r="AR872" s="92"/>
      <c r="AS872" s="93"/>
      <c r="AT872" s="93"/>
      <c r="AU872" s="93"/>
      <c r="AV872" s="93"/>
      <c r="AW872" s="93"/>
      <c r="AX872" s="92"/>
      <c r="AY872" s="92"/>
      <c r="AZ872" s="90"/>
      <c r="BA872" s="83"/>
      <c r="BB872" s="92"/>
      <c r="BC872" s="92"/>
      <c r="BD872" s="92"/>
      <c r="BE872" s="93"/>
      <c r="BF872" s="92"/>
      <c r="BG872" s="82"/>
      <c r="BH872" s="82"/>
      <c r="BI872" s="29"/>
      <c r="BJ872" s="29"/>
      <c r="BK872" s="29"/>
    </row>
    <row r="873" ht="15.75" hidden="1" customHeight="1">
      <c r="A873" s="75"/>
      <c r="B873" s="73"/>
      <c r="C873" s="76"/>
      <c r="D873" s="76"/>
      <c r="E873" s="76"/>
      <c r="F873" s="77"/>
      <c r="G873" s="78"/>
      <c r="H873" s="76"/>
      <c r="I873" s="76"/>
      <c r="J873" s="79"/>
      <c r="K873" s="80"/>
      <c r="L873" s="81"/>
      <c r="M873" s="81"/>
      <c r="N873" s="82"/>
      <c r="O873" s="83"/>
      <c r="P873" s="84"/>
      <c r="Q873" s="84"/>
      <c r="R873" s="81"/>
      <c r="S873" s="85"/>
      <c r="T873" s="86"/>
      <c r="U873" s="86"/>
      <c r="V873" s="87"/>
      <c r="W873" s="87"/>
      <c r="X873" s="87"/>
      <c r="Y873" s="87"/>
      <c r="Z873" s="87"/>
      <c r="AA873" s="87"/>
      <c r="AB873" s="29"/>
      <c r="AC873" s="94"/>
      <c r="AD873" s="94"/>
      <c r="AE873" s="89"/>
      <c r="AF873" s="89"/>
      <c r="AG873" s="89"/>
      <c r="AH873" s="89"/>
      <c r="AI873" s="90"/>
      <c r="AJ873" s="90"/>
      <c r="AK873" s="90"/>
      <c r="AL873" s="90"/>
      <c r="AM873" s="91"/>
      <c r="AN873" s="91"/>
      <c r="AO873" s="92"/>
      <c r="AP873" s="92"/>
      <c r="AQ873" s="92"/>
      <c r="AR873" s="92"/>
      <c r="AS873" s="93"/>
      <c r="AT873" s="93"/>
      <c r="AU873" s="93"/>
      <c r="AV873" s="93"/>
      <c r="AW873" s="93"/>
      <c r="AX873" s="92"/>
      <c r="AY873" s="92"/>
      <c r="AZ873" s="90"/>
      <c r="BA873" s="83"/>
      <c r="BB873" s="92"/>
      <c r="BC873" s="92"/>
      <c r="BD873" s="92"/>
      <c r="BE873" s="93"/>
      <c r="BF873" s="92"/>
      <c r="BG873" s="82"/>
      <c r="BH873" s="82"/>
      <c r="BI873" s="29"/>
      <c r="BJ873" s="29"/>
      <c r="BK873" s="29"/>
    </row>
    <row r="874" ht="15.75" hidden="1" customHeight="1">
      <c r="A874" s="75"/>
      <c r="B874" s="73"/>
      <c r="C874" s="76"/>
      <c r="D874" s="76"/>
      <c r="E874" s="76"/>
      <c r="F874" s="77"/>
      <c r="G874" s="78"/>
      <c r="H874" s="76"/>
      <c r="I874" s="76"/>
      <c r="J874" s="79"/>
      <c r="K874" s="80"/>
      <c r="L874" s="81"/>
      <c r="M874" s="81"/>
      <c r="N874" s="82"/>
      <c r="O874" s="83"/>
      <c r="P874" s="84"/>
      <c r="Q874" s="84"/>
      <c r="R874" s="81"/>
      <c r="S874" s="85"/>
      <c r="T874" s="86"/>
      <c r="U874" s="86"/>
      <c r="V874" s="87"/>
      <c r="W874" s="87"/>
      <c r="X874" s="87"/>
      <c r="Y874" s="87"/>
      <c r="Z874" s="87"/>
      <c r="AA874" s="87"/>
      <c r="AB874" s="29"/>
      <c r="AC874" s="94"/>
      <c r="AD874" s="94"/>
      <c r="AE874" s="89"/>
      <c r="AF874" s="89"/>
      <c r="AG874" s="89"/>
      <c r="AH874" s="89"/>
      <c r="AI874" s="90"/>
      <c r="AJ874" s="90"/>
      <c r="AK874" s="90"/>
      <c r="AL874" s="90"/>
      <c r="AM874" s="91"/>
      <c r="AN874" s="91"/>
      <c r="AO874" s="92"/>
      <c r="AP874" s="92"/>
      <c r="AQ874" s="92"/>
      <c r="AR874" s="92"/>
      <c r="AS874" s="93"/>
      <c r="AT874" s="93"/>
      <c r="AU874" s="93"/>
      <c r="AV874" s="93"/>
      <c r="AW874" s="93"/>
      <c r="AX874" s="92"/>
      <c r="AY874" s="92"/>
      <c r="AZ874" s="90"/>
      <c r="BA874" s="83"/>
      <c r="BB874" s="92"/>
      <c r="BC874" s="92"/>
      <c r="BD874" s="92"/>
      <c r="BE874" s="93"/>
      <c r="BF874" s="92"/>
      <c r="BG874" s="82"/>
      <c r="BH874" s="82"/>
      <c r="BI874" s="29"/>
      <c r="BJ874" s="29"/>
      <c r="BK874" s="29"/>
    </row>
    <row r="875" ht="15.75" hidden="1" customHeight="1">
      <c r="A875" s="75"/>
      <c r="B875" s="73"/>
      <c r="C875" s="76"/>
      <c r="D875" s="76"/>
      <c r="E875" s="76"/>
      <c r="F875" s="77"/>
      <c r="G875" s="78"/>
      <c r="H875" s="76"/>
      <c r="I875" s="76"/>
      <c r="J875" s="79"/>
      <c r="K875" s="80"/>
      <c r="L875" s="81"/>
      <c r="M875" s="81"/>
      <c r="N875" s="82"/>
      <c r="O875" s="83"/>
      <c r="P875" s="84"/>
      <c r="Q875" s="84"/>
      <c r="R875" s="81"/>
      <c r="S875" s="85"/>
      <c r="T875" s="86"/>
      <c r="U875" s="86"/>
      <c r="V875" s="87"/>
      <c r="W875" s="87"/>
      <c r="X875" s="87"/>
      <c r="Y875" s="87"/>
      <c r="Z875" s="87"/>
      <c r="AA875" s="87"/>
      <c r="AB875" s="29"/>
      <c r="AC875" s="94"/>
      <c r="AD875" s="94"/>
      <c r="AE875" s="89"/>
      <c r="AF875" s="89"/>
      <c r="AG875" s="89"/>
      <c r="AH875" s="89"/>
      <c r="AI875" s="90"/>
      <c r="AJ875" s="90"/>
      <c r="AK875" s="90"/>
      <c r="AL875" s="90"/>
      <c r="AM875" s="91"/>
      <c r="AN875" s="91"/>
      <c r="AO875" s="92"/>
      <c r="AP875" s="92"/>
      <c r="AQ875" s="92"/>
      <c r="AR875" s="92"/>
      <c r="AS875" s="93"/>
      <c r="AT875" s="93"/>
      <c r="AU875" s="93"/>
      <c r="AV875" s="93"/>
      <c r="AW875" s="93"/>
      <c r="AX875" s="92"/>
      <c r="AY875" s="92"/>
      <c r="AZ875" s="90"/>
      <c r="BA875" s="83"/>
      <c r="BB875" s="92"/>
      <c r="BC875" s="92"/>
      <c r="BD875" s="92"/>
      <c r="BE875" s="93"/>
      <c r="BF875" s="92"/>
      <c r="BG875" s="82"/>
      <c r="BH875" s="82"/>
      <c r="BI875" s="29"/>
      <c r="BJ875" s="29"/>
      <c r="BK875" s="29"/>
    </row>
    <row r="876" ht="15.75" hidden="1" customHeight="1">
      <c r="A876" s="75"/>
      <c r="B876" s="73"/>
      <c r="C876" s="76"/>
      <c r="D876" s="76"/>
      <c r="E876" s="76"/>
      <c r="F876" s="77"/>
      <c r="G876" s="78"/>
      <c r="H876" s="76"/>
      <c r="I876" s="76"/>
      <c r="J876" s="79"/>
      <c r="K876" s="80"/>
      <c r="L876" s="81"/>
      <c r="M876" s="81"/>
      <c r="N876" s="82"/>
      <c r="O876" s="83"/>
      <c r="P876" s="84"/>
      <c r="Q876" s="84"/>
      <c r="R876" s="81"/>
      <c r="S876" s="85"/>
      <c r="T876" s="86"/>
      <c r="U876" s="86"/>
      <c r="V876" s="87"/>
      <c r="W876" s="87"/>
      <c r="X876" s="87"/>
      <c r="Y876" s="87"/>
      <c r="Z876" s="87"/>
      <c r="AA876" s="87"/>
      <c r="AB876" s="29"/>
      <c r="AC876" s="94"/>
      <c r="AD876" s="94"/>
      <c r="AE876" s="89"/>
      <c r="AF876" s="89"/>
      <c r="AG876" s="89"/>
      <c r="AH876" s="89"/>
      <c r="AI876" s="90"/>
      <c r="AJ876" s="90"/>
      <c r="AK876" s="90"/>
      <c r="AL876" s="90"/>
      <c r="AM876" s="91"/>
      <c r="AN876" s="91"/>
      <c r="AO876" s="92"/>
      <c r="AP876" s="92"/>
      <c r="AQ876" s="92"/>
      <c r="AR876" s="92"/>
      <c r="AS876" s="93"/>
      <c r="AT876" s="93"/>
      <c r="AU876" s="93"/>
      <c r="AV876" s="93"/>
      <c r="AW876" s="93"/>
      <c r="AX876" s="92"/>
      <c r="AY876" s="92"/>
      <c r="AZ876" s="90"/>
      <c r="BA876" s="83"/>
      <c r="BB876" s="92"/>
      <c r="BC876" s="92"/>
      <c r="BD876" s="92"/>
      <c r="BE876" s="93"/>
      <c r="BF876" s="92"/>
      <c r="BG876" s="82"/>
      <c r="BH876" s="82"/>
      <c r="BI876" s="29"/>
      <c r="BJ876" s="29"/>
      <c r="BK876" s="29"/>
    </row>
    <row r="877" ht="15.75" hidden="1" customHeight="1">
      <c r="A877" s="75"/>
      <c r="B877" s="73"/>
      <c r="C877" s="76"/>
      <c r="D877" s="76"/>
      <c r="E877" s="76"/>
      <c r="F877" s="77"/>
      <c r="G877" s="78"/>
      <c r="H877" s="76"/>
      <c r="I877" s="76"/>
      <c r="J877" s="79"/>
      <c r="K877" s="80"/>
      <c r="L877" s="81"/>
      <c r="M877" s="81"/>
      <c r="N877" s="82"/>
      <c r="O877" s="83"/>
      <c r="P877" s="84"/>
      <c r="Q877" s="84"/>
      <c r="R877" s="81"/>
      <c r="S877" s="85"/>
      <c r="T877" s="86"/>
      <c r="U877" s="86"/>
      <c r="V877" s="87"/>
      <c r="W877" s="87"/>
      <c r="X877" s="87"/>
      <c r="Y877" s="87"/>
      <c r="Z877" s="87"/>
      <c r="AA877" s="87"/>
      <c r="AB877" s="29"/>
      <c r="AC877" s="94"/>
      <c r="AD877" s="94"/>
      <c r="AE877" s="89"/>
      <c r="AF877" s="89"/>
      <c r="AG877" s="89"/>
      <c r="AH877" s="89"/>
      <c r="AI877" s="90"/>
      <c r="AJ877" s="90"/>
      <c r="AK877" s="90"/>
      <c r="AL877" s="90"/>
      <c r="AM877" s="91"/>
      <c r="AN877" s="91"/>
      <c r="AO877" s="92"/>
      <c r="AP877" s="92"/>
      <c r="AQ877" s="92"/>
      <c r="AR877" s="92"/>
      <c r="AS877" s="93"/>
      <c r="AT877" s="93"/>
      <c r="AU877" s="93"/>
      <c r="AV877" s="93"/>
      <c r="AW877" s="93"/>
      <c r="AX877" s="92"/>
      <c r="AY877" s="92"/>
      <c r="AZ877" s="90"/>
      <c r="BA877" s="83"/>
      <c r="BB877" s="92"/>
      <c r="BC877" s="92"/>
      <c r="BD877" s="92"/>
      <c r="BE877" s="93"/>
      <c r="BF877" s="92"/>
      <c r="BG877" s="82"/>
      <c r="BH877" s="82"/>
      <c r="BI877" s="29"/>
      <c r="BJ877" s="29"/>
      <c r="BK877" s="29"/>
    </row>
    <row r="878" ht="15.75" hidden="1" customHeight="1">
      <c r="A878" s="75"/>
      <c r="B878" s="73"/>
      <c r="C878" s="76"/>
      <c r="D878" s="76"/>
      <c r="E878" s="76"/>
      <c r="F878" s="77"/>
      <c r="G878" s="78"/>
      <c r="H878" s="76"/>
      <c r="I878" s="76"/>
      <c r="J878" s="79"/>
      <c r="K878" s="80"/>
      <c r="L878" s="81"/>
      <c r="M878" s="81"/>
      <c r="N878" s="82"/>
      <c r="O878" s="83"/>
      <c r="P878" s="84"/>
      <c r="Q878" s="84"/>
      <c r="R878" s="81"/>
      <c r="S878" s="85"/>
      <c r="T878" s="86"/>
      <c r="U878" s="86"/>
      <c r="V878" s="87"/>
      <c r="W878" s="87"/>
      <c r="X878" s="87"/>
      <c r="Y878" s="87"/>
      <c r="Z878" s="87"/>
      <c r="AA878" s="87"/>
      <c r="AB878" s="29"/>
      <c r="AC878" s="94"/>
      <c r="AD878" s="94"/>
      <c r="AE878" s="89"/>
      <c r="AF878" s="89"/>
      <c r="AG878" s="89"/>
      <c r="AH878" s="89"/>
      <c r="AI878" s="90"/>
      <c r="AJ878" s="90"/>
      <c r="AK878" s="90"/>
      <c r="AL878" s="90"/>
      <c r="AM878" s="91"/>
      <c r="AN878" s="91"/>
      <c r="AO878" s="92"/>
      <c r="AP878" s="92"/>
      <c r="AQ878" s="92"/>
      <c r="AR878" s="92"/>
      <c r="AS878" s="93"/>
      <c r="AT878" s="93"/>
      <c r="AU878" s="93"/>
      <c r="AV878" s="93"/>
      <c r="AW878" s="93"/>
      <c r="AX878" s="92"/>
      <c r="AY878" s="92"/>
      <c r="AZ878" s="90"/>
      <c r="BA878" s="83"/>
      <c r="BB878" s="92"/>
      <c r="BC878" s="92"/>
      <c r="BD878" s="92"/>
      <c r="BE878" s="93"/>
      <c r="BF878" s="92"/>
      <c r="BG878" s="82"/>
      <c r="BH878" s="82"/>
      <c r="BI878" s="29"/>
      <c r="BJ878" s="29"/>
      <c r="BK878" s="29"/>
    </row>
    <row r="879" ht="15.75" hidden="1" customHeight="1">
      <c r="A879" s="75"/>
      <c r="B879" s="73"/>
      <c r="C879" s="76"/>
      <c r="D879" s="76"/>
      <c r="E879" s="76"/>
      <c r="F879" s="77"/>
      <c r="G879" s="78"/>
      <c r="H879" s="76"/>
      <c r="I879" s="76"/>
      <c r="J879" s="79"/>
      <c r="K879" s="80"/>
      <c r="L879" s="81"/>
      <c r="M879" s="81"/>
      <c r="N879" s="82"/>
      <c r="O879" s="83"/>
      <c r="P879" s="84"/>
      <c r="Q879" s="84"/>
      <c r="R879" s="81"/>
      <c r="S879" s="85"/>
      <c r="T879" s="86"/>
      <c r="U879" s="86"/>
      <c r="V879" s="87"/>
      <c r="W879" s="87"/>
      <c r="X879" s="87"/>
      <c r="Y879" s="87"/>
      <c r="Z879" s="87"/>
      <c r="AA879" s="87"/>
      <c r="AB879" s="29"/>
      <c r="AC879" s="94"/>
      <c r="AD879" s="94"/>
      <c r="AE879" s="89"/>
      <c r="AF879" s="89"/>
      <c r="AG879" s="89"/>
      <c r="AH879" s="89"/>
      <c r="AI879" s="90"/>
      <c r="AJ879" s="90"/>
      <c r="AK879" s="90"/>
      <c r="AL879" s="90"/>
      <c r="AM879" s="91"/>
      <c r="AN879" s="91"/>
      <c r="AO879" s="92"/>
      <c r="AP879" s="92"/>
      <c r="AQ879" s="92"/>
      <c r="AR879" s="92"/>
      <c r="AS879" s="93"/>
      <c r="AT879" s="93"/>
      <c r="AU879" s="93"/>
      <c r="AV879" s="93"/>
      <c r="AW879" s="93"/>
      <c r="AX879" s="92"/>
      <c r="AY879" s="92"/>
      <c r="AZ879" s="90"/>
      <c r="BA879" s="83"/>
      <c r="BB879" s="92"/>
      <c r="BC879" s="92"/>
      <c r="BD879" s="92"/>
      <c r="BE879" s="93"/>
      <c r="BF879" s="92"/>
      <c r="BG879" s="82"/>
      <c r="BH879" s="82"/>
      <c r="BI879" s="29"/>
      <c r="BJ879" s="29"/>
      <c r="BK879" s="29"/>
    </row>
    <row r="880" ht="15.75" hidden="1" customHeight="1">
      <c r="A880" s="75"/>
      <c r="B880" s="73"/>
      <c r="C880" s="76"/>
      <c r="D880" s="76"/>
      <c r="E880" s="76"/>
      <c r="F880" s="77"/>
      <c r="G880" s="78"/>
      <c r="H880" s="76"/>
      <c r="I880" s="76"/>
      <c r="J880" s="79"/>
      <c r="K880" s="80"/>
      <c r="L880" s="81"/>
      <c r="M880" s="81"/>
      <c r="N880" s="82"/>
      <c r="O880" s="83"/>
      <c r="P880" s="84"/>
      <c r="Q880" s="84"/>
      <c r="R880" s="81"/>
      <c r="S880" s="85"/>
      <c r="T880" s="86"/>
      <c r="U880" s="86"/>
      <c r="V880" s="87"/>
      <c r="W880" s="87"/>
      <c r="X880" s="87"/>
      <c r="Y880" s="87"/>
      <c r="Z880" s="87"/>
      <c r="AA880" s="87"/>
      <c r="AB880" s="29"/>
      <c r="AC880" s="94"/>
      <c r="AD880" s="94"/>
      <c r="AE880" s="89"/>
      <c r="AF880" s="89"/>
      <c r="AG880" s="89"/>
      <c r="AH880" s="89"/>
      <c r="AI880" s="90"/>
      <c r="AJ880" s="90"/>
      <c r="AK880" s="90"/>
      <c r="AL880" s="90"/>
      <c r="AM880" s="91"/>
      <c r="AN880" s="91"/>
      <c r="AO880" s="92"/>
      <c r="AP880" s="92"/>
      <c r="AQ880" s="92"/>
      <c r="AR880" s="92"/>
      <c r="AS880" s="93"/>
      <c r="AT880" s="93"/>
      <c r="AU880" s="93"/>
      <c r="AV880" s="93"/>
      <c r="AW880" s="93"/>
      <c r="AX880" s="92"/>
      <c r="AY880" s="92"/>
      <c r="AZ880" s="90"/>
      <c r="BA880" s="83"/>
      <c r="BB880" s="92"/>
      <c r="BC880" s="92"/>
      <c r="BD880" s="92"/>
      <c r="BE880" s="93"/>
      <c r="BF880" s="92"/>
      <c r="BG880" s="82"/>
      <c r="BH880" s="82"/>
      <c r="BI880" s="29"/>
      <c r="BJ880" s="29"/>
      <c r="BK880" s="29"/>
    </row>
    <row r="881" ht="15.75" hidden="1" customHeight="1">
      <c r="A881" s="75"/>
      <c r="B881" s="73"/>
      <c r="C881" s="76"/>
      <c r="D881" s="76"/>
      <c r="E881" s="76"/>
      <c r="F881" s="77"/>
      <c r="G881" s="78"/>
      <c r="H881" s="76"/>
      <c r="I881" s="76"/>
      <c r="J881" s="79"/>
      <c r="K881" s="80"/>
      <c r="L881" s="81"/>
      <c r="M881" s="81"/>
      <c r="N881" s="82"/>
      <c r="O881" s="83"/>
      <c r="P881" s="84"/>
      <c r="Q881" s="84"/>
      <c r="R881" s="81"/>
      <c r="S881" s="85"/>
      <c r="T881" s="86"/>
      <c r="U881" s="86"/>
      <c r="V881" s="87"/>
      <c r="W881" s="87"/>
      <c r="X881" s="87"/>
      <c r="Y881" s="87"/>
      <c r="Z881" s="87"/>
      <c r="AA881" s="87"/>
      <c r="AB881" s="29"/>
      <c r="AC881" s="94"/>
      <c r="AD881" s="94"/>
      <c r="AE881" s="89"/>
      <c r="AF881" s="89"/>
      <c r="AG881" s="89"/>
      <c r="AH881" s="89"/>
      <c r="AI881" s="90"/>
      <c r="AJ881" s="90"/>
      <c r="AK881" s="90"/>
      <c r="AL881" s="90"/>
      <c r="AM881" s="91"/>
      <c r="AN881" s="91"/>
      <c r="AO881" s="92"/>
      <c r="AP881" s="92"/>
      <c r="AQ881" s="92"/>
      <c r="AR881" s="92"/>
      <c r="AS881" s="93"/>
      <c r="AT881" s="93"/>
      <c r="AU881" s="93"/>
      <c r="AV881" s="93"/>
      <c r="AW881" s="93"/>
      <c r="AX881" s="92"/>
      <c r="AY881" s="92"/>
      <c r="AZ881" s="90"/>
      <c r="BA881" s="83"/>
      <c r="BB881" s="92"/>
      <c r="BC881" s="92"/>
      <c r="BD881" s="92"/>
      <c r="BE881" s="93"/>
      <c r="BF881" s="92"/>
      <c r="BG881" s="82"/>
      <c r="BH881" s="82"/>
      <c r="BI881" s="29"/>
      <c r="BJ881" s="29"/>
      <c r="BK881" s="29"/>
    </row>
    <row r="882" ht="15.75" hidden="1" customHeight="1">
      <c r="A882" s="75"/>
      <c r="B882" s="73"/>
      <c r="C882" s="76"/>
      <c r="D882" s="76"/>
      <c r="E882" s="76"/>
      <c r="F882" s="77"/>
      <c r="G882" s="78"/>
      <c r="H882" s="76"/>
      <c r="I882" s="76"/>
      <c r="J882" s="79"/>
      <c r="K882" s="80"/>
      <c r="L882" s="81"/>
      <c r="M882" s="81"/>
      <c r="N882" s="82"/>
      <c r="O882" s="83"/>
      <c r="P882" s="84"/>
      <c r="Q882" s="84"/>
      <c r="R882" s="81"/>
      <c r="S882" s="85"/>
      <c r="T882" s="86"/>
      <c r="U882" s="86"/>
      <c r="V882" s="87"/>
      <c r="W882" s="87"/>
      <c r="X882" s="87"/>
      <c r="Y882" s="87"/>
      <c r="Z882" s="87"/>
      <c r="AA882" s="87"/>
      <c r="AB882" s="29"/>
      <c r="AC882" s="94"/>
      <c r="AD882" s="94"/>
      <c r="AE882" s="89"/>
      <c r="AF882" s="89"/>
      <c r="AG882" s="89"/>
      <c r="AH882" s="89"/>
      <c r="AI882" s="90"/>
      <c r="AJ882" s="90"/>
      <c r="AK882" s="90"/>
      <c r="AL882" s="90"/>
      <c r="AM882" s="91"/>
      <c r="AN882" s="91"/>
      <c r="AO882" s="92"/>
      <c r="AP882" s="92"/>
      <c r="AQ882" s="92"/>
      <c r="AR882" s="92"/>
      <c r="AS882" s="93"/>
      <c r="AT882" s="93"/>
      <c r="AU882" s="93"/>
      <c r="AV882" s="93"/>
      <c r="AW882" s="93"/>
      <c r="AX882" s="92"/>
      <c r="AY882" s="92"/>
      <c r="AZ882" s="90"/>
      <c r="BA882" s="83"/>
      <c r="BB882" s="92"/>
      <c r="BC882" s="92"/>
      <c r="BD882" s="92"/>
      <c r="BE882" s="93"/>
      <c r="BF882" s="92"/>
      <c r="BG882" s="82"/>
      <c r="BH882" s="82"/>
      <c r="BI882" s="29"/>
      <c r="BJ882" s="29"/>
      <c r="BK882" s="29"/>
    </row>
    <row r="883" ht="15.75" hidden="1" customHeight="1">
      <c r="A883" s="75"/>
      <c r="B883" s="73"/>
      <c r="C883" s="76"/>
      <c r="D883" s="76"/>
      <c r="E883" s="76"/>
      <c r="F883" s="77"/>
      <c r="G883" s="78"/>
      <c r="H883" s="76"/>
      <c r="I883" s="76"/>
      <c r="J883" s="79"/>
      <c r="K883" s="80"/>
      <c r="L883" s="81"/>
      <c r="M883" s="81"/>
      <c r="N883" s="82"/>
      <c r="O883" s="83"/>
      <c r="P883" s="84"/>
      <c r="Q883" s="84"/>
      <c r="R883" s="81"/>
      <c r="S883" s="85"/>
      <c r="T883" s="86"/>
      <c r="U883" s="86"/>
      <c r="V883" s="87"/>
      <c r="W883" s="87"/>
      <c r="X883" s="87"/>
      <c r="Y883" s="87"/>
      <c r="Z883" s="87"/>
      <c r="AA883" s="87"/>
      <c r="AB883" s="29"/>
      <c r="AC883" s="94"/>
      <c r="AD883" s="94"/>
      <c r="AE883" s="89"/>
      <c r="AF883" s="89"/>
      <c r="AG883" s="89"/>
      <c r="AH883" s="89"/>
      <c r="AI883" s="90"/>
      <c r="AJ883" s="90"/>
      <c r="AK883" s="90"/>
      <c r="AL883" s="90"/>
      <c r="AM883" s="91"/>
      <c r="AN883" s="91"/>
      <c r="AO883" s="92"/>
      <c r="AP883" s="92"/>
      <c r="AQ883" s="92"/>
      <c r="AR883" s="92"/>
      <c r="AS883" s="93"/>
      <c r="AT883" s="93"/>
      <c r="AU883" s="93"/>
      <c r="AV883" s="93"/>
      <c r="AW883" s="93"/>
      <c r="AX883" s="92"/>
      <c r="AY883" s="92"/>
      <c r="AZ883" s="90"/>
      <c r="BA883" s="83"/>
      <c r="BB883" s="92"/>
      <c r="BC883" s="92"/>
      <c r="BD883" s="92"/>
      <c r="BE883" s="93"/>
      <c r="BF883" s="92"/>
      <c r="BG883" s="82"/>
      <c r="BH883" s="82"/>
      <c r="BI883" s="29"/>
      <c r="BJ883" s="29"/>
      <c r="BK883" s="29"/>
    </row>
    <row r="884" ht="15.75" hidden="1" customHeight="1">
      <c r="A884" s="75"/>
      <c r="B884" s="73"/>
      <c r="C884" s="76"/>
      <c r="D884" s="76"/>
      <c r="E884" s="76"/>
      <c r="F884" s="77"/>
      <c r="G884" s="78"/>
      <c r="H884" s="76"/>
      <c r="I884" s="76"/>
      <c r="J884" s="79"/>
      <c r="K884" s="80"/>
      <c r="L884" s="81"/>
      <c r="M884" s="81"/>
      <c r="N884" s="82"/>
      <c r="O884" s="83"/>
      <c r="P884" s="84"/>
      <c r="Q884" s="84"/>
      <c r="R884" s="81"/>
      <c r="S884" s="85"/>
      <c r="T884" s="86"/>
      <c r="U884" s="86"/>
      <c r="V884" s="87"/>
      <c r="W884" s="87"/>
      <c r="X884" s="87"/>
      <c r="Y884" s="87"/>
      <c r="Z884" s="87"/>
      <c r="AA884" s="87"/>
      <c r="AB884" s="29"/>
      <c r="AC884" s="94"/>
      <c r="AD884" s="94"/>
      <c r="AE884" s="89"/>
      <c r="AF884" s="89"/>
      <c r="AG884" s="89"/>
      <c r="AH884" s="89"/>
      <c r="AI884" s="90"/>
      <c r="AJ884" s="90"/>
      <c r="AK884" s="90"/>
      <c r="AL884" s="90"/>
      <c r="AM884" s="91"/>
      <c r="AN884" s="91"/>
      <c r="AO884" s="92"/>
      <c r="AP884" s="92"/>
      <c r="AQ884" s="92"/>
      <c r="AR884" s="92"/>
      <c r="AS884" s="93"/>
      <c r="AT884" s="93"/>
      <c r="AU884" s="93"/>
      <c r="AV884" s="93"/>
      <c r="AW884" s="93"/>
      <c r="AX884" s="92"/>
      <c r="AY884" s="92"/>
      <c r="AZ884" s="90"/>
      <c r="BA884" s="83"/>
      <c r="BB884" s="92"/>
      <c r="BC884" s="92"/>
      <c r="BD884" s="92"/>
      <c r="BE884" s="93"/>
      <c r="BF884" s="92"/>
      <c r="BG884" s="82"/>
      <c r="BH884" s="82"/>
      <c r="BI884" s="29"/>
      <c r="BJ884" s="29"/>
      <c r="BK884" s="29"/>
    </row>
    <row r="885" ht="15.75" hidden="1" customHeight="1">
      <c r="A885" s="75"/>
      <c r="B885" s="73"/>
      <c r="C885" s="76"/>
      <c r="D885" s="76"/>
      <c r="E885" s="76"/>
      <c r="F885" s="77"/>
      <c r="G885" s="78"/>
      <c r="H885" s="76"/>
      <c r="I885" s="76"/>
      <c r="J885" s="79"/>
      <c r="K885" s="80"/>
      <c r="L885" s="81"/>
      <c r="M885" s="81"/>
      <c r="N885" s="82"/>
      <c r="O885" s="83"/>
      <c r="P885" s="84"/>
      <c r="Q885" s="84"/>
      <c r="R885" s="81"/>
      <c r="S885" s="85"/>
      <c r="T885" s="86"/>
      <c r="U885" s="86"/>
      <c r="V885" s="87"/>
      <c r="W885" s="87"/>
      <c r="X885" s="87"/>
      <c r="Y885" s="87"/>
      <c r="Z885" s="87"/>
      <c r="AA885" s="87"/>
      <c r="AB885" s="29"/>
      <c r="AC885" s="94"/>
      <c r="AD885" s="94"/>
      <c r="AE885" s="89"/>
      <c r="AF885" s="89"/>
      <c r="AG885" s="89"/>
      <c r="AH885" s="89"/>
      <c r="AI885" s="90"/>
      <c r="AJ885" s="90"/>
      <c r="AK885" s="90"/>
      <c r="AL885" s="90"/>
      <c r="AM885" s="91"/>
      <c r="AN885" s="91"/>
      <c r="AO885" s="92"/>
      <c r="AP885" s="92"/>
      <c r="AQ885" s="92"/>
      <c r="AR885" s="92"/>
      <c r="AS885" s="93"/>
      <c r="AT885" s="93"/>
      <c r="AU885" s="93"/>
      <c r="AV885" s="93"/>
      <c r="AW885" s="93"/>
      <c r="AX885" s="92"/>
      <c r="AY885" s="92"/>
      <c r="AZ885" s="90"/>
      <c r="BA885" s="83"/>
      <c r="BB885" s="92"/>
      <c r="BC885" s="92"/>
      <c r="BD885" s="92"/>
      <c r="BE885" s="93"/>
      <c r="BF885" s="92"/>
      <c r="BG885" s="82"/>
      <c r="BH885" s="82"/>
      <c r="BI885" s="29"/>
      <c r="BJ885" s="29"/>
      <c r="BK885" s="29"/>
    </row>
    <row r="886" ht="15.75" hidden="1" customHeight="1">
      <c r="A886" s="75"/>
      <c r="B886" s="73"/>
      <c r="C886" s="76"/>
      <c r="D886" s="76"/>
      <c r="E886" s="76"/>
      <c r="F886" s="77"/>
      <c r="G886" s="78"/>
      <c r="H886" s="76"/>
      <c r="I886" s="76"/>
      <c r="J886" s="79"/>
      <c r="K886" s="80"/>
      <c r="L886" s="81"/>
      <c r="M886" s="81"/>
      <c r="N886" s="82"/>
      <c r="O886" s="83"/>
      <c r="P886" s="84"/>
      <c r="Q886" s="84"/>
      <c r="R886" s="81"/>
      <c r="S886" s="85"/>
      <c r="T886" s="86"/>
      <c r="U886" s="86"/>
      <c r="V886" s="87"/>
      <c r="W886" s="87"/>
      <c r="X886" s="87"/>
      <c r="Y886" s="87"/>
      <c r="Z886" s="87"/>
      <c r="AA886" s="87"/>
      <c r="AB886" s="29"/>
      <c r="AC886" s="94"/>
      <c r="AD886" s="94"/>
      <c r="AE886" s="89"/>
      <c r="AF886" s="89"/>
      <c r="AG886" s="89"/>
      <c r="AH886" s="89"/>
      <c r="AI886" s="90"/>
      <c r="AJ886" s="90"/>
      <c r="AK886" s="90"/>
      <c r="AL886" s="90"/>
      <c r="AM886" s="91"/>
      <c r="AN886" s="91"/>
      <c r="AO886" s="92"/>
      <c r="AP886" s="92"/>
      <c r="AQ886" s="92"/>
      <c r="AR886" s="92"/>
      <c r="AS886" s="93"/>
      <c r="AT886" s="93"/>
      <c r="AU886" s="93"/>
      <c r="AV886" s="93"/>
      <c r="AW886" s="93"/>
      <c r="AX886" s="92"/>
      <c r="AY886" s="92"/>
      <c r="AZ886" s="90"/>
      <c r="BA886" s="83"/>
      <c r="BB886" s="92"/>
      <c r="BC886" s="92"/>
      <c r="BD886" s="92"/>
      <c r="BE886" s="93"/>
      <c r="BF886" s="92"/>
      <c r="BG886" s="82"/>
      <c r="BH886" s="82"/>
      <c r="BI886" s="29"/>
      <c r="BJ886" s="29"/>
      <c r="BK886" s="29"/>
    </row>
    <row r="887" ht="15.75" hidden="1" customHeight="1">
      <c r="A887" s="75"/>
      <c r="B887" s="73"/>
      <c r="C887" s="76"/>
      <c r="D887" s="76"/>
      <c r="E887" s="76"/>
      <c r="F887" s="77"/>
      <c r="G887" s="78"/>
      <c r="H887" s="76"/>
      <c r="I887" s="76"/>
      <c r="J887" s="79"/>
      <c r="K887" s="80"/>
      <c r="L887" s="81"/>
      <c r="M887" s="81"/>
      <c r="N887" s="82"/>
      <c r="O887" s="83"/>
      <c r="P887" s="84"/>
      <c r="Q887" s="84"/>
      <c r="R887" s="81"/>
      <c r="S887" s="85"/>
      <c r="T887" s="86"/>
      <c r="U887" s="86"/>
      <c r="V887" s="87"/>
      <c r="W887" s="87"/>
      <c r="X887" s="87"/>
      <c r="Y887" s="87"/>
      <c r="Z887" s="87"/>
      <c r="AA887" s="87"/>
      <c r="AB887" s="29"/>
      <c r="AC887" s="94"/>
      <c r="AD887" s="94"/>
      <c r="AE887" s="89"/>
      <c r="AF887" s="89"/>
      <c r="AG887" s="89"/>
      <c r="AH887" s="89"/>
      <c r="AI887" s="90"/>
      <c r="AJ887" s="90"/>
      <c r="AK887" s="90"/>
      <c r="AL887" s="90"/>
      <c r="AM887" s="91"/>
      <c r="AN887" s="91"/>
      <c r="AO887" s="92"/>
      <c r="AP887" s="92"/>
      <c r="AQ887" s="92"/>
      <c r="AR887" s="92"/>
      <c r="AS887" s="93"/>
      <c r="AT887" s="93"/>
      <c r="AU887" s="93"/>
      <c r="AV887" s="93"/>
      <c r="AW887" s="93"/>
      <c r="AX887" s="92"/>
      <c r="AY887" s="92"/>
      <c r="AZ887" s="90"/>
      <c r="BA887" s="83"/>
      <c r="BB887" s="92"/>
      <c r="BC887" s="92"/>
      <c r="BD887" s="92"/>
      <c r="BE887" s="93"/>
      <c r="BF887" s="92"/>
      <c r="BG887" s="82"/>
      <c r="BH887" s="82"/>
      <c r="BI887" s="29"/>
      <c r="BJ887" s="29"/>
      <c r="BK887" s="29"/>
    </row>
    <row r="888" ht="15.75" hidden="1" customHeight="1">
      <c r="A888" s="75"/>
      <c r="B888" s="73"/>
      <c r="C888" s="76"/>
      <c r="D888" s="76"/>
      <c r="E888" s="76"/>
      <c r="F888" s="77"/>
      <c r="G888" s="78"/>
      <c r="H888" s="76"/>
      <c r="I888" s="76"/>
      <c r="J888" s="79"/>
      <c r="K888" s="80"/>
      <c r="L888" s="81"/>
      <c r="M888" s="81"/>
      <c r="N888" s="82"/>
      <c r="O888" s="83"/>
      <c r="P888" s="84"/>
      <c r="Q888" s="84"/>
      <c r="R888" s="81"/>
      <c r="S888" s="85"/>
      <c r="T888" s="86"/>
      <c r="U888" s="86"/>
      <c r="V888" s="87"/>
      <c r="W888" s="87"/>
      <c r="X888" s="87"/>
      <c r="Y888" s="87"/>
      <c r="Z888" s="87"/>
      <c r="AA888" s="87"/>
      <c r="AB888" s="29"/>
      <c r="AC888" s="94"/>
      <c r="AD888" s="94"/>
      <c r="AE888" s="89"/>
      <c r="AF888" s="89"/>
      <c r="AG888" s="89"/>
      <c r="AH888" s="89"/>
      <c r="AI888" s="90"/>
      <c r="AJ888" s="90"/>
      <c r="AK888" s="90"/>
      <c r="AL888" s="90"/>
      <c r="AM888" s="91"/>
      <c r="AN888" s="91"/>
      <c r="AO888" s="92"/>
      <c r="AP888" s="92"/>
      <c r="AQ888" s="92"/>
      <c r="AR888" s="92"/>
      <c r="AS888" s="93"/>
      <c r="AT888" s="93"/>
      <c r="AU888" s="93"/>
      <c r="AV888" s="93"/>
      <c r="AW888" s="93"/>
      <c r="AX888" s="92"/>
      <c r="AY888" s="92"/>
      <c r="AZ888" s="90"/>
      <c r="BA888" s="83"/>
      <c r="BB888" s="92"/>
      <c r="BC888" s="92"/>
      <c r="BD888" s="92"/>
      <c r="BE888" s="93"/>
      <c r="BF888" s="92"/>
      <c r="BG888" s="82"/>
      <c r="BH888" s="82"/>
      <c r="BI888" s="29"/>
      <c r="BJ888" s="29"/>
      <c r="BK888" s="29"/>
    </row>
    <row r="889" ht="15.75" hidden="1" customHeight="1">
      <c r="A889" s="75"/>
      <c r="B889" s="73"/>
      <c r="C889" s="76"/>
      <c r="D889" s="76"/>
      <c r="E889" s="76"/>
      <c r="F889" s="77"/>
      <c r="G889" s="78"/>
      <c r="H889" s="76"/>
      <c r="I889" s="76"/>
      <c r="J889" s="79"/>
      <c r="K889" s="80"/>
      <c r="L889" s="81"/>
      <c r="M889" s="81"/>
      <c r="N889" s="82"/>
      <c r="O889" s="83"/>
      <c r="P889" s="84"/>
      <c r="Q889" s="84"/>
      <c r="R889" s="81"/>
      <c r="S889" s="85"/>
      <c r="T889" s="86"/>
      <c r="U889" s="86"/>
      <c r="V889" s="87"/>
      <c r="W889" s="87"/>
      <c r="X889" s="87"/>
      <c r="Y889" s="87"/>
      <c r="Z889" s="87"/>
      <c r="AA889" s="87"/>
      <c r="AB889" s="29"/>
      <c r="AC889" s="94"/>
      <c r="AD889" s="94"/>
      <c r="AE889" s="89"/>
      <c r="AF889" s="89"/>
      <c r="AG889" s="89"/>
      <c r="AH889" s="89"/>
      <c r="AI889" s="90"/>
      <c r="AJ889" s="90"/>
      <c r="AK889" s="90"/>
      <c r="AL889" s="90"/>
      <c r="AM889" s="91"/>
      <c r="AN889" s="91"/>
      <c r="AO889" s="92"/>
      <c r="AP889" s="92"/>
      <c r="AQ889" s="92"/>
      <c r="AR889" s="92"/>
      <c r="AS889" s="93"/>
      <c r="AT889" s="93"/>
      <c r="AU889" s="93"/>
      <c r="AV889" s="93"/>
      <c r="AW889" s="93"/>
      <c r="AX889" s="92"/>
      <c r="AY889" s="92"/>
      <c r="AZ889" s="90"/>
      <c r="BA889" s="83"/>
      <c r="BB889" s="92"/>
      <c r="BC889" s="92"/>
      <c r="BD889" s="92"/>
      <c r="BE889" s="93"/>
      <c r="BF889" s="92"/>
      <c r="BG889" s="82"/>
      <c r="BH889" s="82"/>
      <c r="BI889" s="29"/>
      <c r="BJ889" s="29"/>
      <c r="BK889" s="29"/>
    </row>
    <row r="890" ht="15.75" hidden="1" customHeight="1">
      <c r="A890" s="75"/>
      <c r="B890" s="73"/>
      <c r="C890" s="76"/>
      <c r="D890" s="76"/>
      <c r="E890" s="76"/>
      <c r="F890" s="77"/>
      <c r="G890" s="78"/>
      <c r="H890" s="76"/>
      <c r="I890" s="76"/>
      <c r="J890" s="79"/>
      <c r="K890" s="80"/>
      <c r="L890" s="81"/>
      <c r="M890" s="81"/>
      <c r="N890" s="82"/>
      <c r="O890" s="83"/>
      <c r="P890" s="84"/>
      <c r="Q890" s="84"/>
      <c r="R890" s="81"/>
      <c r="S890" s="85"/>
      <c r="T890" s="86"/>
      <c r="U890" s="86"/>
      <c r="V890" s="87"/>
      <c r="W890" s="87"/>
      <c r="X890" s="87"/>
      <c r="Y890" s="87"/>
      <c r="Z890" s="87"/>
      <c r="AA890" s="87"/>
      <c r="AB890" s="29"/>
      <c r="AC890" s="94"/>
      <c r="AD890" s="94"/>
      <c r="AE890" s="89"/>
      <c r="AF890" s="89"/>
      <c r="AG890" s="89"/>
      <c r="AH890" s="89"/>
      <c r="AI890" s="90"/>
      <c r="AJ890" s="90"/>
      <c r="AK890" s="90"/>
      <c r="AL890" s="90"/>
      <c r="AM890" s="91"/>
      <c r="AN890" s="91"/>
      <c r="AO890" s="92"/>
      <c r="AP890" s="92"/>
      <c r="AQ890" s="92"/>
      <c r="AR890" s="92"/>
      <c r="AS890" s="93"/>
      <c r="AT890" s="93"/>
      <c r="AU890" s="93"/>
      <c r="AV890" s="93"/>
      <c r="AW890" s="93"/>
      <c r="AX890" s="92"/>
      <c r="AY890" s="92"/>
      <c r="AZ890" s="90"/>
      <c r="BA890" s="83"/>
      <c r="BB890" s="92"/>
      <c r="BC890" s="92"/>
      <c r="BD890" s="92"/>
      <c r="BE890" s="93"/>
      <c r="BF890" s="92"/>
      <c r="BG890" s="82"/>
      <c r="BH890" s="82"/>
      <c r="BI890" s="29"/>
      <c r="BJ890" s="29"/>
      <c r="BK890" s="29"/>
    </row>
    <row r="891" ht="15.75" hidden="1" customHeight="1">
      <c r="A891" s="75"/>
      <c r="B891" s="73"/>
      <c r="C891" s="76"/>
      <c r="D891" s="76"/>
      <c r="E891" s="76"/>
      <c r="F891" s="77"/>
      <c r="G891" s="78"/>
      <c r="H891" s="76"/>
      <c r="I891" s="76"/>
      <c r="J891" s="79"/>
      <c r="K891" s="80"/>
      <c r="L891" s="81"/>
      <c r="M891" s="81"/>
      <c r="N891" s="82"/>
      <c r="O891" s="83"/>
      <c r="P891" s="84"/>
      <c r="Q891" s="84"/>
      <c r="R891" s="81"/>
      <c r="S891" s="85"/>
      <c r="T891" s="86"/>
      <c r="U891" s="86"/>
      <c r="V891" s="87"/>
      <c r="W891" s="87"/>
      <c r="X891" s="87"/>
      <c r="Y891" s="87"/>
      <c r="Z891" s="87"/>
      <c r="AA891" s="87"/>
      <c r="AB891" s="29"/>
      <c r="AC891" s="94"/>
      <c r="AD891" s="94"/>
      <c r="AE891" s="89"/>
      <c r="AF891" s="89"/>
      <c r="AG891" s="89"/>
      <c r="AH891" s="89"/>
      <c r="AI891" s="90"/>
      <c r="AJ891" s="90"/>
      <c r="AK891" s="90"/>
      <c r="AL891" s="90"/>
      <c r="AM891" s="91"/>
      <c r="AN891" s="91"/>
      <c r="AO891" s="92"/>
      <c r="AP891" s="92"/>
      <c r="AQ891" s="92"/>
      <c r="AR891" s="92"/>
      <c r="AS891" s="93"/>
      <c r="AT891" s="93"/>
      <c r="AU891" s="93"/>
      <c r="AV891" s="93"/>
      <c r="AW891" s="93"/>
      <c r="AX891" s="92"/>
      <c r="AY891" s="92"/>
      <c r="AZ891" s="90"/>
      <c r="BA891" s="83"/>
      <c r="BB891" s="92"/>
      <c r="BC891" s="92"/>
      <c r="BD891" s="92"/>
      <c r="BE891" s="93"/>
      <c r="BF891" s="92"/>
      <c r="BG891" s="82"/>
      <c r="BH891" s="82"/>
      <c r="BI891" s="29"/>
      <c r="BJ891" s="29"/>
      <c r="BK891" s="29"/>
    </row>
    <row r="892" ht="15.75" hidden="1" customHeight="1">
      <c r="A892" s="75"/>
      <c r="B892" s="73"/>
      <c r="C892" s="76"/>
      <c r="D892" s="76"/>
      <c r="E892" s="76"/>
      <c r="F892" s="77"/>
      <c r="G892" s="78"/>
      <c r="H892" s="76"/>
      <c r="I892" s="76"/>
      <c r="J892" s="79"/>
      <c r="K892" s="80"/>
      <c r="L892" s="81"/>
      <c r="M892" s="81"/>
      <c r="N892" s="82"/>
      <c r="O892" s="83"/>
      <c r="P892" s="84"/>
      <c r="Q892" s="84"/>
      <c r="R892" s="81"/>
      <c r="S892" s="85"/>
      <c r="T892" s="86"/>
      <c r="U892" s="86"/>
      <c r="V892" s="87"/>
      <c r="W892" s="87"/>
      <c r="X892" s="87"/>
      <c r="Y892" s="87"/>
      <c r="Z892" s="87"/>
      <c r="AA892" s="87"/>
      <c r="AB892" s="29"/>
      <c r="AC892" s="94"/>
      <c r="AD892" s="94"/>
      <c r="AE892" s="89"/>
      <c r="AF892" s="89"/>
      <c r="AG892" s="89"/>
      <c r="AH892" s="89"/>
      <c r="AI892" s="90"/>
      <c r="AJ892" s="90"/>
      <c r="AK892" s="90"/>
      <c r="AL892" s="90"/>
      <c r="AM892" s="91"/>
      <c r="AN892" s="91"/>
      <c r="AO892" s="92"/>
      <c r="AP892" s="92"/>
      <c r="AQ892" s="92"/>
      <c r="AR892" s="92"/>
      <c r="AS892" s="93"/>
      <c r="AT892" s="93"/>
      <c r="AU892" s="93"/>
      <c r="AV892" s="93"/>
      <c r="AW892" s="93"/>
      <c r="AX892" s="92"/>
      <c r="AY892" s="92"/>
      <c r="AZ892" s="90"/>
      <c r="BA892" s="83"/>
      <c r="BB892" s="92"/>
      <c r="BC892" s="92"/>
      <c r="BD892" s="92"/>
      <c r="BE892" s="93"/>
      <c r="BF892" s="92"/>
      <c r="BG892" s="82"/>
      <c r="BH892" s="82"/>
      <c r="BI892" s="29"/>
      <c r="BJ892" s="29"/>
      <c r="BK892" s="29"/>
    </row>
    <row r="893" ht="15.75" hidden="1" customHeight="1">
      <c r="A893" s="75"/>
      <c r="B893" s="73"/>
      <c r="C893" s="76"/>
      <c r="D893" s="76"/>
      <c r="E893" s="76"/>
      <c r="F893" s="77"/>
      <c r="G893" s="78"/>
      <c r="H893" s="76"/>
      <c r="I893" s="76"/>
      <c r="J893" s="79"/>
      <c r="K893" s="80"/>
      <c r="L893" s="81"/>
      <c r="M893" s="81"/>
      <c r="N893" s="82"/>
      <c r="O893" s="83"/>
      <c r="P893" s="84"/>
      <c r="Q893" s="84"/>
      <c r="R893" s="81"/>
      <c r="S893" s="85"/>
      <c r="T893" s="86"/>
      <c r="U893" s="86"/>
      <c r="V893" s="87"/>
      <c r="W893" s="87"/>
      <c r="X893" s="87"/>
      <c r="Y893" s="87"/>
      <c r="Z893" s="87"/>
      <c r="AA893" s="87"/>
      <c r="AB893" s="29"/>
      <c r="AC893" s="94"/>
      <c r="AD893" s="94"/>
      <c r="AE893" s="89"/>
      <c r="AF893" s="89"/>
      <c r="AG893" s="89"/>
      <c r="AH893" s="89"/>
      <c r="AI893" s="90"/>
      <c r="AJ893" s="90"/>
      <c r="AK893" s="90"/>
      <c r="AL893" s="90"/>
      <c r="AM893" s="91"/>
      <c r="AN893" s="91"/>
      <c r="AO893" s="92"/>
      <c r="AP893" s="92"/>
      <c r="AQ893" s="92"/>
      <c r="AR893" s="92"/>
      <c r="AS893" s="93"/>
      <c r="AT893" s="93"/>
      <c r="AU893" s="93"/>
      <c r="AV893" s="93"/>
      <c r="AW893" s="93"/>
      <c r="AX893" s="92"/>
      <c r="AY893" s="92"/>
      <c r="AZ893" s="90"/>
      <c r="BA893" s="83"/>
      <c r="BB893" s="92"/>
      <c r="BC893" s="92"/>
      <c r="BD893" s="92"/>
      <c r="BE893" s="93"/>
      <c r="BF893" s="92"/>
      <c r="BG893" s="82"/>
      <c r="BH893" s="82"/>
      <c r="BI893" s="29"/>
      <c r="BJ893" s="29"/>
      <c r="BK893" s="29"/>
    </row>
    <row r="894" ht="15.75" hidden="1" customHeight="1">
      <c r="A894" s="75"/>
      <c r="B894" s="73"/>
      <c r="C894" s="76"/>
      <c r="D894" s="76"/>
      <c r="E894" s="76"/>
      <c r="F894" s="77"/>
      <c r="G894" s="78"/>
      <c r="H894" s="76"/>
      <c r="I894" s="76"/>
      <c r="J894" s="79"/>
      <c r="K894" s="80"/>
      <c r="L894" s="81"/>
      <c r="M894" s="81"/>
      <c r="N894" s="82"/>
      <c r="O894" s="83"/>
      <c r="P894" s="84"/>
      <c r="Q894" s="84"/>
      <c r="R894" s="81"/>
      <c r="S894" s="85"/>
      <c r="T894" s="86"/>
      <c r="U894" s="86"/>
      <c r="V894" s="87"/>
      <c r="W894" s="87"/>
      <c r="X894" s="87"/>
      <c r="Y894" s="87"/>
      <c r="Z894" s="87"/>
      <c r="AA894" s="87"/>
      <c r="AB894" s="29"/>
      <c r="AC894" s="94"/>
      <c r="AD894" s="94"/>
      <c r="AE894" s="89"/>
      <c r="AF894" s="89"/>
      <c r="AG894" s="89"/>
      <c r="AH894" s="89"/>
      <c r="AI894" s="90"/>
      <c r="AJ894" s="90"/>
      <c r="AK894" s="90"/>
      <c r="AL894" s="90"/>
      <c r="AM894" s="91"/>
      <c r="AN894" s="91"/>
      <c r="AO894" s="92"/>
      <c r="AP894" s="92"/>
      <c r="AQ894" s="92"/>
      <c r="AR894" s="92"/>
      <c r="AS894" s="93"/>
      <c r="AT894" s="93"/>
      <c r="AU894" s="93"/>
      <c r="AV894" s="93"/>
      <c r="AW894" s="93"/>
      <c r="AX894" s="92"/>
      <c r="AY894" s="92"/>
      <c r="AZ894" s="90"/>
      <c r="BA894" s="83"/>
      <c r="BB894" s="92"/>
      <c r="BC894" s="92"/>
      <c r="BD894" s="92"/>
      <c r="BE894" s="93"/>
      <c r="BF894" s="92"/>
      <c r="BG894" s="82"/>
      <c r="BH894" s="82"/>
      <c r="BI894" s="29"/>
      <c r="BJ894" s="29"/>
      <c r="BK894" s="29"/>
    </row>
    <row r="895" ht="15.75" hidden="1" customHeight="1">
      <c r="A895" s="75"/>
      <c r="B895" s="73"/>
      <c r="C895" s="76"/>
      <c r="D895" s="76"/>
      <c r="E895" s="76"/>
      <c r="F895" s="77"/>
      <c r="G895" s="78"/>
      <c r="H895" s="76"/>
      <c r="I895" s="76"/>
      <c r="J895" s="79"/>
      <c r="K895" s="80"/>
      <c r="L895" s="81"/>
      <c r="M895" s="81"/>
      <c r="N895" s="82"/>
      <c r="O895" s="83"/>
      <c r="P895" s="84"/>
      <c r="Q895" s="84"/>
      <c r="R895" s="81"/>
      <c r="S895" s="85"/>
      <c r="T895" s="86"/>
      <c r="U895" s="86"/>
      <c r="V895" s="87"/>
      <c r="W895" s="87"/>
      <c r="X895" s="87"/>
      <c r="Y895" s="87"/>
      <c r="Z895" s="87"/>
      <c r="AA895" s="87"/>
      <c r="AB895" s="29"/>
      <c r="AC895" s="94"/>
      <c r="AD895" s="94"/>
      <c r="AE895" s="89"/>
      <c r="AF895" s="89"/>
      <c r="AG895" s="89"/>
      <c r="AH895" s="89"/>
      <c r="AI895" s="90"/>
      <c r="AJ895" s="90"/>
      <c r="AK895" s="90"/>
      <c r="AL895" s="90"/>
      <c r="AM895" s="91"/>
      <c r="AN895" s="91"/>
      <c r="AO895" s="92"/>
      <c r="AP895" s="92"/>
      <c r="AQ895" s="92"/>
      <c r="AR895" s="92"/>
      <c r="AS895" s="93"/>
      <c r="AT895" s="93"/>
      <c r="AU895" s="93"/>
      <c r="AV895" s="93"/>
      <c r="AW895" s="93"/>
      <c r="AX895" s="92"/>
      <c r="AY895" s="92"/>
      <c r="AZ895" s="90"/>
      <c r="BA895" s="83"/>
      <c r="BB895" s="92"/>
      <c r="BC895" s="92"/>
      <c r="BD895" s="92"/>
      <c r="BE895" s="93"/>
      <c r="BF895" s="92"/>
      <c r="BG895" s="82"/>
      <c r="BH895" s="82"/>
      <c r="BI895" s="29"/>
      <c r="BJ895" s="29"/>
      <c r="BK895" s="29"/>
    </row>
    <row r="896" ht="15.75" hidden="1" customHeight="1">
      <c r="A896" s="75"/>
      <c r="B896" s="73"/>
      <c r="C896" s="76"/>
      <c r="D896" s="76"/>
      <c r="E896" s="76"/>
      <c r="F896" s="77"/>
      <c r="G896" s="78"/>
      <c r="H896" s="76"/>
      <c r="I896" s="76"/>
      <c r="J896" s="79"/>
      <c r="K896" s="80"/>
      <c r="L896" s="81"/>
      <c r="M896" s="81"/>
      <c r="N896" s="82"/>
      <c r="O896" s="83"/>
      <c r="P896" s="84"/>
      <c r="Q896" s="84"/>
      <c r="R896" s="81"/>
      <c r="S896" s="85"/>
      <c r="T896" s="86"/>
      <c r="U896" s="86"/>
      <c r="V896" s="87"/>
      <c r="W896" s="87"/>
      <c r="X896" s="87"/>
      <c r="Y896" s="87"/>
      <c r="Z896" s="87"/>
      <c r="AA896" s="87"/>
      <c r="AB896" s="29"/>
      <c r="AC896" s="94"/>
      <c r="AD896" s="94"/>
      <c r="AE896" s="89"/>
      <c r="AF896" s="89"/>
      <c r="AG896" s="89"/>
      <c r="AH896" s="89"/>
      <c r="AI896" s="90"/>
      <c r="AJ896" s="90"/>
      <c r="AK896" s="90"/>
      <c r="AL896" s="90"/>
      <c r="AM896" s="91"/>
      <c r="AN896" s="91"/>
      <c r="AO896" s="92"/>
      <c r="AP896" s="92"/>
      <c r="AQ896" s="92"/>
      <c r="AR896" s="92"/>
      <c r="AS896" s="93"/>
      <c r="AT896" s="93"/>
      <c r="AU896" s="93"/>
      <c r="AV896" s="93"/>
      <c r="AW896" s="93"/>
      <c r="AX896" s="92"/>
      <c r="AY896" s="92"/>
      <c r="AZ896" s="90"/>
      <c r="BA896" s="83"/>
      <c r="BB896" s="92"/>
      <c r="BC896" s="92"/>
      <c r="BD896" s="92"/>
      <c r="BE896" s="93"/>
      <c r="BF896" s="92"/>
      <c r="BG896" s="82"/>
      <c r="BH896" s="82"/>
      <c r="BI896" s="29"/>
      <c r="BJ896" s="29"/>
      <c r="BK896" s="29"/>
    </row>
    <row r="897" ht="15.75" hidden="1" customHeight="1">
      <c r="A897" s="75"/>
      <c r="B897" s="73"/>
      <c r="C897" s="76"/>
      <c r="D897" s="76"/>
      <c r="E897" s="76"/>
      <c r="F897" s="77"/>
      <c r="G897" s="78"/>
      <c r="H897" s="76"/>
      <c r="I897" s="76"/>
      <c r="J897" s="79"/>
      <c r="K897" s="80"/>
      <c r="L897" s="81"/>
      <c r="M897" s="81"/>
      <c r="N897" s="82"/>
      <c r="O897" s="83"/>
      <c r="P897" s="84"/>
      <c r="Q897" s="84"/>
      <c r="R897" s="81"/>
      <c r="S897" s="85"/>
      <c r="T897" s="86"/>
      <c r="U897" s="86"/>
      <c r="V897" s="87"/>
      <c r="W897" s="87"/>
      <c r="X897" s="87"/>
      <c r="Y897" s="87"/>
      <c r="Z897" s="87"/>
      <c r="AA897" s="87"/>
      <c r="AB897" s="29"/>
      <c r="AC897" s="94"/>
      <c r="AD897" s="94"/>
      <c r="AE897" s="89"/>
      <c r="AF897" s="89"/>
      <c r="AG897" s="89"/>
      <c r="AH897" s="89"/>
      <c r="AI897" s="90"/>
      <c r="AJ897" s="90"/>
      <c r="AK897" s="90"/>
      <c r="AL897" s="90"/>
      <c r="AM897" s="91"/>
      <c r="AN897" s="91"/>
      <c r="AO897" s="92"/>
      <c r="AP897" s="92"/>
      <c r="AQ897" s="92"/>
      <c r="AR897" s="92"/>
      <c r="AS897" s="93"/>
      <c r="AT897" s="93"/>
      <c r="AU897" s="93"/>
      <c r="AV897" s="93"/>
      <c r="AW897" s="93"/>
      <c r="AX897" s="92"/>
      <c r="AY897" s="92"/>
      <c r="AZ897" s="90"/>
      <c r="BA897" s="83"/>
      <c r="BB897" s="92"/>
      <c r="BC897" s="92"/>
      <c r="BD897" s="92"/>
      <c r="BE897" s="93"/>
      <c r="BF897" s="92"/>
      <c r="BG897" s="82"/>
      <c r="BH897" s="82"/>
      <c r="BI897" s="29"/>
      <c r="BJ897" s="29"/>
      <c r="BK897" s="29"/>
    </row>
    <row r="898" ht="15.75" hidden="1" customHeight="1">
      <c r="A898" s="75"/>
      <c r="B898" s="73"/>
      <c r="C898" s="76"/>
      <c r="D898" s="76"/>
      <c r="E898" s="76"/>
      <c r="F898" s="77"/>
      <c r="G898" s="78"/>
      <c r="H898" s="76"/>
      <c r="I898" s="76"/>
      <c r="J898" s="79"/>
      <c r="K898" s="80"/>
      <c r="L898" s="81"/>
      <c r="M898" s="81"/>
      <c r="N898" s="82"/>
      <c r="O898" s="83"/>
      <c r="P898" s="84"/>
      <c r="Q898" s="84"/>
      <c r="R898" s="81"/>
      <c r="S898" s="85"/>
      <c r="T898" s="86"/>
      <c r="U898" s="86"/>
      <c r="V898" s="87"/>
      <c r="W898" s="87"/>
      <c r="X898" s="87"/>
      <c r="Y898" s="87"/>
      <c r="Z898" s="87"/>
      <c r="AA898" s="87"/>
      <c r="AB898" s="29"/>
      <c r="AC898" s="94"/>
      <c r="AD898" s="94"/>
      <c r="AE898" s="89"/>
      <c r="AF898" s="89"/>
      <c r="AG898" s="89"/>
      <c r="AH898" s="89"/>
      <c r="AI898" s="90"/>
      <c r="AJ898" s="90"/>
      <c r="AK898" s="90"/>
      <c r="AL898" s="90"/>
      <c r="AM898" s="91"/>
      <c r="AN898" s="91"/>
      <c r="AO898" s="92"/>
      <c r="AP898" s="92"/>
      <c r="AQ898" s="92"/>
      <c r="AR898" s="92"/>
      <c r="AS898" s="93"/>
      <c r="AT898" s="93"/>
      <c r="AU898" s="93"/>
      <c r="AV898" s="93"/>
      <c r="AW898" s="93"/>
      <c r="AX898" s="92"/>
      <c r="AY898" s="92"/>
      <c r="AZ898" s="90"/>
      <c r="BA898" s="83"/>
      <c r="BB898" s="92"/>
      <c r="BC898" s="92"/>
      <c r="BD898" s="92"/>
      <c r="BE898" s="93"/>
      <c r="BF898" s="92"/>
      <c r="BG898" s="82"/>
      <c r="BH898" s="82"/>
      <c r="BI898" s="29"/>
      <c r="BJ898" s="29"/>
      <c r="BK898" s="29"/>
    </row>
    <row r="899" ht="15.75" hidden="1" customHeight="1">
      <c r="A899" s="75"/>
      <c r="B899" s="73"/>
      <c r="C899" s="76"/>
      <c r="D899" s="76"/>
      <c r="E899" s="76"/>
      <c r="F899" s="77"/>
      <c r="G899" s="78"/>
      <c r="H899" s="76"/>
      <c r="I899" s="76"/>
      <c r="J899" s="79"/>
      <c r="K899" s="80"/>
      <c r="L899" s="81"/>
      <c r="M899" s="81"/>
      <c r="N899" s="82"/>
      <c r="O899" s="83"/>
      <c r="P899" s="84"/>
      <c r="Q899" s="84"/>
      <c r="R899" s="81"/>
      <c r="S899" s="85"/>
      <c r="T899" s="86"/>
      <c r="U899" s="86"/>
      <c r="V899" s="87"/>
      <c r="W899" s="87"/>
      <c r="X899" s="87"/>
      <c r="Y899" s="87"/>
      <c r="Z899" s="87"/>
      <c r="AA899" s="87"/>
      <c r="AB899" s="29"/>
      <c r="AC899" s="94"/>
      <c r="AD899" s="94"/>
      <c r="AE899" s="89"/>
      <c r="AF899" s="89"/>
      <c r="AG899" s="89"/>
      <c r="AH899" s="89"/>
      <c r="AI899" s="90"/>
      <c r="AJ899" s="90"/>
      <c r="AK899" s="90"/>
      <c r="AL899" s="90"/>
      <c r="AM899" s="91"/>
      <c r="AN899" s="91"/>
      <c r="AO899" s="92"/>
      <c r="AP899" s="92"/>
      <c r="AQ899" s="92"/>
      <c r="AR899" s="92"/>
      <c r="AS899" s="93"/>
      <c r="AT899" s="93"/>
      <c r="AU899" s="93"/>
      <c r="AV899" s="93"/>
      <c r="AW899" s="93"/>
      <c r="AX899" s="92"/>
      <c r="AY899" s="92"/>
      <c r="AZ899" s="90"/>
      <c r="BA899" s="83"/>
      <c r="BB899" s="92"/>
      <c r="BC899" s="92"/>
      <c r="BD899" s="92"/>
      <c r="BE899" s="93"/>
      <c r="BF899" s="92"/>
      <c r="BG899" s="82"/>
      <c r="BH899" s="82"/>
      <c r="BI899" s="29"/>
      <c r="BJ899" s="29"/>
      <c r="BK899" s="29"/>
    </row>
    <row r="900" ht="15.75" hidden="1" customHeight="1">
      <c r="A900" s="75"/>
      <c r="B900" s="73"/>
      <c r="C900" s="76"/>
      <c r="D900" s="76"/>
      <c r="E900" s="76"/>
      <c r="F900" s="77"/>
      <c r="G900" s="78"/>
      <c r="H900" s="76"/>
      <c r="I900" s="76"/>
      <c r="J900" s="79"/>
      <c r="K900" s="80"/>
      <c r="L900" s="81"/>
      <c r="M900" s="81"/>
      <c r="N900" s="82"/>
      <c r="O900" s="83"/>
      <c r="P900" s="84"/>
      <c r="Q900" s="84"/>
      <c r="R900" s="81"/>
      <c r="S900" s="85"/>
      <c r="T900" s="86"/>
      <c r="U900" s="86"/>
      <c r="V900" s="87"/>
      <c r="W900" s="87"/>
      <c r="X900" s="87"/>
      <c r="Y900" s="87"/>
      <c r="Z900" s="87"/>
      <c r="AA900" s="87"/>
      <c r="AB900" s="29"/>
      <c r="AC900" s="94"/>
      <c r="AD900" s="94"/>
      <c r="AE900" s="89"/>
      <c r="AF900" s="89"/>
      <c r="AG900" s="89"/>
      <c r="AH900" s="89"/>
      <c r="AI900" s="90"/>
      <c r="AJ900" s="90"/>
      <c r="AK900" s="90"/>
      <c r="AL900" s="90"/>
      <c r="AM900" s="91"/>
      <c r="AN900" s="91"/>
      <c r="AO900" s="92"/>
      <c r="AP900" s="92"/>
      <c r="AQ900" s="92"/>
      <c r="AR900" s="92"/>
      <c r="AS900" s="93"/>
      <c r="AT900" s="93"/>
      <c r="AU900" s="93"/>
      <c r="AV900" s="93"/>
      <c r="AW900" s="93"/>
      <c r="AX900" s="92"/>
      <c r="AY900" s="92"/>
      <c r="AZ900" s="90"/>
      <c r="BA900" s="83"/>
      <c r="BB900" s="92"/>
      <c r="BC900" s="92"/>
      <c r="BD900" s="92"/>
      <c r="BE900" s="93"/>
      <c r="BF900" s="92"/>
      <c r="BG900" s="82"/>
      <c r="BH900" s="82"/>
      <c r="BI900" s="29"/>
      <c r="BJ900" s="29"/>
      <c r="BK900" s="29"/>
    </row>
    <row r="901" ht="15.75" hidden="1" customHeight="1">
      <c r="A901" s="75"/>
      <c r="B901" s="73"/>
      <c r="C901" s="76"/>
      <c r="D901" s="76"/>
      <c r="E901" s="76"/>
      <c r="F901" s="77"/>
      <c r="G901" s="78"/>
      <c r="H901" s="76"/>
      <c r="I901" s="76"/>
      <c r="J901" s="79"/>
      <c r="K901" s="80"/>
      <c r="L901" s="81"/>
      <c r="M901" s="81"/>
      <c r="N901" s="82"/>
      <c r="O901" s="83"/>
      <c r="P901" s="84"/>
      <c r="Q901" s="84"/>
      <c r="R901" s="81"/>
      <c r="S901" s="85"/>
      <c r="T901" s="86"/>
      <c r="U901" s="86"/>
      <c r="V901" s="87"/>
      <c r="W901" s="87"/>
      <c r="X901" s="87"/>
      <c r="Y901" s="87"/>
      <c r="Z901" s="87"/>
      <c r="AA901" s="87"/>
      <c r="AB901" s="29"/>
      <c r="AC901" s="94"/>
      <c r="AD901" s="94"/>
      <c r="AE901" s="89"/>
      <c r="AF901" s="89"/>
      <c r="AG901" s="89"/>
      <c r="AH901" s="89"/>
      <c r="AI901" s="90"/>
      <c r="AJ901" s="90"/>
      <c r="AK901" s="90"/>
      <c r="AL901" s="90"/>
      <c r="AM901" s="91"/>
      <c r="AN901" s="91"/>
      <c r="AO901" s="92"/>
      <c r="AP901" s="92"/>
      <c r="AQ901" s="92"/>
      <c r="AR901" s="92"/>
      <c r="AS901" s="93"/>
      <c r="AT901" s="93"/>
      <c r="AU901" s="93"/>
      <c r="AV901" s="93"/>
      <c r="AW901" s="93"/>
      <c r="AX901" s="92"/>
      <c r="AY901" s="92"/>
      <c r="AZ901" s="90"/>
      <c r="BA901" s="83"/>
      <c r="BB901" s="92"/>
      <c r="BC901" s="92"/>
      <c r="BD901" s="92"/>
      <c r="BE901" s="93"/>
      <c r="BF901" s="92"/>
      <c r="BG901" s="82"/>
      <c r="BH901" s="82"/>
      <c r="BI901" s="29"/>
      <c r="BJ901" s="29"/>
      <c r="BK901" s="29"/>
    </row>
    <row r="902" ht="15.75" hidden="1" customHeight="1">
      <c r="A902" s="75"/>
      <c r="B902" s="73"/>
      <c r="C902" s="76"/>
      <c r="D902" s="76"/>
      <c r="E902" s="76"/>
      <c r="F902" s="77"/>
      <c r="G902" s="78"/>
      <c r="H902" s="76"/>
      <c r="I902" s="76"/>
      <c r="J902" s="79"/>
      <c r="K902" s="80"/>
      <c r="L902" s="81"/>
      <c r="M902" s="81"/>
      <c r="N902" s="82"/>
      <c r="O902" s="83"/>
      <c r="P902" s="84"/>
      <c r="Q902" s="84"/>
      <c r="R902" s="81"/>
      <c r="S902" s="85"/>
      <c r="T902" s="86"/>
      <c r="U902" s="86"/>
      <c r="V902" s="87"/>
      <c r="W902" s="87"/>
      <c r="X902" s="87"/>
      <c r="Y902" s="87"/>
      <c r="Z902" s="87"/>
      <c r="AA902" s="87"/>
      <c r="AB902" s="29"/>
      <c r="AC902" s="94"/>
      <c r="AD902" s="94"/>
      <c r="AE902" s="89"/>
      <c r="AF902" s="89"/>
      <c r="AG902" s="89"/>
      <c r="AH902" s="89"/>
      <c r="AI902" s="90"/>
      <c r="AJ902" s="90"/>
      <c r="AK902" s="90"/>
      <c r="AL902" s="90"/>
      <c r="AM902" s="91"/>
      <c r="AN902" s="91"/>
      <c r="AO902" s="92"/>
      <c r="AP902" s="92"/>
      <c r="AQ902" s="92"/>
      <c r="AR902" s="92"/>
      <c r="AS902" s="93"/>
      <c r="AT902" s="93"/>
      <c r="AU902" s="93"/>
      <c r="AV902" s="93"/>
      <c r="AW902" s="93"/>
      <c r="AX902" s="92"/>
      <c r="AY902" s="92"/>
      <c r="AZ902" s="90"/>
      <c r="BA902" s="83"/>
      <c r="BB902" s="92"/>
      <c r="BC902" s="92"/>
      <c r="BD902" s="92"/>
      <c r="BE902" s="93"/>
      <c r="BF902" s="92"/>
      <c r="BG902" s="82"/>
      <c r="BH902" s="82"/>
      <c r="BI902" s="29"/>
      <c r="BJ902" s="29"/>
      <c r="BK902" s="29"/>
    </row>
    <row r="903" ht="15.75" hidden="1" customHeight="1">
      <c r="A903" s="75"/>
      <c r="B903" s="73"/>
      <c r="C903" s="76"/>
      <c r="D903" s="76"/>
      <c r="E903" s="76"/>
      <c r="F903" s="77"/>
      <c r="G903" s="78"/>
      <c r="H903" s="76"/>
      <c r="I903" s="76"/>
      <c r="J903" s="79"/>
      <c r="K903" s="80"/>
      <c r="L903" s="81"/>
      <c r="M903" s="81"/>
      <c r="N903" s="82"/>
      <c r="O903" s="83"/>
      <c r="P903" s="84"/>
      <c r="Q903" s="84"/>
      <c r="R903" s="81"/>
      <c r="S903" s="85"/>
      <c r="T903" s="86"/>
      <c r="U903" s="86"/>
      <c r="V903" s="87"/>
      <c r="W903" s="87"/>
      <c r="X903" s="87"/>
      <c r="Y903" s="87"/>
      <c r="Z903" s="87"/>
      <c r="AA903" s="87"/>
      <c r="AB903" s="29"/>
      <c r="AC903" s="94"/>
      <c r="AD903" s="94"/>
      <c r="AE903" s="89"/>
      <c r="AF903" s="89"/>
      <c r="AG903" s="89"/>
      <c r="AH903" s="89"/>
      <c r="AI903" s="90"/>
      <c r="AJ903" s="90"/>
      <c r="AK903" s="90"/>
      <c r="AL903" s="90"/>
      <c r="AM903" s="91"/>
      <c r="AN903" s="91"/>
      <c r="AO903" s="92"/>
      <c r="AP903" s="92"/>
      <c r="AQ903" s="92"/>
      <c r="AR903" s="92"/>
      <c r="AS903" s="93"/>
      <c r="AT903" s="93"/>
      <c r="AU903" s="93"/>
      <c r="AV903" s="93"/>
      <c r="AW903" s="93"/>
      <c r="AX903" s="92"/>
      <c r="AY903" s="92"/>
      <c r="AZ903" s="90"/>
      <c r="BA903" s="83"/>
      <c r="BB903" s="92"/>
      <c r="BC903" s="92"/>
      <c r="BD903" s="92"/>
      <c r="BE903" s="93"/>
      <c r="BF903" s="92"/>
      <c r="BG903" s="82"/>
      <c r="BH903" s="82"/>
      <c r="BI903" s="29"/>
      <c r="BJ903" s="29"/>
      <c r="BK903" s="29"/>
    </row>
    <row r="904" ht="15.75" hidden="1" customHeight="1">
      <c r="A904" s="75"/>
      <c r="B904" s="73"/>
      <c r="C904" s="76"/>
      <c r="D904" s="76"/>
      <c r="E904" s="76"/>
      <c r="F904" s="77"/>
      <c r="G904" s="78"/>
      <c r="H904" s="76"/>
      <c r="I904" s="76"/>
      <c r="J904" s="79"/>
      <c r="K904" s="80"/>
      <c r="L904" s="81"/>
      <c r="M904" s="81"/>
      <c r="N904" s="82"/>
      <c r="O904" s="83"/>
      <c r="P904" s="84"/>
      <c r="Q904" s="84"/>
      <c r="R904" s="81"/>
      <c r="S904" s="85"/>
      <c r="T904" s="86"/>
      <c r="U904" s="86"/>
      <c r="V904" s="87"/>
      <c r="W904" s="87"/>
      <c r="X904" s="87"/>
      <c r="Y904" s="87"/>
      <c r="Z904" s="87"/>
      <c r="AA904" s="87"/>
      <c r="AB904" s="29"/>
      <c r="AC904" s="94"/>
      <c r="AD904" s="94"/>
      <c r="AE904" s="89"/>
      <c r="AF904" s="89"/>
      <c r="AG904" s="89"/>
      <c r="AH904" s="89"/>
      <c r="AI904" s="90"/>
      <c r="AJ904" s="90"/>
      <c r="AK904" s="90"/>
      <c r="AL904" s="90"/>
      <c r="AM904" s="91"/>
      <c r="AN904" s="91"/>
      <c r="AO904" s="92"/>
      <c r="AP904" s="92"/>
      <c r="AQ904" s="92"/>
      <c r="AR904" s="92"/>
      <c r="AS904" s="93"/>
      <c r="AT904" s="93"/>
      <c r="AU904" s="93"/>
      <c r="AV904" s="93"/>
      <c r="AW904" s="93"/>
      <c r="AX904" s="92"/>
      <c r="AY904" s="92"/>
      <c r="AZ904" s="90"/>
      <c r="BA904" s="83"/>
      <c r="BB904" s="92"/>
      <c r="BC904" s="92"/>
      <c r="BD904" s="92"/>
      <c r="BE904" s="93"/>
      <c r="BF904" s="92"/>
      <c r="BG904" s="82"/>
      <c r="BH904" s="82"/>
      <c r="BI904" s="29"/>
      <c r="BJ904" s="29"/>
      <c r="BK904" s="29"/>
    </row>
    <row r="905" ht="15.75" hidden="1" customHeight="1">
      <c r="A905" s="75"/>
      <c r="B905" s="73"/>
      <c r="C905" s="76"/>
      <c r="D905" s="76"/>
      <c r="E905" s="76"/>
      <c r="F905" s="77"/>
      <c r="G905" s="78"/>
      <c r="H905" s="76"/>
      <c r="I905" s="76"/>
      <c r="J905" s="79"/>
      <c r="K905" s="80"/>
      <c r="L905" s="81"/>
      <c r="M905" s="81"/>
      <c r="N905" s="82"/>
      <c r="O905" s="83"/>
      <c r="P905" s="84"/>
      <c r="Q905" s="84"/>
      <c r="R905" s="81"/>
      <c r="S905" s="85"/>
      <c r="T905" s="86"/>
      <c r="U905" s="86"/>
      <c r="V905" s="87"/>
      <c r="W905" s="87"/>
      <c r="X905" s="87"/>
      <c r="Y905" s="87"/>
      <c r="Z905" s="87"/>
      <c r="AA905" s="87"/>
      <c r="AB905" s="29"/>
      <c r="AC905" s="94"/>
      <c r="AD905" s="94"/>
      <c r="AE905" s="89"/>
      <c r="AF905" s="89"/>
      <c r="AG905" s="89"/>
      <c r="AH905" s="89"/>
      <c r="AI905" s="90"/>
      <c r="AJ905" s="90"/>
      <c r="AK905" s="90"/>
      <c r="AL905" s="90"/>
      <c r="AM905" s="91"/>
      <c r="AN905" s="91"/>
      <c r="AO905" s="92"/>
      <c r="AP905" s="92"/>
      <c r="AQ905" s="92"/>
      <c r="AR905" s="92"/>
      <c r="AS905" s="93"/>
      <c r="AT905" s="93"/>
      <c r="AU905" s="93"/>
      <c r="AV905" s="93"/>
      <c r="AW905" s="93"/>
      <c r="AX905" s="92"/>
      <c r="AY905" s="92"/>
      <c r="AZ905" s="90"/>
      <c r="BA905" s="83"/>
      <c r="BB905" s="92"/>
      <c r="BC905" s="92"/>
      <c r="BD905" s="92"/>
      <c r="BE905" s="93"/>
      <c r="BF905" s="92"/>
      <c r="BG905" s="82"/>
      <c r="BH905" s="82"/>
      <c r="BI905" s="29"/>
      <c r="BJ905" s="29"/>
      <c r="BK905" s="29"/>
    </row>
    <row r="906" ht="15.75" hidden="1" customHeight="1">
      <c r="A906" s="75"/>
      <c r="B906" s="73"/>
      <c r="C906" s="76"/>
      <c r="D906" s="76"/>
      <c r="E906" s="76"/>
      <c r="F906" s="77"/>
      <c r="G906" s="78"/>
      <c r="H906" s="76"/>
      <c r="I906" s="76"/>
      <c r="J906" s="79"/>
      <c r="K906" s="80"/>
      <c r="L906" s="81"/>
      <c r="M906" s="81"/>
      <c r="N906" s="82"/>
      <c r="O906" s="83"/>
      <c r="P906" s="84"/>
      <c r="Q906" s="84"/>
      <c r="R906" s="81"/>
      <c r="S906" s="85"/>
      <c r="T906" s="86"/>
      <c r="U906" s="86"/>
      <c r="V906" s="87"/>
      <c r="W906" s="87"/>
      <c r="X906" s="87"/>
      <c r="Y906" s="87"/>
      <c r="Z906" s="87"/>
      <c r="AA906" s="87"/>
      <c r="AB906" s="29"/>
      <c r="AC906" s="94"/>
      <c r="AD906" s="94"/>
      <c r="AE906" s="89"/>
      <c r="AF906" s="89"/>
      <c r="AG906" s="89"/>
      <c r="AH906" s="89"/>
      <c r="AI906" s="90"/>
      <c r="AJ906" s="90"/>
      <c r="AK906" s="90"/>
      <c r="AL906" s="90"/>
      <c r="AM906" s="91"/>
      <c r="AN906" s="91"/>
      <c r="AO906" s="92"/>
      <c r="AP906" s="92"/>
      <c r="AQ906" s="92"/>
      <c r="AR906" s="92"/>
      <c r="AS906" s="93"/>
      <c r="AT906" s="93"/>
      <c r="AU906" s="93"/>
      <c r="AV906" s="93"/>
      <c r="AW906" s="93"/>
      <c r="AX906" s="92"/>
      <c r="AY906" s="92"/>
      <c r="AZ906" s="90"/>
      <c r="BA906" s="83"/>
      <c r="BB906" s="92"/>
      <c r="BC906" s="92"/>
      <c r="BD906" s="92"/>
      <c r="BE906" s="93"/>
      <c r="BF906" s="92"/>
      <c r="BG906" s="82"/>
      <c r="BH906" s="82"/>
      <c r="BI906" s="29"/>
      <c r="BJ906" s="29"/>
      <c r="BK906" s="29"/>
    </row>
    <row r="907" ht="15.75" hidden="1" customHeight="1">
      <c r="A907" s="75"/>
      <c r="B907" s="73"/>
      <c r="C907" s="76"/>
      <c r="D907" s="76"/>
      <c r="E907" s="76"/>
      <c r="F907" s="77"/>
      <c r="G907" s="78"/>
      <c r="H907" s="76"/>
      <c r="I907" s="76"/>
      <c r="J907" s="79"/>
      <c r="K907" s="80"/>
      <c r="L907" s="81"/>
      <c r="M907" s="81"/>
      <c r="N907" s="82"/>
      <c r="O907" s="83"/>
      <c r="P907" s="84"/>
      <c r="Q907" s="84"/>
      <c r="R907" s="81"/>
      <c r="S907" s="85"/>
      <c r="T907" s="86"/>
      <c r="U907" s="86"/>
      <c r="V907" s="87"/>
      <c r="W907" s="87"/>
      <c r="X907" s="87"/>
      <c r="Y907" s="87"/>
      <c r="Z907" s="87"/>
      <c r="AA907" s="87"/>
      <c r="AB907" s="29"/>
      <c r="AC907" s="94"/>
      <c r="AD907" s="94"/>
      <c r="AE907" s="89"/>
      <c r="AF907" s="89"/>
      <c r="AG907" s="89"/>
      <c r="AH907" s="89"/>
      <c r="AI907" s="90"/>
      <c r="AJ907" s="90"/>
      <c r="AK907" s="90"/>
      <c r="AL907" s="90"/>
      <c r="AM907" s="91"/>
      <c r="AN907" s="91"/>
      <c r="AO907" s="92"/>
      <c r="AP907" s="92"/>
      <c r="AQ907" s="92"/>
      <c r="AR907" s="92"/>
      <c r="AS907" s="93"/>
      <c r="AT907" s="93"/>
      <c r="AU907" s="93"/>
      <c r="AV907" s="93"/>
      <c r="AW907" s="93"/>
      <c r="AX907" s="92"/>
      <c r="AY907" s="92"/>
      <c r="AZ907" s="90"/>
      <c r="BA907" s="83"/>
      <c r="BB907" s="92"/>
      <c r="BC907" s="92"/>
      <c r="BD907" s="92"/>
      <c r="BE907" s="93"/>
      <c r="BF907" s="92"/>
      <c r="BG907" s="82"/>
      <c r="BH907" s="82"/>
      <c r="BI907" s="29"/>
      <c r="BJ907" s="29"/>
      <c r="BK907" s="29"/>
    </row>
    <row r="908" ht="15.75" hidden="1" customHeight="1">
      <c r="A908" s="75"/>
      <c r="B908" s="73"/>
      <c r="C908" s="76"/>
      <c r="D908" s="76"/>
      <c r="E908" s="76"/>
      <c r="F908" s="77"/>
      <c r="G908" s="78"/>
      <c r="H908" s="76"/>
      <c r="I908" s="76"/>
      <c r="J908" s="79"/>
      <c r="K908" s="80"/>
      <c r="L908" s="81"/>
      <c r="M908" s="81"/>
      <c r="N908" s="82"/>
      <c r="O908" s="83"/>
      <c r="P908" s="84"/>
      <c r="Q908" s="84"/>
      <c r="R908" s="81"/>
      <c r="S908" s="85"/>
      <c r="T908" s="86"/>
      <c r="U908" s="86"/>
      <c r="V908" s="87"/>
      <c r="W908" s="87"/>
      <c r="X908" s="87"/>
      <c r="Y908" s="87"/>
      <c r="Z908" s="87"/>
      <c r="AA908" s="87"/>
      <c r="AB908" s="29"/>
      <c r="AC908" s="94"/>
      <c r="AD908" s="94"/>
      <c r="AE908" s="89"/>
      <c r="AF908" s="89"/>
      <c r="AG908" s="89"/>
      <c r="AH908" s="89"/>
      <c r="AI908" s="90"/>
      <c r="AJ908" s="90"/>
      <c r="AK908" s="90"/>
      <c r="AL908" s="90"/>
      <c r="AM908" s="91"/>
      <c r="AN908" s="91"/>
      <c r="AO908" s="92"/>
      <c r="AP908" s="92"/>
      <c r="AQ908" s="92"/>
      <c r="AR908" s="92"/>
      <c r="AS908" s="93"/>
      <c r="AT908" s="93"/>
      <c r="AU908" s="93"/>
      <c r="AV908" s="93"/>
      <c r="AW908" s="93"/>
      <c r="AX908" s="92"/>
      <c r="AY908" s="92"/>
      <c r="AZ908" s="90"/>
      <c r="BA908" s="83"/>
      <c r="BB908" s="92"/>
      <c r="BC908" s="92"/>
      <c r="BD908" s="92"/>
      <c r="BE908" s="93"/>
      <c r="BF908" s="92"/>
      <c r="BG908" s="82"/>
      <c r="BH908" s="82"/>
      <c r="BI908" s="29"/>
      <c r="BJ908" s="29"/>
      <c r="BK908" s="29"/>
    </row>
    <row r="909" ht="15.75" hidden="1" customHeight="1">
      <c r="A909" s="75"/>
      <c r="B909" s="73"/>
      <c r="C909" s="76"/>
      <c r="D909" s="76"/>
      <c r="E909" s="76"/>
      <c r="F909" s="77"/>
      <c r="G909" s="78"/>
      <c r="H909" s="76"/>
      <c r="I909" s="76"/>
      <c r="J909" s="79"/>
      <c r="K909" s="80"/>
      <c r="L909" s="81"/>
      <c r="M909" s="81"/>
      <c r="N909" s="82"/>
      <c r="O909" s="83"/>
      <c r="P909" s="84"/>
      <c r="Q909" s="84"/>
      <c r="R909" s="81"/>
      <c r="S909" s="85"/>
      <c r="T909" s="86"/>
      <c r="U909" s="86"/>
      <c r="V909" s="87"/>
      <c r="W909" s="87"/>
      <c r="X909" s="87"/>
      <c r="Y909" s="87"/>
      <c r="Z909" s="87"/>
      <c r="AA909" s="87"/>
      <c r="AB909" s="29"/>
      <c r="AC909" s="94"/>
      <c r="AD909" s="94"/>
      <c r="AE909" s="89"/>
      <c r="AF909" s="89"/>
      <c r="AG909" s="89"/>
      <c r="AH909" s="89"/>
      <c r="AI909" s="90"/>
      <c r="AJ909" s="90"/>
      <c r="AK909" s="90"/>
      <c r="AL909" s="90"/>
      <c r="AM909" s="91"/>
      <c r="AN909" s="91"/>
      <c r="AO909" s="92"/>
      <c r="AP909" s="92"/>
      <c r="AQ909" s="92"/>
      <c r="AR909" s="92"/>
      <c r="AS909" s="93"/>
      <c r="AT909" s="93"/>
      <c r="AU909" s="93"/>
      <c r="AV909" s="93"/>
      <c r="AW909" s="93"/>
      <c r="AX909" s="92"/>
      <c r="AY909" s="92"/>
      <c r="AZ909" s="90"/>
      <c r="BA909" s="83"/>
      <c r="BB909" s="92"/>
      <c r="BC909" s="92"/>
      <c r="BD909" s="92"/>
      <c r="BE909" s="93"/>
      <c r="BF909" s="92"/>
      <c r="BG909" s="82"/>
      <c r="BH909" s="82"/>
      <c r="BI909" s="29"/>
      <c r="BJ909" s="29"/>
      <c r="BK909" s="29"/>
    </row>
    <row r="910" ht="15.75" hidden="1" customHeight="1">
      <c r="A910" s="75"/>
      <c r="B910" s="73"/>
      <c r="C910" s="76"/>
      <c r="D910" s="76"/>
      <c r="E910" s="76"/>
      <c r="F910" s="77"/>
      <c r="G910" s="78"/>
      <c r="H910" s="76"/>
      <c r="I910" s="76"/>
      <c r="J910" s="79"/>
      <c r="K910" s="80"/>
      <c r="L910" s="81"/>
      <c r="M910" s="81"/>
      <c r="N910" s="82"/>
      <c r="O910" s="83"/>
      <c r="P910" s="84"/>
      <c r="Q910" s="84"/>
      <c r="R910" s="81"/>
      <c r="S910" s="85"/>
      <c r="T910" s="86"/>
      <c r="U910" s="86"/>
      <c r="V910" s="87"/>
      <c r="W910" s="87"/>
      <c r="X910" s="87"/>
      <c r="Y910" s="87"/>
      <c r="Z910" s="87"/>
      <c r="AA910" s="87"/>
      <c r="AB910" s="29"/>
      <c r="AC910" s="94"/>
      <c r="AD910" s="94"/>
      <c r="AE910" s="89"/>
      <c r="AF910" s="89"/>
      <c r="AG910" s="89"/>
      <c r="AH910" s="89"/>
      <c r="AI910" s="90"/>
      <c r="AJ910" s="90"/>
      <c r="AK910" s="90"/>
      <c r="AL910" s="90"/>
      <c r="AM910" s="91"/>
      <c r="AN910" s="91"/>
      <c r="AO910" s="92"/>
      <c r="AP910" s="92"/>
      <c r="AQ910" s="92"/>
      <c r="AR910" s="92"/>
      <c r="AS910" s="93"/>
      <c r="AT910" s="93"/>
      <c r="AU910" s="93"/>
      <c r="AV910" s="93"/>
      <c r="AW910" s="93"/>
      <c r="AX910" s="92"/>
      <c r="AY910" s="92"/>
      <c r="AZ910" s="90"/>
      <c r="BA910" s="83"/>
      <c r="BB910" s="92"/>
      <c r="BC910" s="92"/>
      <c r="BD910" s="92"/>
      <c r="BE910" s="93"/>
      <c r="BF910" s="92"/>
      <c r="BG910" s="82"/>
      <c r="BH910" s="82"/>
      <c r="BI910" s="29"/>
      <c r="BJ910" s="29"/>
      <c r="BK910" s="29"/>
    </row>
    <row r="911" ht="15.75" hidden="1" customHeight="1">
      <c r="A911" s="75"/>
      <c r="B911" s="73"/>
      <c r="C911" s="76"/>
      <c r="D911" s="76"/>
      <c r="E911" s="76"/>
      <c r="F911" s="77"/>
      <c r="G911" s="78"/>
      <c r="H911" s="76"/>
      <c r="I911" s="76"/>
      <c r="J911" s="79"/>
      <c r="K911" s="80"/>
      <c r="L911" s="81"/>
      <c r="M911" s="81"/>
      <c r="N911" s="82"/>
      <c r="O911" s="83"/>
      <c r="P911" s="84"/>
      <c r="Q911" s="84"/>
      <c r="R911" s="81"/>
      <c r="S911" s="85"/>
      <c r="T911" s="86"/>
      <c r="U911" s="86"/>
      <c r="V911" s="87"/>
      <c r="W911" s="87"/>
      <c r="X911" s="87"/>
      <c r="Y911" s="87"/>
      <c r="Z911" s="87"/>
      <c r="AA911" s="87"/>
      <c r="AB911" s="29"/>
      <c r="AC911" s="94"/>
      <c r="AD911" s="94"/>
      <c r="AE911" s="89"/>
      <c r="AF911" s="89"/>
      <c r="AG911" s="89"/>
      <c r="AH911" s="89"/>
      <c r="AI911" s="90"/>
      <c r="AJ911" s="90"/>
      <c r="AK911" s="90"/>
      <c r="AL911" s="90"/>
      <c r="AM911" s="91"/>
      <c r="AN911" s="91"/>
      <c r="AO911" s="92"/>
      <c r="AP911" s="92"/>
      <c r="AQ911" s="92"/>
      <c r="AR911" s="92"/>
      <c r="AS911" s="93"/>
      <c r="AT911" s="93"/>
      <c r="AU911" s="93"/>
      <c r="AV911" s="93"/>
      <c r="AW911" s="93"/>
      <c r="AX911" s="92"/>
      <c r="AY911" s="92"/>
      <c r="AZ911" s="90"/>
      <c r="BA911" s="83"/>
      <c r="BB911" s="92"/>
      <c r="BC911" s="92"/>
      <c r="BD911" s="92"/>
      <c r="BE911" s="93"/>
      <c r="BF911" s="92"/>
      <c r="BG911" s="82"/>
      <c r="BH911" s="82"/>
      <c r="BI911" s="29"/>
      <c r="BJ911" s="29"/>
      <c r="BK911" s="29"/>
    </row>
    <row r="912" ht="15.75" hidden="1" customHeight="1">
      <c r="A912" s="75"/>
      <c r="B912" s="73"/>
      <c r="C912" s="76"/>
      <c r="D912" s="76"/>
      <c r="E912" s="76"/>
      <c r="F912" s="77"/>
      <c r="G912" s="78"/>
      <c r="H912" s="76"/>
      <c r="I912" s="76"/>
      <c r="J912" s="79"/>
      <c r="K912" s="80"/>
      <c r="L912" s="81"/>
      <c r="M912" s="81"/>
      <c r="N912" s="82"/>
      <c r="O912" s="83"/>
      <c r="P912" s="84"/>
      <c r="Q912" s="84"/>
      <c r="R912" s="81"/>
      <c r="S912" s="85"/>
      <c r="T912" s="86"/>
      <c r="U912" s="86"/>
      <c r="V912" s="87"/>
      <c r="W912" s="87"/>
      <c r="X912" s="87"/>
      <c r="Y912" s="87"/>
      <c r="Z912" s="87"/>
      <c r="AA912" s="87"/>
      <c r="AB912" s="29"/>
      <c r="AC912" s="94"/>
      <c r="AD912" s="94"/>
      <c r="AE912" s="89"/>
      <c r="AF912" s="89"/>
      <c r="AG912" s="89"/>
      <c r="AH912" s="89"/>
      <c r="AI912" s="90"/>
      <c r="AJ912" s="90"/>
      <c r="AK912" s="90"/>
      <c r="AL912" s="90"/>
      <c r="AM912" s="91"/>
      <c r="AN912" s="91"/>
      <c r="AO912" s="92"/>
      <c r="AP912" s="92"/>
      <c r="AQ912" s="92"/>
      <c r="AR912" s="92"/>
      <c r="AS912" s="93"/>
      <c r="AT912" s="93"/>
      <c r="AU912" s="93"/>
      <c r="AV912" s="93"/>
      <c r="AW912" s="93"/>
      <c r="AX912" s="92"/>
      <c r="AY912" s="92"/>
      <c r="AZ912" s="90"/>
      <c r="BA912" s="83"/>
      <c r="BB912" s="92"/>
      <c r="BC912" s="92"/>
      <c r="BD912" s="92"/>
      <c r="BE912" s="93"/>
      <c r="BF912" s="92"/>
      <c r="BG912" s="82"/>
      <c r="BH912" s="82"/>
      <c r="BI912" s="29"/>
      <c r="BJ912" s="29"/>
      <c r="BK912" s="29"/>
    </row>
    <row r="913" ht="15.75" hidden="1" customHeight="1">
      <c r="A913" s="75"/>
      <c r="B913" s="73"/>
      <c r="C913" s="76"/>
      <c r="D913" s="76"/>
      <c r="E913" s="76"/>
      <c r="F913" s="77"/>
      <c r="G913" s="78"/>
      <c r="H913" s="76"/>
      <c r="I913" s="76"/>
      <c r="J913" s="79"/>
      <c r="K913" s="80"/>
      <c r="L913" s="81"/>
      <c r="M913" s="81"/>
      <c r="N913" s="82"/>
      <c r="O913" s="83"/>
      <c r="P913" s="84"/>
      <c r="Q913" s="84"/>
      <c r="R913" s="81"/>
      <c r="S913" s="85"/>
      <c r="T913" s="86"/>
      <c r="U913" s="86"/>
      <c r="V913" s="87"/>
      <c r="W913" s="87"/>
      <c r="X913" s="87"/>
      <c r="Y913" s="87"/>
      <c r="Z913" s="87"/>
      <c r="AA913" s="87"/>
      <c r="AB913" s="29"/>
      <c r="AC913" s="94"/>
      <c r="AD913" s="94"/>
      <c r="AE913" s="89"/>
      <c r="AF913" s="89"/>
      <c r="AG913" s="89"/>
      <c r="AH913" s="89"/>
      <c r="AI913" s="90"/>
      <c r="AJ913" s="90"/>
      <c r="AK913" s="90"/>
      <c r="AL913" s="90"/>
      <c r="AM913" s="91"/>
      <c r="AN913" s="91"/>
      <c r="AO913" s="92"/>
      <c r="AP913" s="92"/>
      <c r="AQ913" s="92"/>
      <c r="AR913" s="92"/>
      <c r="AS913" s="93"/>
      <c r="AT913" s="93"/>
      <c r="AU913" s="93"/>
      <c r="AV913" s="93"/>
      <c r="AW913" s="93"/>
      <c r="AX913" s="92"/>
      <c r="AY913" s="92"/>
      <c r="AZ913" s="90"/>
      <c r="BA913" s="83"/>
      <c r="BB913" s="92"/>
      <c r="BC913" s="92"/>
      <c r="BD913" s="92"/>
      <c r="BE913" s="93"/>
      <c r="BF913" s="92"/>
      <c r="BG913" s="82"/>
      <c r="BH913" s="82"/>
      <c r="BI913" s="29"/>
      <c r="BJ913" s="29"/>
      <c r="BK913" s="29"/>
    </row>
    <row r="914" ht="15.75" hidden="1" customHeight="1">
      <c r="A914" s="75"/>
      <c r="B914" s="73"/>
      <c r="C914" s="76"/>
      <c r="D914" s="76"/>
      <c r="E914" s="76"/>
      <c r="F914" s="77"/>
      <c r="G914" s="78"/>
      <c r="H914" s="76"/>
      <c r="I914" s="76"/>
      <c r="J914" s="79"/>
      <c r="K914" s="80"/>
      <c r="L914" s="81"/>
      <c r="M914" s="81"/>
      <c r="N914" s="82"/>
      <c r="O914" s="83"/>
      <c r="P914" s="84"/>
      <c r="Q914" s="84"/>
      <c r="R914" s="81"/>
      <c r="S914" s="85"/>
      <c r="T914" s="86"/>
      <c r="U914" s="86"/>
      <c r="V914" s="87"/>
      <c r="W914" s="87"/>
      <c r="X914" s="87"/>
      <c r="Y914" s="87"/>
      <c r="Z914" s="87"/>
      <c r="AA914" s="87"/>
      <c r="AB914" s="29"/>
      <c r="AC914" s="94"/>
      <c r="AD914" s="94"/>
      <c r="AE914" s="89"/>
      <c r="AF914" s="89"/>
      <c r="AG914" s="89"/>
      <c r="AH914" s="89"/>
      <c r="AI914" s="90"/>
      <c r="AJ914" s="90"/>
      <c r="AK914" s="90"/>
      <c r="AL914" s="90"/>
      <c r="AM914" s="91"/>
      <c r="AN914" s="91"/>
      <c r="AO914" s="92"/>
      <c r="AP914" s="92"/>
      <c r="AQ914" s="92"/>
      <c r="AR914" s="92"/>
      <c r="AS914" s="93"/>
      <c r="AT914" s="93"/>
      <c r="AU914" s="93"/>
      <c r="AV914" s="93"/>
      <c r="AW914" s="93"/>
      <c r="AX914" s="92"/>
      <c r="AY914" s="92"/>
      <c r="AZ914" s="90"/>
      <c r="BA914" s="83"/>
      <c r="BB914" s="92"/>
      <c r="BC914" s="92"/>
      <c r="BD914" s="92"/>
      <c r="BE914" s="93"/>
      <c r="BF914" s="92"/>
      <c r="BG914" s="82"/>
      <c r="BH914" s="82"/>
      <c r="BI914" s="29"/>
      <c r="BJ914" s="29"/>
      <c r="BK914" s="29"/>
    </row>
    <row r="915" ht="15.75" hidden="1" customHeight="1">
      <c r="A915" s="75"/>
      <c r="B915" s="73"/>
      <c r="C915" s="76"/>
      <c r="D915" s="76"/>
      <c r="E915" s="76"/>
      <c r="F915" s="77"/>
      <c r="G915" s="78"/>
      <c r="H915" s="76"/>
      <c r="I915" s="76"/>
      <c r="J915" s="79"/>
      <c r="K915" s="80"/>
      <c r="L915" s="81"/>
      <c r="M915" s="81"/>
      <c r="N915" s="82"/>
      <c r="O915" s="83"/>
      <c r="P915" s="84"/>
      <c r="Q915" s="84"/>
      <c r="R915" s="81"/>
      <c r="S915" s="85"/>
      <c r="T915" s="86"/>
      <c r="U915" s="86"/>
      <c r="V915" s="87"/>
      <c r="W915" s="87"/>
      <c r="X915" s="87"/>
      <c r="Y915" s="87"/>
      <c r="Z915" s="87"/>
      <c r="AA915" s="87"/>
      <c r="AB915" s="29"/>
      <c r="AC915" s="94"/>
      <c r="AD915" s="94"/>
      <c r="AE915" s="89"/>
      <c r="AF915" s="89"/>
      <c r="AG915" s="89"/>
      <c r="AH915" s="89"/>
      <c r="AI915" s="90"/>
      <c r="AJ915" s="90"/>
      <c r="AK915" s="90"/>
      <c r="AL915" s="90"/>
      <c r="AM915" s="91"/>
      <c r="AN915" s="91"/>
      <c r="AO915" s="92"/>
      <c r="AP915" s="92"/>
      <c r="AQ915" s="92"/>
      <c r="AR915" s="92"/>
      <c r="AS915" s="93"/>
      <c r="AT915" s="93"/>
      <c r="AU915" s="93"/>
      <c r="AV915" s="93"/>
      <c r="AW915" s="93"/>
      <c r="AX915" s="92"/>
      <c r="AY915" s="92"/>
      <c r="AZ915" s="90"/>
      <c r="BA915" s="83"/>
      <c r="BB915" s="92"/>
      <c r="BC915" s="92"/>
      <c r="BD915" s="92"/>
      <c r="BE915" s="93"/>
      <c r="BF915" s="92"/>
      <c r="BG915" s="82"/>
      <c r="BH915" s="82"/>
      <c r="BI915" s="29"/>
      <c r="BJ915" s="29"/>
      <c r="BK915" s="29"/>
    </row>
    <row r="916" ht="15.75" hidden="1" customHeight="1">
      <c r="A916" s="75"/>
      <c r="B916" s="73"/>
      <c r="C916" s="76"/>
      <c r="D916" s="76"/>
      <c r="E916" s="76"/>
      <c r="F916" s="77"/>
      <c r="G916" s="78"/>
      <c r="H916" s="76"/>
      <c r="I916" s="76"/>
      <c r="J916" s="79"/>
      <c r="K916" s="80"/>
      <c r="L916" s="81"/>
      <c r="M916" s="81"/>
      <c r="N916" s="82"/>
      <c r="O916" s="83"/>
      <c r="P916" s="84"/>
      <c r="Q916" s="84"/>
      <c r="R916" s="81"/>
      <c r="S916" s="85"/>
      <c r="T916" s="86"/>
      <c r="U916" s="86"/>
      <c r="V916" s="87"/>
      <c r="W916" s="87"/>
      <c r="X916" s="87"/>
      <c r="Y916" s="87"/>
      <c r="Z916" s="87"/>
      <c r="AA916" s="87"/>
      <c r="AB916" s="29"/>
      <c r="AC916" s="94"/>
      <c r="AD916" s="94"/>
      <c r="AE916" s="89"/>
      <c r="AF916" s="89"/>
      <c r="AG916" s="89"/>
      <c r="AH916" s="89"/>
      <c r="AI916" s="90"/>
      <c r="AJ916" s="90"/>
      <c r="AK916" s="90"/>
      <c r="AL916" s="90"/>
      <c r="AM916" s="91"/>
      <c r="AN916" s="91"/>
      <c r="AO916" s="92"/>
      <c r="AP916" s="92"/>
      <c r="AQ916" s="92"/>
      <c r="AR916" s="92"/>
      <c r="AS916" s="93"/>
      <c r="AT916" s="93"/>
      <c r="AU916" s="93"/>
      <c r="AV916" s="93"/>
      <c r="AW916" s="93"/>
      <c r="AX916" s="92"/>
      <c r="AY916" s="92"/>
      <c r="AZ916" s="90"/>
      <c r="BA916" s="83"/>
      <c r="BB916" s="92"/>
      <c r="BC916" s="92"/>
      <c r="BD916" s="92"/>
      <c r="BE916" s="93"/>
      <c r="BF916" s="92"/>
      <c r="BG916" s="82"/>
      <c r="BH916" s="82"/>
      <c r="BI916" s="29"/>
      <c r="BJ916" s="29"/>
      <c r="BK916" s="29"/>
    </row>
    <row r="917" ht="15.75" hidden="1" customHeight="1">
      <c r="A917" s="75"/>
      <c r="B917" s="73"/>
      <c r="C917" s="76"/>
      <c r="D917" s="76"/>
      <c r="E917" s="76"/>
      <c r="F917" s="77"/>
      <c r="G917" s="78"/>
      <c r="H917" s="76"/>
      <c r="I917" s="76"/>
      <c r="J917" s="79"/>
      <c r="K917" s="80"/>
      <c r="L917" s="81"/>
      <c r="M917" s="81"/>
      <c r="N917" s="82"/>
      <c r="O917" s="83"/>
      <c r="P917" s="84"/>
      <c r="Q917" s="84"/>
      <c r="R917" s="81"/>
      <c r="S917" s="85"/>
      <c r="T917" s="86"/>
      <c r="U917" s="86"/>
      <c r="V917" s="87"/>
      <c r="W917" s="87"/>
      <c r="X917" s="87"/>
      <c r="Y917" s="87"/>
      <c r="Z917" s="87"/>
      <c r="AA917" s="87"/>
      <c r="AB917" s="29"/>
      <c r="AC917" s="94"/>
      <c r="AD917" s="94"/>
      <c r="AE917" s="89"/>
      <c r="AF917" s="89"/>
      <c r="AG917" s="89"/>
      <c r="AH917" s="89"/>
      <c r="AI917" s="90"/>
      <c r="AJ917" s="90"/>
      <c r="AK917" s="90"/>
      <c r="AL917" s="90"/>
      <c r="AM917" s="91"/>
      <c r="AN917" s="91"/>
      <c r="AO917" s="92"/>
      <c r="AP917" s="92"/>
      <c r="AQ917" s="92"/>
      <c r="AR917" s="92"/>
      <c r="AS917" s="93"/>
      <c r="AT917" s="93"/>
      <c r="AU917" s="93"/>
      <c r="AV917" s="93"/>
      <c r="AW917" s="93"/>
      <c r="AX917" s="92"/>
      <c r="AY917" s="92"/>
      <c r="AZ917" s="90"/>
      <c r="BA917" s="83"/>
      <c r="BB917" s="92"/>
      <c r="BC917" s="92"/>
      <c r="BD917" s="92"/>
      <c r="BE917" s="93"/>
      <c r="BF917" s="92"/>
      <c r="BG917" s="82"/>
      <c r="BH917" s="82"/>
      <c r="BI917" s="29"/>
      <c r="BJ917" s="29"/>
      <c r="BK917" s="29"/>
    </row>
    <row r="918" ht="15.75" hidden="1" customHeight="1">
      <c r="A918" s="75"/>
      <c r="B918" s="73"/>
      <c r="C918" s="76"/>
      <c r="D918" s="76"/>
      <c r="E918" s="76"/>
      <c r="F918" s="77"/>
      <c r="G918" s="78"/>
      <c r="H918" s="76"/>
      <c r="I918" s="76"/>
      <c r="J918" s="79"/>
      <c r="K918" s="80"/>
      <c r="L918" s="81"/>
      <c r="M918" s="81"/>
      <c r="N918" s="82"/>
      <c r="O918" s="83"/>
      <c r="P918" s="84"/>
      <c r="Q918" s="84"/>
      <c r="R918" s="81"/>
      <c r="S918" s="85"/>
      <c r="T918" s="86"/>
      <c r="U918" s="86"/>
      <c r="V918" s="87"/>
      <c r="W918" s="87"/>
      <c r="X918" s="87"/>
      <c r="Y918" s="87"/>
      <c r="Z918" s="87"/>
      <c r="AA918" s="87"/>
      <c r="AB918" s="29"/>
      <c r="AC918" s="94"/>
      <c r="AD918" s="94"/>
      <c r="AE918" s="89"/>
      <c r="AF918" s="89"/>
      <c r="AG918" s="89"/>
      <c r="AH918" s="89"/>
      <c r="AI918" s="90"/>
      <c r="AJ918" s="90"/>
      <c r="AK918" s="90"/>
      <c r="AL918" s="90"/>
      <c r="AM918" s="91"/>
      <c r="AN918" s="91"/>
      <c r="AO918" s="92"/>
      <c r="AP918" s="92"/>
      <c r="AQ918" s="92"/>
      <c r="AR918" s="92"/>
      <c r="AS918" s="93"/>
      <c r="AT918" s="93"/>
      <c r="AU918" s="93"/>
      <c r="AV918" s="93"/>
      <c r="AW918" s="93"/>
      <c r="AX918" s="92"/>
      <c r="AY918" s="92"/>
      <c r="AZ918" s="90"/>
      <c r="BA918" s="83"/>
      <c r="BB918" s="92"/>
      <c r="BC918" s="92"/>
      <c r="BD918" s="92"/>
      <c r="BE918" s="93"/>
      <c r="BF918" s="92"/>
      <c r="BG918" s="82"/>
      <c r="BH918" s="82"/>
      <c r="BI918" s="29"/>
      <c r="BJ918" s="29"/>
      <c r="BK918" s="29"/>
    </row>
    <row r="919" ht="15.75" hidden="1" customHeight="1">
      <c r="A919" s="75"/>
      <c r="B919" s="73"/>
      <c r="C919" s="76"/>
      <c r="D919" s="76"/>
      <c r="E919" s="76"/>
      <c r="F919" s="77"/>
      <c r="G919" s="78"/>
      <c r="H919" s="76"/>
      <c r="I919" s="76"/>
      <c r="J919" s="79"/>
      <c r="K919" s="80"/>
      <c r="L919" s="81"/>
      <c r="M919" s="81"/>
      <c r="N919" s="82"/>
      <c r="O919" s="83"/>
      <c r="P919" s="84"/>
      <c r="Q919" s="84"/>
      <c r="R919" s="81"/>
      <c r="S919" s="85"/>
      <c r="T919" s="86"/>
      <c r="U919" s="86"/>
      <c r="V919" s="87"/>
      <c r="W919" s="87"/>
      <c r="X919" s="87"/>
      <c r="Y919" s="87"/>
      <c r="Z919" s="87"/>
      <c r="AA919" s="87"/>
      <c r="AB919" s="29"/>
      <c r="AC919" s="94"/>
      <c r="AD919" s="94"/>
      <c r="AE919" s="89"/>
      <c r="AF919" s="89"/>
      <c r="AG919" s="89"/>
      <c r="AH919" s="89"/>
      <c r="AI919" s="90"/>
      <c r="AJ919" s="90"/>
      <c r="AK919" s="90"/>
      <c r="AL919" s="90"/>
      <c r="AM919" s="91"/>
      <c r="AN919" s="91"/>
      <c r="AO919" s="92"/>
      <c r="AP919" s="92"/>
      <c r="AQ919" s="92"/>
      <c r="AR919" s="92"/>
      <c r="AS919" s="93"/>
      <c r="AT919" s="93"/>
      <c r="AU919" s="93"/>
      <c r="AV919" s="93"/>
      <c r="AW919" s="93"/>
      <c r="AX919" s="92"/>
      <c r="AY919" s="92"/>
      <c r="AZ919" s="90"/>
      <c r="BA919" s="83"/>
      <c r="BB919" s="92"/>
      <c r="BC919" s="92"/>
      <c r="BD919" s="92"/>
      <c r="BE919" s="93"/>
      <c r="BF919" s="92"/>
      <c r="BG919" s="82"/>
      <c r="BH919" s="82"/>
      <c r="BI919" s="29"/>
      <c r="BJ919" s="29"/>
      <c r="BK919" s="29"/>
    </row>
    <row r="920" ht="15.75" hidden="1" customHeight="1">
      <c r="A920" s="75"/>
      <c r="B920" s="73"/>
      <c r="C920" s="76"/>
      <c r="D920" s="76"/>
      <c r="E920" s="76"/>
      <c r="F920" s="77"/>
      <c r="G920" s="78"/>
      <c r="H920" s="76"/>
      <c r="I920" s="76"/>
      <c r="J920" s="79"/>
      <c r="K920" s="80"/>
      <c r="L920" s="81"/>
      <c r="M920" s="81"/>
      <c r="N920" s="82"/>
      <c r="O920" s="83"/>
      <c r="P920" s="84"/>
      <c r="Q920" s="84"/>
      <c r="R920" s="81"/>
      <c r="S920" s="85"/>
      <c r="T920" s="86"/>
      <c r="U920" s="86"/>
      <c r="V920" s="87"/>
      <c r="W920" s="87"/>
      <c r="X920" s="87"/>
      <c r="Y920" s="87"/>
      <c r="Z920" s="87"/>
      <c r="AA920" s="87"/>
      <c r="AB920" s="29"/>
      <c r="AC920" s="94"/>
      <c r="AD920" s="94"/>
      <c r="AE920" s="89"/>
      <c r="AF920" s="89"/>
      <c r="AG920" s="89"/>
      <c r="AH920" s="89"/>
      <c r="AI920" s="90"/>
      <c r="AJ920" s="90"/>
      <c r="AK920" s="90"/>
      <c r="AL920" s="90"/>
      <c r="AM920" s="91"/>
      <c r="AN920" s="91"/>
      <c r="AO920" s="92"/>
      <c r="AP920" s="92"/>
      <c r="AQ920" s="92"/>
      <c r="AR920" s="92"/>
      <c r="AS920" s="93"/>
      <c r="AT920" s="93"/>
      <c r="AU920" s="93"/>
      <c r="AV920" s="93"/>
      <c r="AW920" s="93"/>
      <c r="AX920" s="92"/>
      <c r="AY920" s="92"/>
      <c r="AZ920" s="90"/>
      <c r="BA920" s="83"/>
      <c r="BB920" s="92"/>
      <c r="BC920" s="92"/>
      <c r="BD920" s="92"/>
      <c r="BE920" s="93"/>
      <c r="BF920" s="92"/>
      <c r="BG920" s="82"/>
      <c r="BH920" s="82"/>
      <c r="BI920" s="29"/>
      <c r="BJ920" s="29"/>
      <c r="BK920" s="29"/>
    </row>
    <row r="921" ht="15.75" hidden="1" customHeight="1">
      <c r="A921" s="75"/>
      <c r="B921" s="73"/>
      <c r="C921" s="76"/>
      <c r="D921" s="76"/>
      <c r="E921" s="76"/>
      <c r="F921" s="77"/>
      <c r="G921" s="78"/>
      <c r="H921" s="76"/>
      <c r="I921" s="76"/>
      <c r="J921" s="79"/>
      <c r="K921" s="80"/>
      <c r="L921" s="81"/>
      <c r="M921" s="81"/>
      <c r="N921" s="82"/>
      <c r="O921" s="83"/>
      <c r="P921" s="84"/>
      <c r="Q921" s="84"/>
      <c r="R921" s="81"/>
      <c r="S921" s="85"/>
      <c r="T921" s="86"/>
      <c r="U921" s="86"/>
      <c r="V921" s="87"/>
      <c r="W921" s="87"/>
      <c r="X921" s="87"/>
      <c r="Y921" s="87"/>
      <c r="Z921" s="87"/>
      <c r="AA921" s="87"/>
      <c r="AB921" s="29"/>
      <c r="AC921" s="94"/>
      <c r="AD921" s="94"/>
      <c r="AE921" s="89"/>
      <c r="AF921" s="89"/>
      <c r="AG921" s="89"/>
      <c r="AH921" s="89"/>
      <c r="AI921" s="90"/>
      <c r="AJ921" s="90"/>
      <c r="AK921" s="90"/>
      <c r="AL921" s="90"/>
      <c r="AM921" s="91"/>
      <c r="AN921" s="91"/>
      <c r="AO921" s="92"/>
      <c r="AP921" s="92"/>
      <c r="AQ921" s="92"/>
      <c r="AR921" s="92"/>
      <c r="AS921" s="93"/>
      <c r="AT921" s="93"/>
      <c r="AU921" s="93"/>
      <c r="AV921" s="93"/>
      <c r="AW921" s="93"/>
      <c r="AX921" s="92"/>
      <c r="AY921" s="92"/>
      <c r="AZ921" s="90"/>
      <c r="BA921" s="83"/>
      <c r="BB921" s="92"/>
      <c r="BC921" s="92"/>
      <c r="BD921" s="92"/>
      <c r="BE921" s="93"/>
      <c r="BF921" s="92"/>
      <c r="BG921" s="82"/>
      <c r="BH921" s="82"/>
      <c r="BI921" s="29"/>
      <c r="BJ921" s="29"/>
      <c r="BK921" s="29"/>
    </row>
    <row r="922" ht="15.75" hidden="1" customHeight="1">
      <c r="A922" s="75"/>
      <c r="B922" s="73"/>
      <c r="C922" s="76"/>
      <c r="D922" s="76"/>
      <c r="E922" s="76"/>
      <c r="F922" s="77"/>
      <c r="G922" s="78"/>
      <c r="H922" s="76"/>
      <c r="I922" s="76"/>
      <c r="J922" s="79"/>
      <c r="K922" s="80"/>
      <c r="L922" s="81"/>
      <c r="M922" s="81"/>
      <c r="N922" s="82"/>
      <c r="O922" s="83"/>
      <c r="P922" s="84"/>
      <c r="Q922" s="84"/>
      <c r="R922" s="81"/>
      <c r="S922" s="85"/>
      <c r="T922" s="86"/>
      <c r="U922" s="86"/>
      <c r="V922" s="87"/>
      <c r="W922" s="87"/>
      <c r="X922" s="87"/>
      <c r="Y922" s="87"/>
      <c r="Z922" s="87"/>
      <c r="AA922" s="87"/>
      <c r="AB922" s="29"/>
      <c r="AC922" s="94"/>
      <c r="AD922" s="94"/>
      <c r="AE922" s="89"/>
      <c r="AF922" s="89"/>
      <c r="AG922" s="89"/>
      <c r="AH922" s="89"/>
      <c r="AI922" s="90"/>
      <c r="AJ922" s="90"/>
      <c r="AK922" s="90"/>
      <c r="AL922" s="90"/>
      <c r="AM922" s="91"/>
      <c r="AN922" s="91"/>
      <c r="AO922" s="92"/>
      <c r="AP922" s="92"/>
      <c r="AQ922" s="92"/>
      <c r="AR922" s="92"/>
      <c r="AS922" s="93"/>
      <c r="AT922" s="93"/>
      <c r="AU922" s="93"/>
      <c r="AV922" s="93"/>
      <c r="AW922" s="93"/>
      <c r="AX922" s="92"/>
      <c r="AY922" s="92"/>
      <c r="AZ922" s="90"/>
      <c r="BA922" s="83"/>
      <c r="BB922" s="92"/>
      <c r="BC922" s="92"/>
      <c r="BD922" s="92"/>
      <c r="BE922" s="93"/>
      <c r="BF922" s="92"/>
      <c r="BG922" s="82"/>
      <c r="BH922" s="82"/>
      <c r="BI922" s="29"/>
      <c r="BJ922" s="29"/>
      <c r="BK922" s="29"/>
    </row>
    <row r="923" ht="15.75" hidden="1" customHeight="1">
      <c r="A923" s="75"/>
      <c r="B923" s="73"/>
      <c r="C923" s="76"/>
      <c r="D923" s="76"/>
      <c r="E923" s="76"/>
      <c r="F923" s="77"/>
      <c r="G923" s="78"/>
      <c r="H923" s="76"/>
      <c r="I923" s="76"/>
      <c r="J923" s="79"/>
      <c r="K923" s="80"/>
      <c r="L923" s="81"/>
      <c r="M923" s="81"/>
      <c r="N923" s="82"/>
      <c r="O923" s="83"/>
      <c r="P923" s="84"/>
      <c r="Q923" s="84"/>
      <c r="R923" s="81"/>
      <c r="S923" s="85"/>
      <c r="T923" s="86"/>
      <c r="U923" s="86"/>
      <c r="V923" s="87"/>
      <c r="W923" s="87"/>
      <c r="X923" s="87"/>
      <c r="Y923" s="87"/>
      <c r="Z923" s="87"/>
      <c r="AA923" s="87"/>
      <c r="AB923" s="29"/>
      <c r="AC923" s="94"/>
      <c r="AD923" s="94"/>
      <c r="AE923" s="89"/>
      <c r="AF923" s="89"/>
      <c r="AG923" s="89"/>
      <c r="AH923" s="89"/>
      <c r="AI923" s="90"/>
      <c r="AJ923" s="90"/>
      <c r="AK923" s="90"/>
      <c r="AL923" s="90"/>
      <c r="AM923" s="91"/>
      <c r="AN923" s="91"/>
      <c r="AO923" s="92"/>
      <c r="AP923" s="92"/>
      <c r="AQ923" s="92"/>
      <c r="AR923" s="92"/>
      <c r="AS923" s="93"/>
      <c r="AT923" s="93"/>
      <c r="AU923" s="93"/>
      <c r="AV923" s="93"/>
      <c r="AW923" s="93"/>
      <c r="AX923" s="92"/>
      <c r="AY923" s="92"/>
      <c r="AZ923" s="90"/>
      <c r="BA923" s="83"/>
      <c r="BB923" s="92"/>
      <c r="BC923" s="92"/>
      <c r="BD923" s="92"/>
      <c r="BE923" s="93"/>
      <c r="BF923" s="92"/>
      <c r="BG923" s="82"/>
      <c r="BH923" s="82"/>
      <c r="BI923" s="29"/>
      <c r="BJ923" s="29"/>
      <c r="BK923" s="29"/>
    </row>
    <row r="924" ht="15.75" hidden="1" customHeight="1">
      <c r="A924" s="75"/>
      <c r="B924" s="73"/>
      <c r="C924" s="76"/>
      <c r="D924" s="76"/>
      <c r="E924" s="76"/>
      <c r="F924" s="77"/>
      <c r="G924" s="78"/>
      <c r="H924" s="76"/>
      <c r="I924" s="76"/>
      <c r="J924" s="79"/>
      <c r="K924" s="80"/>
      <c r="L924" s="81"/>
      <c r="M924" s="81"/>
      <c r="N924" s="82"/>
      <c r="O924" s="83"/>
      <c r="P924" s="84"/>
      <c r="Q924" s="84"/>
      <c r="R924" s="81"/>
      <c r="S924" s="85"/>
      <c r="T924" s="86"/>
      <c r="U924" s="86"/>
      <c r="V924" s="87"/>
      <c r="W924" s="87"/>
      <c r="X924" s="87"/>
      <c r="Y924" s="87"/>
      <c r="Z924" s="87"/>
      <c r="AA924" s="87"/>
      <c r="AB924" s="29"/>
      <c r="AC924" s="94"/>
      <c r="AD924" s="94"/>
      <c r="AE924" s="89"/>
      <c r="AF924" s="89"/>
      <c r="AG924" s="89"/>
      <c r="AH924" s="89"/>
      <c r="AI924" s="90"/>
      <c r="AJ924" s="90"/>
      <c r="AK924" s="90"/>
      <c r="AL924" s="90"/>
      <c r="AM924" s="91"/>
      <c r="AN924" s="91"/>
      <c r="AO924" s="92"/>
      <c r="AP924" s="92"/>
      <c r="AQ924" s="92"/>
      <c r="AR924" s="92"/>
      <c r="AS924" s="93"/>
      <c r="AT924" s="93"/>
      <c r="AU924" s="93"/>
      <c r="AV924" s="93"/>
      <c r="AW924" s="93"/>
      <c r="AX924" s="92"/>
      <c r="AY924" s="92"/>
      <c r="AZ924" s="90"/>
      <c r="BA924" s="83"/>
      <c r="BB924" s="92"/>
      <c r="BC924" s="92"/>
      <c r="BD924" s="92"/>
      <c r="BE924" s="93"/>
      <c r="BF924" s="92"/>
      <c r="BG924" s="82"/>
      <c r="BH924" s="82"/>
      <c r="BI924" s="29"/>
      <c r="BJ924" s="29"/>
      <c r="BK924" s="29"/>
    </row>
    <row r="925" ht="15.75" hidden="1" customHeight="1">
      <c r="A925" s="75"/>
      <c r="B925" s="73"/>
      <c r="C925" s="76"/>
      <c r="D925" s="76"/>
      <c r="E925" s="76"/>
      <c r="F925" s="77"/>
      <c r="G925" s="78"/>
      <c r="H925" s="76"/>
      <c r="I925" s="76"/>
      <c r="J925" s="79"/>
      <c r="K925" s="80"/>
      <c r="L925" s="81"/>
      <c r="M925" s="81"/>
      <c r="N925" s="82"/>
      <c r="O925" s="83"/>
      <c r="P925" s="84"/>
      <c r="Q925" s="84"/>
      <c r="R925" s="81"/>
      <c r="S925" s="85"/>
      <c r="T925" s="86"/>
      <c r="U925" s="86"/>
      <c r="V925" s="87"/>
      <c r="W925" s="87"/>
      <c r="X925" s="87"/>
      <c r="Y925" s="87"/>
      <c r="Z925" s="87"/>
      <c r="AA925" s="87"/>
      <c r="AB925" s="29"/>
      <c r="AC925" s="94"/>
      <c r="AD925" s="94"/>
      <c r="AE925" s="89"/>
      <c r="AF925" s="89"/>
      <c r="AG925" s="89"/>
      <c r="AH925" s="89"/>
      <c r="AI925" s="90"/>
      <c r="AJ925" s="90"/>
      <c r="AK925" s="90"/>
      <c r="AL925" s="90"/>
      <c r="AM925" s="91"/>
      <c r="AN925" s="91"/>
      <c r="AO925" s="92"/>
      <c r="AP925" s="92"/>
      <c r="AQ925" s="92"/>
      <c r="AR925" s="92"/>
      <c r="AS925" s="93"/>
      <c r="AT925" s="93"/>
      <c r="AU925" s="93"/>
      <c r="AV925" s="93"/>
      <c r="AW925" s="93"/>
      <c r="AX925" s="92"/>
      <c r="AY925" s="92"/>
      <c r="AZ925" s="90"/>
      <c r="BA925" s="83"/>
      <c r="BB925" s="92"/>
      <c r="BC925" s="92"/>
      <c r="BD925" s="92"/>
      <c r="BE925" s="93"/>
      <c r="BF925" s="92"/>
      <c r="BG925" s="82"/>
      <c r="BH925" s="82"/>
      <c r="BI925" s="29"/>
      <c r="BJ925" s="29"/>
      <c r="BK925" s="29"/>
    </row>
    <row r="926" ht="15.75" hidden="1" customHeight="1">
      <c r="A926" s="75"/>
      <c r="B926" s="73"/>
      <c r="C926" s="76"/>
      <c r="D926" s="76"/>
      <c r="E926" s="76"/>
      <c r="F926" s="77"/>
      <c r="G926" s="78"/>
      <c r="H926" s="76"/>
      <c r="I926" s="76"/>
      <c r="J926" s="79"/>
      <c r="K926" s="80"/>
      <c r="L926" s="81"/>
      <c r="M926" s="81"/>
      <c r="N926" s="82"/>
      <c r="O926" s="83"/>
      <c r="P926" s="84"/>
      <c r="Q926" s="84"/>
      <c r="R926" s="81"/>
      <c r="S926" s="85"/>
      <c r="T926" s="86"/>
      <c r="U926" s="86"/>
      <c r="V926" s="87"/>
      <c r="W926" s="87"/>
      <c r="X926" s="87"/>
      <c r="Y926" s="87"/>
      <c r="Z926" s="87"/>
      <c r="AA926" s="87"/>
      <c r="AB926" s="29"/>
      <c r="AC926" s="94"/>
      <c r="AD926" s="94"/>
      <c r="AE926" s="89"/>
      <c r="AF926" s="89"/>
      <c r="AG926" s="89"/>
      <c r="AH926" s="89"/>
      <c r="AI926" s="90"/>
      <c r="AJ926" s="90"/>
      <c r="AK926" s="90"/>
      <c r="AL926" s="90"/>
      <c r="AM926" s="91"/>
      <c r="AN926" s="91"/>
      <c r="AO926" s="92"/>
      <c r="AP926" s="92"/>
      <c r="AQ926" s="92"/>
      <c r="AR926" s="92"/>
      <c r="AS926" s="93"/>
      <c r="AT926" s="93"/>
      <c r="AU926" s="93"/>
      <c r="AV926" s="93"/>
      <c r="AW926" s="93"/>
      <c r="AX926" s="92"/>
      <c r="AY926" s="92"/>
      <c r="AZ926" s="90"/>
      <c r="BA926" s="83"/>
      <c r="BB926" s="92"/>
      <c r="BC926" s="92"/>
      <c r="BD926" s="92"/>
      <c r="BE926" s="93"/>
      <c r="BF926" s="92"/>
      <c r="BG926" s="82"/>
      <c r="BH926" s="82"/>
      <c r="BI926" s="29"/>
      <c r="BJ926" s="29"/>
      <c r="BK926" s="29"/>
    </row>
    <row r="927" ht="15.75" hidden="1" customHeight="1">
      <c r="A927" s="75"/>
      <c r="B927" s="73"/>
      <c r="C927" s="76"/>
      <c r="D927" s="76"/>
      <c r="E927" s="76"/>
      <c r="F927" s="77"/>
      <c r="G927" s="78"/>
      <c r="H927" s="76"/>
      <c r="I927" s="76"/>
      <c r="J927" s="79"/>
      <c r="K927" s="80"/>
      <c r="L927" s="81"/>
      <c r="M927" s="81"/>
      <c r="N927" s="82"/>
      <c r="O927" s="83"/>
      <c r="P927" s="84"/>
      <c r="Q927" s="84"/>
      <c r="R927" s="81"/>
      <c r="S927" s="85"/>
      <c r="T927" s="86"/>
      <c r="U927" s="86"/>
      <c r="V927" s="87"/>
      <c r="W927" s="87"/>
      <c r="X927" s="87"/>
      <c r="Y927" s="87"/>
      <c r="Z927" s="87"/>
      <c r="AA927" s="87"/>
      <c r="AB927" s="29"/>
      <c r="AC927" s="94"/>
      <c r="AD927" s="94"/>
      <c r="AE927" s="89"/>
      <c r="AF927" s="89"/>
      <c r="AG927" s="89"/>
      <c r="AH927" s="89"/>
      <c r="AI927" s="90"/>
      <c r="AJ927" s="90"/>
      <c r="AK927" s="90"/>
      <c r="AL927" s="90"/>
      <c r="AM927" s="91"/>
      <c r="AN927" s="91"/>
      <c r="AO927" s="92"/>
      <c r="AP927" s="92"/>
      <c r="AQ927" s="92"/>
      <c r="AR927" s="92"/>
      <c r="AS927" s="93"/>
      <c r="AT927" s="93"/>
      <c r="AU927" s="93"/>
      <c r="AV927" s="93"/>
      <c r="AW927" s="93"/>
      <c r="AX927" s="92"/>
      <c r="AY927" s="92"/>
      <c r="AZ927" s="90"/>
      <c r="BA927" s="83"/>
      <c r="BB927" s="92"/>
      <c r="BC927" s="92"/>
      <c r="BD927" s="92"/>
      <c r="BE927" s="93"/>
      <c r="BF927" s="92"/>
      <c r="BG927" s="82"/>
      <c r="BH927" s="82"/>
      <c r="BI927" s="29"/>
      <c r="BJ927" s="29"/>
      <c r="BK927" s="29"/>
    </row>
    <row r="928" ht="15.75" hidden="1" customHeight="1">
      <c r="A928" s="75"/>
      <c r="B928" s="73"/>
      <c r="C928" s="76"/>
      <c r="D928" s="76"/>
      <c r="E928" s="76"/>
      <c r="F928" s="77"/>
      <c r="G928" s="78"/>
      <c r="H928" s="76"/>
      <c r="I928" s="76"/>
      <c r="J928" s="79"/>
      <c r="K928" s="80"/>
      <c r="L928" s="81"/>
      <c r="M928" s="81"/>
      <c r="N928" s="82"/>
      <c r="O928" s="83"/>
      <c r="P928" s="84"/>
      <c r="Q928" s="84"/>
      <c r="R928" s="81"/>
      <c r="S928" s="85"/>
      <c r="T928" s="86"/>
      <c r="U928" s="86"/>
      <c r="V928" s="87"/>
      <c r="W928" s="87"/>
      <c r="X928" s="87"/>
      <c r="Y928" s="87"/>
      <c r="Z928" s="87"/>
      <c r="AA928" s="87"/>
      <c r="AB928" s="29"/>
      <c r="AC928" s="94"/>
      <c r="AD928" s="94"/>
      <c r="AE928" s="89"/>
      <c r="AF928" s="89"/>
      <c r="AG928" s="89"/>
      <c r="AH928" s="89"/>
      <c r="AI928" s="90"/>
      <c r="AJ928" s="90"/>
      <c r="AK928" s="90"/>
      <c r="AL928" s="90"/>
      <c r="AM928" s="91"/>
      <c r="AN928" s="91"/>
      <c r="AO928" s="92"/>
      <c r="AP928" s="92"/>
      <c r="AQ928" s="92"/>
      <c r="AR928" s="92"/>
      <c r="AS928" s="93"/>
      <c r="AT928" s="93"/>
      <c r="AU928" s="93"/>
      <c r="AV928" s="93"/>
      <c r="AW928" s="93"/>
      <c r="AX928" s="92"/>
      <c r="AY928" s="92"/>
      <c r="AZ928" s="90"/>
      <c r="BA928" s="83"/>
      <c r="BB928" s="92"/>
      <c r="BC928" s="92"/>
      <c r="BD928" s="92"/>
      <c r="BE928" s="93"/>
      <c r="BF928" s="92"/>
      <c r="BG928" s="82"/>
      <c r="BH928" s="82"/>
      <c r="BI928" s="29"/>
      <c r="BJ928" s="29"/>
      <c r="BK928" s="29"/>
    </row>
    <row r="929" ht="15.75" hidden="1" customHeight="1">
      <c r="A929" s="75"/>
      <c r="B929" s="73"/>
      <c r="C929" s="76"/>
      <c r="D929" s="76"/>
      <c r="E929" s="76"/>
      <c r="F929" s="77"/>
      <c r="G929" s="78"/>
      <c r="H929" s="76"/>
      <c r="I929" s="76"/>
      <c r="J929" s="79"/>
      <c r="K929" s="80"/>
      <c r="L929" s="81"/>
      <c r="M929" s="81"/>
      <c r="N929" s="82"/>
      <c r="O929" s="83"/>
      <c r="P929" s="84"/>
      <c r="Q929" s="84"/>
      <c r="R929" s="81"/>
      <c r="S929" s="85"/>
      <c r="T929" s="86"/>
      <c r="U929" s="86"/>
      <c r="V929" s="87"/>
      <c r="W929" s="87"/>
      <c r="X929" s="87"/>
      <c r="Y929" s="87"/>
      <c r="Z929" s="87"/>
      <c r="AA929" s="87"/>
      <c r="AB929" s="29"/>
      <c r="AC929" s="94"/>
      <c r="AD929" s="94"/>
      <c r="AE929" s="89"/>
      <c r="AF929" s="89"/>
      <c r="AG929" s="89"/>
      <c r="AH929" s="89"/>
      <c r="AI929" s="90"/>
      <c r="AJ929" s="90"/>
      <c r="AK929" s="90"/>
      <c r="AL929" s="90"/>
      <c r="AM929" s="91"/>
      <c r="AN929" s="91"/>
      <c r="AO929" s="92"/>
      <c r="AP929" s="92"/>
      <c r="AQ929" s="92"/>
      <c r="AR929" s="92"/>
      <c r="AS929" s="93"/>
      <c r="AT929" s="93"/>
      <c r="AU929" s="93"/>
      <c r="AV929" s="93"/>
      <c r="AW929" s="93"/>
      <c r="AX929" s="92"/>
      <c r="AY929" s="92"/>
      <c r="AZ929" s="90"/>
      <c r="BA929" s="83"/>
      <c r="BB929" s="92"/>
      <c r="BC929" s="92"/>
      <c r="BD929" s="92"/>
      <c r="BE929" s="93"/>
      <c r="BF929" s="92"/>
      <c r="BG929" s="82"/>
      <c r="BH929" s="82"/>
      <c r="BI929" s="29"/>
      <c r="BJ929" s="29"/>
      <c r="BK929" s="29"/>
    </row>
    <row r="930" ht="15.75" hidden="1" customHeight="1">
      <c r="A930" s="75"/>
      <c r="B930" s="73"/>
      <c r="C930" s="76"/>
      <c r="D930" s="76"/>
      <c r="E930" s="76"/>
      <c r="F930" s="77"/>
      <c r="G930" s="78"/>
      <c r="H930" s="76"/>
      <c r="I930" s="76"/>
      <c r="J930" s="79"/>
      <c r="K930" s="80"/>
      <c r="L930" s="81"/>
      <c r="M930" s="81"/>
      <c r="N930" s="82"/>
      <c r="O930" s="83"/>
      <c r="P930" s="84"/>
      <c r="Q930" s="84"/>
      <c r="R930" s="81"/>
      <c r="S930" s="85"/>
      <c r="T930" s="86"/>
      <c r="U930" s="86"/>
      <c r="V930" s="87"/>
      <c r="W930" s="87"/>
      <c r="X930" s="87"/>
      <c r="Y930" s="87"/>
      <c r="Z930" s="87"/>
      <c r="AA930" s="87"/>
      <c r="AB930" s="29"/>
      <c r="AC930" s="94"/>
      <c r="AD930" s="94"/>
      <c r="AE930" s="89"/>
      <c r="AF930" s="89"/>
      <c r="AG930" s="89"/>
      <c r="AH930" s="89"/>
      <c r="AI930" s="90"/>
      <c r="AJ930" s="90"/>
      <c r="AK930" s="90"/>
      <c r="AL930" s="90"/>
      <c r="AM930" s="91"/>
      <c r="AN930" s="91"/>
      <c r="AO930" s="92"/>
      <c r="AP930" s="92"/>
      <c r="AQ930" s="92"/>
      <c r="AR930" s="92"/>
      <c r="AS930" s="93"/>
      <c r="AT930" s="93"/>
      <c r="AU930" s="93"/>
      <c r="AV930" s="93"/>
      <c r="AW930" s="93"/>
      <c r="AX930" s="92"/>
      <c r="AY930" s="92"/>
      <c r="AZ930" s="90"/>
      <c r="BA930" s="83"/>
      <c r="BB930" s="92"/>
      <c r="BC930" s="92"/>
      <c r="BD930" s="92"/>
      <c r="BE930" s="93"/>
      <c r="BF930" s="92"/>
      <c r="BG930" s="82"/>
      <c r="BH930" s="82"/>
      <c r="BI930" s="29"/>
      <c r="BJ930" s="29"/>
      <c r="BK930" s="29"/>
    </row>
    <row r="931" ht="15.75" hidden="1" customHeight="1">
      <c r="A931" s="75"/>
      <c r="B931" s="73"/>
      <c r="C931" s="76"/>
      <c r="D931" s="76"/>
      <c r="E931" s="76"/>
      <c r="F931" s="77"/>
      <c r="G931" s="78"/>
      <c r="H931" s="76"/>
      <c r="I931" s="76"/>
      <c r="J931" s="79"/>
      <c r="K931" s="80"/>
      <c r="L931" s="81"/>
      <c r="M931" s="81"/>
      <c r="N931" s="82"/>
      <c r="O931" s="83"/>
      <c r="P931" s="84"/>
      <c r="Q931" s="84"/>
      <c r="R931" s="81"/>
      <c r="S931" s="85"/>
      <c r="T931" s="86"/>
      <c r="U931" s="86"/>
      <c r="V931" s="87"/>
      <c r="W931" s="87"/>
      <c r="X931" s="87"/>
      <c r="Y931" s="87"/>
      <c r="Z931" s="87"/>
      <c r="AA931" s="87"/>
      <c r="AB931" s="29"/>
      <c r="AC931" s="94"/>
      <c r="AD931" s="94"/>
      <c r="AE931" s="89"/>
      <c r="AF931" s="89"/>
      <c r="AG931" s="89"/>
      <c r="AH931" s="89"/>
      <c r="AI931" s="90"/>
      <c r="AJ931" s="90"/>
      <c r="AK931" s="90"/>
      <c r="AL931" s="90"/>
      <c r="AM931" s="91"/>
      <c r="AN931" s="91"/>
      <c r="AO931" s="92"/>
      <c r="AP931" s="92"/>
      <c r="AQ931" s="92"/>
      <c r="AR931" s="92"/>
      <c r="AS931" s="93"/>
      <c r="AT931" s="93"/>
      <c r="AU931" s="93"/>
      <c r="AV931" s="93"/>
      <c r="AW931" s="93"/>
      <c r="AX931" s="92"/>
      <c r="AY931" s="92"/>
      <c r="AZ931" s="90"/>
      <c r="BA931" s="83"/>
      <c r="BB931" s="92"/>
      <c r="BC931" s="92"/>
      <c r="BD931" s="92"/>
      <c r="BE931" s="93"/>
      <c r="BF931" s="92"/>
      <c r="BG931" s="82"/>
      <c r="BH931" s="82"/>
      <c r="BI931" s="29"/>
      <c r="BJ931" s="29"/>
      <c r="BK931" s="29"/>
    </row>
    <row r="932" ht="15.75" hidden="1" customHeight="1">
      <c r="A932" s="75"/>
      <c r="B932" s="73"/>
      <c r="C932" s="76"/>
      <c r="D932" s="76"/>
      <c r="E932" s="76"/>
      <c r="F932" s="77"/>
      <c r="G932" s="78"/>
      <c r="H932" s="76"/>
      <c r="I932" s="76"/>
      <c r="J932" s="79"/>
      <c r="K932" s="80"/>
      <c r="L932" s="81"/>
      <c r="M932" s="81"/>
      <c r="N932" s="82"/>
      <c r="O932" s="83"/>
      <c r="P932" s="84"/>
      <c r="Q932" s="84"/>
      <c r="R932" s="81"/>
      <c r="S932" s="85"/>
      <c r="T932" s="86"/>
      <c r="U932" s="86"/>
      <c r="V932" s="87"/>
      <c r="W932" s="87"/>
      <c r="X932" s="87"/>
      <c r="Y932" s="87"/>
      <c r="Z932" s="87"/>
      <c r="AA932" s="87"/>
      <c r="AB932" s="29"/>
      <c r="AC932" s="94"/>
      <c r="AD932" s="94"/>
      <c r="AE932" s="89"/>
      <c r="AF932" s="89"/>
      <c r="AG932" s="89"/>
      <c r="AH932" s="89"/>
      <c r="AI932" s="90"/>
      <c r="AJ932" s="90"/>
      <c r="AK932" s="90"/>
      <c r="AL932" s="90"/>
      <c r="AM932" s="91"/>
      <c r="AN932" s="91"/>
      <c r="AO932" s="92"/>
      <c r="AP932" s="92"/>
      <c r="AQ932" s="92"/>
      <c r="AR932" s="92"/>
      <c r="AS932" s="93"/>
      <c r="AT932" s="93"/>
      <c r="AU932" s="93"/>
      <c r="AV932" s="93"/>
      <c r="AW932" s="93"/>
      <c r="AX932" s="92"/>
      <c r="AY932" s="92"/>
      <c r="AZ932" s="90"/>
      <c r="BA932" s="83"/>
      <c r="BB932" s="92"/>
      <c r="BC932" s="92"/>
      <c r="BD932" s="92"/>
      <c r="BE932" s="93"/>
      <c r="BF932" s="92"/>
      <c r="BG932" s="82"/>
      <c r="BH932" s="82"/>
      <c r="BI932" s="29"/>
      <c r="BJ932" s="29"/>
      <c r="BK932" s="29"/>
    </row>
    <row r="933" ht="15.75" hidden="1" customHeight="1">
      <c r="A933" s="75"/>
      <c r="B933" s="73"/>
      <c r="C933" s="76"/>
      <c r="D933" s="76"/>
      <c r="E933" s="76"/>
      <c r="F933" s="77"/>
      <c r="G933" s="78"/>
      <c r="H933" s="76"/>
      <c r="I933" s="76"/>
      <c r="J933" s="79"/>
      <c r="K933" s="80"/>
      <c r="L933" s="81"/>
      <c r="M933" s="81"/>
      <c r="N933" s="82"/>
      <c r="O933" s="83"/>
      <c r="P933" s="84"/>
      <c r="Q933" s="84"/>
      <c r="R933" s="81"/>
      <c r="S933" s="85"/>
      <c r="T933" s="86"/>
      <c r="U933" s="86"/>
      <c r="V933" s="87"/>
      <c r="W933" s="87"/>
      <c r="X933" s="87"/>
      <c r="Y933" s="87"/>
      <c r="Z933" s="87"/>
      <c r="AA933" s="87"/>
      <c r="AB933" s="29"/>
      <c r="AC933" s="94"/>
      <c r="AD933" s="94"/>
      <c r="AE933" s="89"/>
      <c r="AF933" s="89"/>
      <c r="AG933" s="89"/>
      <c r="AH933" s="89"/>
      <c r="AI933" s="90"/>
      <c r="AJ933" s="90"/>
      <c r="AK933" s="90"/>
      <c r="AL933" s="90"/>
      <c r="AM933" s="91"/>
      <c r="AN933" s="91"/>
      <c r="AO933" s="92"/>
      <c r="AP933" s="92"/>
      <c r="AQ933" s="92"/>
      <c r="AR933" s="92"/>
      <c r="AS933" s="93"/>
      <c r="AT933" s="93"/>
      <c r="AU933" s="93"/>
      <c r="AV933" s="93"/>
      <c r="AW933" s="93"/>
      <c r="AX933" s="92"/>
      <c r="AY933" s="92"/>
      <c r="AZ933" s="90"/>
      <c r="BA933" s="83"/>
      <c r="BB933" s="92"/>
      <c r="BC933" s="92"/>
      <c r="BD933" s="92"/>
      <c r="BE933" s="93"/>
      <c r="BF933" s="92"/>
      <c r="BG933" s="82"/>
      <c r="BH933" s="82"/>
      <c r="BI933" s="29"/>
      <c r="BJ933" s="29"/>
      <c r="BK933" s="29"/>
    </row>
    <row r="934" ht="15.75" hidden="1" customHeight="1">
      <c r="A934" s="75"/>
      <c r="B934" s="73"/>
      <c r="C934" s="76"/>
      <c r="D934" s="76"/>
      <c r="E934" s="76"/>
      <c r="F934" s="77"/>
      <c r="G934" s="78"/>
      <c r="H934" s="76"/>
      <c r="I934" s="76"/>
      <c r="J934" s="79"/>
      <c r="K934" s="80"/>
      <c r="L934" s="81"/>
      <c r="M934" s="81"/>
      <c r="N934" s="82"/>
      <c r="O934" s="83"/>
      <c r="P934" s="84"/>
      <c r="Q934" s="84"/>
      <c r="R934" s="81"/>
      <c r="S934" s="85"/>
      <c r="T934" s="86"/>
      <c r="U934" s="86"/>
      <c r="V934" s="87"/>
      <c r="W934" s="87"/>
      <c r="X934" s="87"/>
      <c r="Y934" s="87"/>
      <c r="Z934" s="87"/>
      <c r="AA934" s="87"/>
      <c r="AB934" s="29"/>
      <c r="AC934" s="94"/>
      <c r="AD934" s="94"/>
      <c r="AE934" s="89"/>
      <c r="AF934" s="89"/>
      <c r="AG934" s="89"/>
      <c r="AH934" s="89"/>
      <c r="AI934" s="90"/>
      <c r="AJ934" s="90"/>
      <c r="AK934" s="90"/>
      <c r="AL934" s="90"/>
      <c r="AM934" s="91"/>
      <c r="AN934" s="91"/>
      <c r="AO934" s="92"/>
      <c r="AP934" s="92"/>
      <c r="AQ934" s="92"/>
      <c r="AR934" s="92"/>
      <c r="AS934" s="93"/>
      <c r="AT934" s="93"/>
      <c r="AU934" s="93"/>
      <c r="AV934" s="93"/>
      <c r="AW934" s="93"/>
      <c r="AX934" s="92"/>
      <c r="AY934" s="92"/>
      <c r="AZ934" s="90"/>
      <c r="BA934" s="83"/>
      <c r="BB934" s="92"/>
      <c r="BC934" s="92"/>
      <c r="BD934" s="92"/>
      <c r="BE934" s="93"/>
      <c r="BF934" s="92"/>
      <c r="BG934" s="82"/>
      <c r="BH934" s="82"/>
      <c r="BI934" s="29"/>
      <c r="BJ934" s="29"/>
      <c r="BK934" s="29"/>
    </row>
    <row r="935" ht="15.75" hidden="1" customHeight="1">
      <c r="A935" s="75"/>
      <c r="B935" s="73"/>
      <c r="C935" s="76"/>
      <c r="D935" s="76"/>
      <c r="E935" s="76"/>
      <c r="F935" s="77"/>
      <c r="G935" s="78"/>
      <c r="H935" s="76"/>
      <c r="I935" s="76"/>
      <c r="J935" s="79"/>
      <c r="K935" s="80"/>
      <c r="L935" s="81"/>
      <c r="M935" s="81"/>
      <c r="N935" s="82"/>
      <c r="O935" s="83"/>
      <c r="P935" s="84"/>
      <c r="Q935" s="84"/>
      <c r="R935" s="81"/>
      <c r="S935" s="85"/>
      <c r="T935" s="86"/>
      <c r="U935" s="86"/>
      <c r="V935" s="87"/>
      <c r="W935" s="87"/>
      <c r="X935" s="87"/>
      <c r="Y935" s="87"/>
      <c r="Z935" s="87"/>
      <c r="AA935" s="87"/>
      <c r="AB935" s="29"/>
      <c r="AC935" s="94"/>
      <c r="AD935" s="94"/>
      <c r="AE935" s="89"/>
      <c r="AF935" s="89"/>
      <c r="AG935" s="89"/>
      <c r="AH935" s="89"/>
      <c r="AI935" s="90"/>
      <c r="AJ935" s="90"/>
      <c r="AK935" s="90"/>
      <c r="AL935" s="90"/>
      <c r="AM935" s="91"/>
      <c r="AN935" s="91"/>
      <c r="AO935" s="92"/>
      <c r="AP935" s="92"/>
      <c r="AQ935" s="92"/>
      <c r="AR935" s="92"/>
      <c r="AS935" s="93"/>
      <c r="AT935" s="93"/>
      <c r="AU935" s="93"/>
      <c r="AV935" s="93"/>
      <c r="AW935" s="93"/>
      <c r="AX935" s="92"/>
      <c r="AY935" s="92"/>
      <c r="AZ935" s="90"/>
      <c r="BA935" s="83"/>
      <c r="BB935" s="92"/>
      <c r="BC935" s="92"/>
      <c r="BD935" s="92"/>
      <c r="BE935" s="93"/>
      <c r="BF935" s="92"/>
      <c r="BG935" s="82"/>
      <c r="BH935" s="82"/>
      <c r="BI935" s="29"/>
      <c r="BJ935" s="29"/>
      <c r="BK935" s="29"/>
    </row>
    <row r="936" ht="15.75" hidden="1" customHeight="1">
      <c r="A936" s="75"/>
      <c r="B936" s="73"/>
      <c r="C936" s="76"/>
      <c r="D936" s="76"/>
      <c r="E936" s="76"/>
      <c r="F936" s="77"/>
      <c r="G936" s="78"/>
      <c r="H936" s="76"/>
      <c r="I936" s="76"/>
      <c r="J936" s="79"/>
      <c r="K936" s="80"/>
      <c r="L936" s="81"/>
      <c r="M936" s="81"/>
      <c r="N936" s="82"/>
      <c r="O936" s="83"/>
      <c r="P936" s="84"/>
      <c r="Q936" s="84"/>
      <c r="R936" s="81"/>
      <c r="S936" s="85"/>
      <c r="T936" s="86"/>
      <c r="U936" s="86"/>
      <c r="V936" s="87"/>
      <c r="W936" s="87"/>
      <c r="X936" s="87"/>
      <c r="Y936" s="87"/>
      <c r="Z936" s="87"/>
      <c r="AA936" s="87"/>
      <c r="AB936" s="29"/>
      <c r="AC936" s="94"/>
      <c r="AD936" s="94"/>
      <c r="AE936" s="89"/>
      <c r="AF936" s="89"/>
      <c r="AG936" s="89"/>
      <c r="AH936" s="89"/>
      <c r="AI936" s="90"/>
      <c r="AJ936" s="90"/>
      <c r="AK936" s="90"/>
      <c r="AL936" s="90"/>
      <c r="AM936" s="91"/>
      <c r="AN936" s="91"/>
      <c r="AO936" s="92"/>
      <c r="AP936" s="92"/>
      <c r="AQ936" s="92"/>
      <c r="AR936" s="92"/>
      <c r="AS936" s="93"/>
      <c r="AT936" s="93"/>
      <c r="AU936" s="93"/>
      <c r="AV936" s="93"/>
      <c r="AW936" s="93"/>
      <c r="AX936" s="92"/>
      <c r="AY936" s="92"/>
      <c r="AZ936" s="90"/>
      <c r="BA936" s="83"/>
      <c r="BB936" s="92"/>
      <c r="BC936" s="92"/>
      <c r="BD936" s="92"/>
      <c r="BE936" s="93"/>
      <c r="BF936" s="92"/>
      <c r="BG936" s="82"/>
      <c r="BH936" s="82"/>
      <c r="BI936" s="29"/>
      <c r="BJ936" s="29"/>
      <c r="BK936" s="29"/>
    </row>
    <row r="937" ht="15.75" hidden="1" customHeight="1">
      <c r="A937" s="75"/>
      <c r="B937" s="73"/>
      <c r="C937" s="76"/>
      <c r="D937" s="76"/>
      <c r="E937" s="76"/>
      <c r="F937" s="77"/>
      <c r="G937" s="78"/>
      <c r="H937" s="76"/>
      <c r="I937" s="76"/>
      <c r="J937" s="79"/>
      <c r="K937" s="80"/>
      <c r="L937" s="81"/>
      <c r="M937" s="81"/>
      <c r="N937" s="82"/>
      <c r="O937" s="83"/>
      <c r="P937" s="84"/>
      <c r="Q937" s="84"/>
      <c r="R937" s="81"/>
      <c r="S937" s="85"/>
      <c r="T937" s="86"/>
      <c r="U937" s="86"/>
      <c r="V937" s="87"/>
      <c r="W937" s="87"/>
      <c r="X937" s="87"/>
      <c r="Y937" s="87"/>
      <c r="Z937" s="87"/>
      <c r="AA937" s="87"/>
      <c r="AB937" s="29"/>
      <c r="AC937" s="94"/>
      <c r="AD937" s="94"/>
      <c r="AE937" s="89"/>
      <c r="AF937" s="89"/>
      <c r="AG937" s="89"/>
      <c r="AH937" s="89"/>
      <c r="AI937" s="90"/>
      <c r="AJ937" s="90"/>
      <c r="AK937" s="90"/>
      <c r="AL937" s="90"/>
      <c r="AM937" s="91"/>
      <c r="AN937" s="91"/>
      <c r="AO937" s="92"/>
      <c r="AP937" s="92"/>
      <c r="AQ937" s="92"/>
      <c r="AR937" s="92"/>
      <c r="AS937" s="93"/>
      <c r="AT937" s="93"/>
      <c r="AU937" s="93"/>
      <c r="AV937" s="93"/>
      <c r="AW937" s="93"/>
      <c r="AX937" s="92"/>
      <c r="AY937" s="92"/>
      <c r="AZ937" s="90"/>
      <c r="BA937" s="83"/>
      <c r="BB937" s="92"/>
      <c r="BC937" s="92"/>
      <c r="BD937" s="92"/>
      <c r="BE937" s="93"/>
      <c r="BF937" s="92"/>
      <c r="BG937" s="82"/>
      <c r="BH937" s="82"/>
      <c r="BI937" s="29"/>
      <c r="BJ937" s="29"/>
      <c r="BK937" s="29"/>
    </row>
    <row r="938" ht="15.75" hidden="1" customHeight="1">
      <c r="A938" s="75"/>
      <c r="B938" s="73"/>
      <c r="C938" s="76"/>
      <c r="D938" s="76"/>
      <c r="E938" s="76"/>
      <c r="F938" s="77"/>
      <c r="G938" s="78"/>
      <c r="H938" s="76"/>
      <c r="I938" s="76"/>
      <c r="J938" s="79"/>
      <c r="K938" s="80"/>
      <c r="L938" s="81"/>
      <c r="M938" s="81"/>
      <c r="N938" s="82"/>
      <c r="O938" s="83"/>
      <c r="P938" s="84"/>
      <c r="Q938" s="84"/>
      <c r="R938" s="81"/>
      <c r="S938" s="85"/>
      <c r="T938" s="86"/>
      <c r="U938" s="86"/>
      <c r="V938" s="87"/>
      <c r="W938" s="87"/>
      <c r="X938" s="87"/>
      <c r="Y938" s="87"/>
      <c r="Z938" s="87"/>
      <c r="AA938" s="87"/>
      <c r="AB938" s="29"/>
      <c r="AC938" s="94"/>
      <c r="AD938" s="94"/>
      <c r="AE938" s="89"/>
      <c r="AF938" s="89"/>
      <c r="AG938" s="89"/>
      <c r="AH938" s="89"/>
      <c r="AI938" s="90"/>
      <c r="AJ938" s="90"/>
      <c r="AK938" s="90"/>
      <c r="AL938" s="90"/>
      <c r="AM938" s="91"/>
      <c r="AN938" s="91"/>
      <c r="AO938" s="92"/>
      <c r="AP938" s="92"/>
      <c r="AQ938" s="92"/>
      <c r="AR938" s="92"/>
      <c r="AS938" s="93"/>
      <c r="AT938" s="93"/>
      <c r="AU938" s="93"/>
      <c r="AV938" s="93"/>
      <c r="AW938" s="93"/>
      <c r="AX938" s="92"/>
      <c r="AY938" s="92"/>
      <c r="AZ938" s="90"/>
      <c r="BA938" s="83"/>
      <c r="BB938" s="92"/>
      <c r="BC938" s="92"/>
      <c r="BD938" s="92"/>
      <c r="BE938" s="93"/>
      <c r="BF938" s="92"/>
      <c r="BG938" s="82"/>
      <c r="BH938" s="82"/>
      <c r="BI938" s="29"/>
      <c r="BJ938" s="29"/>
      <c r="BK938" s="29"/>
    </row>
    <row r="939" ht="15.75" hidden="1" customHeight="1">
      <c r="A939" s="75"/>
      <c r="B939" s="73"/>
      <c r="C939" s="76"/>
      <c r="D939" s="76"/>
      <c r="E939" s="76"/>
      <c r="F939" s="77"/>
      <c r="G939" s="78"/>
      <c r="H939" s="76"/>
      <c r="I939" s="76"/>
      <c r="J939" s="79"/>
      <c r="K939" s="80"/>
      <c r="L939" s="81"/>
      <c r="M939" s="81"/>
      <c r="N939" s="82"/>
      <c r="O939" s="83"/>
      <c r="P939" s="84"/>
      <c r="Q939" s="84"/>
      <c r="R939" s="81"/>
      <c r="S939" s="85"/>
      <c r="T939" s="86"/>
      <c r="U939" s="86"/>
      <c r="V939" s="87"/>
      <c r="W939" s="87"/>
      <c r="X939" s="87"/>
      <c r="Y939" s="87"/>
      <c r="Z939" s="87"/>
      <c r="AA939" s="87"/>
      <c r="AB939" s="29"/>
      <c r="AC939" s="94"/>
      <c r="AD939" s="94"/>
      <c r="AE939" s="89"/>
      <c r="AF939" s="89"/>
      <c r="AG939" s="89"/>
      <c r="AH939" s="89"/>
      <c r="AI939" s="90"/>
      <c r="AJ939" s="90"/>
      <c r="AK939" s="90"/>
      <c r="AL939" s="90"/>
      <c r="AM939" s="91"/>
      <c r="AN939" s="91"/>
      <c r="AO939" s="92"/>
      <c r="AP939" s="92"/>
      <c r="AQ939" s="92"/>
      <c r="AR939" s="92"/>
      <c r="AS939" s="93"/>
      <c r="AT939" s="93"/>
      <c r="AU939" s="93"/>
      <c r="AV939" s="93"/>
      <c r="AW939" s="93"/>
      <c r="AX939" s="92"/>
      <c r="AY939" s="92"/>
      <c r="AZ939" s="90"/>
      <c r="BA939" s="83"/>
      <c r="BB939" s="92"/>
      <c r="BC939" s="92"/>
      <c r="BD939" s="92"/>
      <c r="BE939" s="93"/>
      <c r="BF939" s="92"/>
      <c r="BG939" s="82"/>
      <c r="BH939" s="82"/>
      <c r="BI939" s="29"/>
      <c r="BJ939" s="29"/>
      <c r="BK939" s="29"/>
    </row>
    <row r="940" ht="15.75" hidden="1" customHeight="1">
      <c r="A940" s="75"/>
      <c r="B940" s="73"/>
      <c r="C940" s="76"/>
      <c r="D940" s="76"/>
      <c r="E940" s="76"/>
      <c r="F940" s="77"/>
      <c r="G940" s="78"/>
      <c r="H940" s="76"/>
      <c r="I940" s="76"/>
      <c r="J940" s="79"/>
      <c r="K940" s="80"/>
      <c r="L940" s="81"/>
      <c r="M940" s="81"/>
      <c r="N940" s="82"/>
      <c r="O940" s="83"/>
      <c r="P940" s="84"/>
      <c r="Q940" s="84"/>
      <c r="R940" s="81"/>
      <c r="S940" s="85"/>
      <c r="T940" s="86"/>
      <c r="U940" s="86"/>
      <c r="V940" s="87"/>
      <c r="W940" s="87"/>
      <c r="X940" s="87"/>
      <c r="Y940" s="87"/>
      <c r="Z940" s="87"/>
      <c r="AA940" s="87"/>
      <c r="AB940" s="29"/>
      <c r="AC940" s="94"/>
      <c r="AD940" s="94"/>
      <c r="AE940" s="89"/>
      <c r="AF940" s="89"/>
      <c r="AG940" s="89"/>
      <c r="AH940" s="89"/>
      <c r="AI940" s="90"/>
      <c r="AJ940" s="90"/>
      <c r="AK940" s="90"/>
      <c r="AL940" s="90"/>
      <c r="AM940" s="91"/>
      <c r="AN940" s="91"/>
      <c r="AO940" s="92"/>
      <c r="AP940" s="92"/>
      <c r="AQ940" s="92"/>
      <c r="AR940" s="92"/>
      <c r="AS940" s="93"/>
      <c r="AT940" s="93"/>
      <c r="AU940" s="93"/>
      <c r="AV940" s="93"/>
      <c r="AW940" s="93"/>
      <c r="AX940" s="92"/>
      <c r="AY940" s="92"/>
      <c r="AZ940" s="90"/>
      <c r="BA940" s="83"/>
      <c r="BB940" s="92"/>
      <c r="BC940" s="92"/>
      <c r="BD940" s="92"/>
      <c r="BE940" s="93"/>
      <c r="BF940" s="92"/>
      <c r="BG940" s="82"/>
      <c r="BH940" s="82"/>
      <c r="BI940" s="29"/>
      <c r="BJ940" s="29"/>
      <c r="BK940" s="29"/>
    </row>
    <row r="941" ht="15.75" hidden="1" customHeight="1">
      <c r="A941" s="75"/>
      <c r="B941" s="73"/>
      <c r="C941" s="76"/>
      <c r="D941" s="76"/>
      <c r="E941" s="76"/>
      <c r="F941" s="77"/>
      <c r="G941" s="78"/>
      <c r="H941" s="76"/>
      <c r="I941" s="76"/>
      <c r="J941" s="79"/>
      <c r="K941" s="80"/>
      <c r="L941" s="81"/>
      <c r="M941" s="81"/>
      <c r="N941" s="82"/>
      <c r="O941" s="83"/>
      <c r="P941" s="84"/>
      <c r="Q941" s="84"/>
      <c r="R941" s="81"/>
      <c r="S941" s="85"/>
      <c r="T941" s="86"/>
      <c r="U941" s="86"/>
      <c r="V941" s="87"/>
      <c r="W941" s="87"/>
      <c r="X941" s="87"/>
      <c r="Y941" s="87"/>
      <c r="Z941" s="87"/>
      <c r="AA941" s="87"/>
      <c r="AB941" s="29"/>
      <c r="AC941" s="94"/>
      <c r="AD941" s="94"/>
      <c r="AE941" s="89"/>
      <c r="AF941" s="89"/>
      <c r="AG941" s="89"/>
      <c r="AH941" s="89"/>
      <c r="AI941" s="90"/>
      <c r="AJ941" s="90"/>
      <c r="AK941" s="90"/>
      <c r="AL941" s="90"/>
      <c r="AM941" s="91"/>
      <c r="AN941" s="91"/>
      <c r="AO941" s="92"/>
      <c r="AP941" s="92"/>
      <c r="AQ941" s="92"/>
      <c r="AR941" s="92"/>
      <c r="AS941" s="93"/>
      <c r="AT941" s="93"/>
      <c r="AU941" s="93"/>
      <c r="AV941" s="93"/>
      <c r="AW941" s="93"/>
      <c r="AX941" s="92"/>
      <c r="AY941" s="92"/>
      <c r="AZ941" s="90"/>
      <c r="BA941" s="83"/>
      <c r="BB941" s="92"/>
      <c r="BC941" s="92"/>
      <c r="BD941" s="92"/>
      <c r="BE941" s="93"/>
      <c r="BF941" s="92"/>
      <c r="BG941" s="82"/>
      <c r="BH941" s="82"/>
      <c r="BI941" s="29"/>
      <c r="BJ941" s="29"/>
      <c r="BK941" s="29"/>
    </row>
    <row r="942" ht="15.75" hidden="1" customHeight="1">
      <c r="A942" s="75"/>
      <c r="B942" s="73"/>
      <c r="C942" s="76"/>
      <c r="D942" s="76"/>
      <c r="E942" s="76"/>
      <c r="F942" s="77"/>
      <c r="G942" s="78"/>
      <c r="H942" s="76"/>
      <c r="I942" s="76"/>
      <c r="J942" s="79"/>
      <c r="K942" s="80"/>
      <c r="L942" s="81"/>
      <c r="M942" s="81"/>
      <c r="N942" s="82"/>
      <c r="O942" s="83"/>
      <c r="P942" s="84"/>
      <c r="Q942" s="84"/>
      <c r="R942" s="81"/>
      <c r="S942" s="85"/>
      <c r="T942" s="86"/>
      <c r="U942" s="86"/>
      <c r="V942" s="87"/>
      <c r="W942" s="87"/>
      <c r="X942" s="87"/>
      <c r="Y942" s="87"/>
      <c r="Z942" s="87"/>
      <c r="AA942" s="87"/>
      <c r="AB942" s="29"/>
      <c r="AC942" s="94"/>
      <c r="AD942" s="94"/>
      <c r="AE942" s="89"/>
      <c r="AF942" s="89"/>
      <c r="AG942" s="89"/>
      <c r="AH942" s="89"/>
      <c r="AI942" s="90"/>
      <c r="AJ942" s="90"/>
      <c r="AK942" s="90"/>
      <c r="AL942" s="90"/>
      <c r="AM942" s="91"/>
      <c r="AN942" s="91"/>
      <c r="AO942" s="92"/>
      <c r="AP942" s="92"/>
      <c r="AQ942" s="92"/>
      <c r="AR942" s="92"/>
      <c r="AS942" s="93"/>
      <c r="AT942" s="93"/>
      <c r="AU942" s="93"/>
      <c r="AV942" s="93"/>
      <c r="AW942" s="93"/>
      <c r="AX942" s="92"/>
      <c r="AY942" s="92"/>
      <c r="AZ942" s="90"/>
      <c r="BA942" s="83"/>
      <c r="BB942" s="92"/>
      <c r="BC942" s="92"/>
      <c r="BD942" s="92"/>
      <c r="BE942" s="93"/>
      <c r="BF942" s="92"/>
      <c r="BG942" s="82"/>
      <c r="BH942" s="82"/>
      <c r="BI942" s="29"/>
      <c r="BJ942" s="29"/>
      <c r="BK942" s="29"/>
    </row>
    <row r="943" ht="15.75" hidden="1" customHeight="1">
      <c r="A943" s="75"/>
      <c r="B943" s="73"/>
      <c r="C943" s="76"/>
      <c r="D943" s="76"/>
      <c r="E943" s="76"/>
      <c r="F943" s="77"/>
      <c r="G943" s="78"/>
      <c r="H943" s="76"/>
      <c r="I943" s="76"/>
      <c r="J943" s="79"/>
      <c r="K943" s="80"/>
      <c r="L943" s="81"/>
      <c r="M943" s="81"/>
      <c r="N943" s="82"/>
      <c r="O943" s="83"/>
      <c r="P943" s="84"/>
      <c r="Q943" s="84"/>
      <c r="R943" s="81"/>
      <c r="S943" s="85"/>
      <c r="T943" s="86"/>
      <c r="U943" s="86"/>
      <c r="V943" s="87"/>
      <c r="W943" s="87"/>
      <c r="X943" s="87"/>
      <c r="Y943" s="87"/>
      <c r="Z943" s="87"/>
      <c r="AA943" s="87"/>
      <c r="AB943" s="29"/>
      <c r="AC943" s="94"/>
      <c r="AD943" s="94"/>
      <c r="AE943" s="89"/>
      <c r="AF943" s="89"/>
      <c r="AG943" s="89"/>
      <c r="AH943" s="89"/>
      <c r="AI943" s="90"/>
      <c r="AJ943" s="90"/>
      <c r="AK943" s="90"/>
      <c r="AL943" s="90"/>
      <c r="AM943" s="91"/>
      <c r="AN943" s="91"/>
      <c r="AO943" s="92"/>
      <c r="AP943" s="92"/>
      <c r="AQ943" s="92"/>
      <c r="AR943" s="92"/>
      <c r="AS943" s="93"/>
      <c r="AT943" s="93"/>
      <c r="AU943" s="93"/>
      <c r="AV943" s="93"/>
      <c r="AW943" s="93"/>
      <c r="AX943" s="92"/>
      <c r="AY943" s="92"/>
      <c r="AZ943" s="90"/>
      <c r="BA943" s="83"/>
      <c r="BB943" s="92"/>
      <c r="BC943" s="92"/>
      <c r="BD943" s="92"/>
      <c r="BE943" s="93"/>
      <c r="BF943" s="92"/>
      <c r="BG943" s="82"/>
      <c r="BH943" s="82"/>
      <c r="BI943" s="29"/>
      <c r="BJ943" s="29"/>
      <c r="BK943" s="29"/>
    </row>
    <row r="944" ht="15.75" hidden="1" customHeight="1">
      <c r="A944" s="75"/>
      <c r="B944" s="73"/>
      <c r="C944" s="76"/>
      <c r="D944" s="76"/>
      <c r="E944" s="76"/>
      <c r="F944" s="77"/>
      <c r="G944" s="78"/>
      <c r="H944" s="76"/>
      <c r="I944" s="76"/>
      <c r="J944" s="79"/>
      <c r="K944" s="80"/>
      <c r="L944" s="81"/>
      <c r="M944" s="81"/>
      <c r="N944" s="82"/>
      <c r="O944" s="83"/>
      <c r="P944" s="84"/>
      <c r="Q944" s="84"/>
      <c r="R944" s="81"/>
      <c r="S944" s="85"/>
      <c r="T944" s="86"/>
      <c r="U944" s="86"/>
      <c r="V944" s="87"/>
      <c r="W944" s="87"/>
      <c r="X944" s="87"/>
      <c r="Y944" s="87"/>
      <c r="Z944" s="87"/>
      <c r="AA944" s="87"/>
      <c r="AB944" s="29"/>
      <c r="AC944" s="94"/>
      <c r="AD944" s="94"/>
      <c r="AE944" s="89"/>
      <c r="AF944" s="89"/>
      <c r="AG944" s="89"/>
      <c r="AH944" s="89"/>
      <c r="AI944" s="90"/>
      <c r="AJ944" s="90"/>
      <c r="AK944" s="90"/>
      <c r="AL944" s="90"/>
      <c r="AM944" s="91"/>
      <c r="AN944" s="91"/>
      <c r="AO944" s="92"/>
      <c r="AP944" s="92"/>
      <c r="AQ944" s="92"/>
      <c r="AR944" s="92"/>
      <c r="AS944" s="93"/>
      <c r="AT944" s="93"/>
      <c r="AU944" s="93"/>
      <c r="AV944" s="93"/>
      <c r="AW944" s="93"/>
      <c r="AX944" s="92"/>
      <c r="AY944" s="92"/>
      <c r="AZ944" s="90"/>
      <c r="BA944" s="83"/>
      <c r="BB944" s="92"/>
      <c r="BC944" s="92"/>
      <c r="BD944" s="92"/>
      <c r="BE944" s="93"/>
      <c r="BF944" s="92"/>
      <c r="BG944" s="82"/>
      <c r="BH944" s="82"/>
      <c r="BI944" s="29"/>
      <c r="BJ944" s="29"/>
      <c r="BK944" s="29"/>
    </row>
    <row r="945" ht="15.75" hidden="1" customHeight="1">
      <c r="A945" s="75"/>
      <c r="B945" s="73"/>
      <c r="C945" s="76"/>
      <c r="D945" s="76"/>
      <c r="E945" s="76"/>
      <c r="F945" s="77"/>
      <c r="G945" s="78"/>
      <c r="H945" s="76"/>
      <c r="I945" s="76"/>
      <c r="J945" s="79"/>
      <c r="K945" s="80"/>
      <c r="L945" s="81"/>
      <c r="M945" s="81"/>
      <c r="N945" s="82"/>
      <c r="O945" s="83"/>
      <c r="P945" s="84"/>
      <c r="Q945" s="84"/>
      <c r="R945" s="81"/>
      <c r="S945" s="85"/>
      <c r="T945" s="86"/>
      <c r="U945" s="86"/>
      <c r="V945" s="87"/>
      <c r="W945" s="87"/>
      <c r="X945" s="87"/>
      <c r="Y945" s="87"/>
      <c r="Z945" s="87"/>
      <c r="AA945" s="87"/>
      <c r="AB945" s="29"/>
      <c r="AC945" s="94"/>
      <c r="AD945" s="94"/>
      <c r="AE945" s="89"/>
      <c r="AF945" s="89"/>
      <c r="AG945" s="89"/>
      <c r="AH945" s="89"/>
      <c r="AI945" s="90"/>
      <c r="AJ945" s="90"/>
      <c r="AK945" s="90"/>
      <c r="AL945" s="90"/>
      <c r="AM945" s="91"/>
      <c r="AN945" s="91"/>
      <c r="AO945" s="92"/>
      <c r="AP945" s="92"/>
      <c r="AQ945" s="92"/>
      <c r="AR945" s="92"/>
      <c r="AS945" s="93"/>
      <c r="AT945" s="93"/>
      <c r="AU945" s="93"/>
      <c r="AV945" s="93"/>
      <c r="AW945" s="93"/>
      <c r="AX945" s="92"/>
      <c r="AY945" s="92"/>
      <c r="AZ945" s="90"/>
      <c r="BA945" s="83"/>
      <c r="BB945" s="92"/>
      <c r="BC945" s="92"/>
      <c r="BD945" s="92"/>
      <c r="BE945" s="93"/>
      <c r="BF945" s="92"/>
      <c r="BG945" s="82"/>
      <c r="BH945" s="82"/>
      <c r="BI945" s="29"/>
      <c r="BJ945" s="29"/>
      <c r="BK945" s="29"/>
    </row>
    <row r="946" ht="15.75" hidden="1" customHeight="1">
      <c r="A946" s="75"/>
      <c r="B946" s="73"/>
      <c r="C946" s="76"/>
      <c r="D946" s="76"/>
      <c r="E946" s="76"/>
      <c r="F946" s="77"/>
      <c r="G946" s="78"/>
      <c r="H946" s="76"/>
      <c r="I946" s="76"/>
      <c r="J946" s="79"/>
      <c r="K946" s="80"/>
      <c r="L946" s="81"/>
      <c r="M946" s="81"/>
      <c r="N946" s="82"/>
      <c r="O946" s="83"/>
      <c r="P946" s="84"/>
      <c r="Q946" s="84"/>
      <c r="R946" s="81"/>
      <c r="S946" s="85"/>
      <c r="T946" s="86"/>
      <c r="U946" s="86"/>
      <c r="V946" s="87"/>
      <c r="W946" s="87"/>
      <c r="X946" s="87"/>
      <c r="Y946" s="87"/>
      <c r="Z946" s="87"/>
      <c r="AA946" s="87"/>
      <c r="AB946" s="29"/>
      <c r="AC946" s="94"/>
      <c r="AD946" s="94"/>
      <c r="AE946" s="89"/>
      <c r="AF946" s="89"/>
      <c r="AG946" s="89"/>
      <c r="AH946" s="89"/>
      <c r="AI946" s="90"/>
      <c r="AJ946" s="90"/>
      <c r="AK946" s="90"/>
      <c r="AL946" s="90"/>
      <c r="AM946" s="91"/>
      <c r="AN946" s="91"/>
      <c r="AO946" s="92"/>
      <c r="AP946" s="92"/>
      <c r="AQ946" s="92"/>
      <c r="AR946" s="92"/>
      <c r="AS946" s="93"/>
      <c r="AT946" s="93"/>
      <c r="AU946" s="93"/>
      <c r="AV946" s="93"/>
      <c r="AW946" s="93"/>
      <c r="AX946" s="92"/>
      <c r="AY946" s="92"/>
      <c r="AZ946" s="90"/>
      <c r="BA946" s="83"/>
      <c r="BB946" s="92"/>
      <c r="BC946" s="92"/>
      <c r="BD946" s="92"/>
      <c r="BE946" s="93"/>
      <c r="BF946" s="92"/>
      <c r="BG946" s="82"/>
      <c r="BH946" s="82"/>
      <c r="BI946" s="29"/>
      <c r="BJ946" s="29"/>
      <c r="BK946" s="29"/>
    </row>
    <row r="947" ht="15.75" hidden="1" customHeight="1">
      <c r="A947" s="75"/>
      <c r="B947" s="73"/>
      <c r="C947" s="76"/>
      <c r="D947" s="76"/>
      <c r="E947" s="76"/>
      <c r="F947" s="77"/>
      <c r="G947" s="78"/>
      <c r="H947" s="76"/>
      <c r="I947" s="76"/>
      <c r="J947" s="79"/>
      <c r="K947" s="80"/>
      <c r="L947" s="81"/>
      <c r="M947" s="81"/>
      <c r="N947" s="82"/>
      <c r="O947" s="83"/>
      <c r="P947" s="84"/>
      <c r="Q947" s="84"/>
      <c r="R947" s="81"/>
      <c r="S947" s="85"/>
      <c r="T947" s="86"/>
      <c r="U947" s="86"/>
      <c r="V947" s="87"/>
      <c r="W947" s="87"/>
      <c r="X947" s="87"/>
      <c r="Y947" s="87"/>
      <c r="Z947" s="87"/>
      <c r="AA947" s="87"/>
      <c r="AB947" s="29"/>
      <c r="AC947" s="94"/>
      <c r="AD947" s="94"/>
      <c r="AE947" s="89"/>
      <c r="AF947" s="89"/>
      <c r="AG947" s="89"/>
      <c r="AH947" s="89"/>
      <c r="AI947" s="90"/>
      <c r="AJ947" s="90"/>
      <c r="AK947" s="90"/>
      <c r="AL947" s="90"/>
      <c r="AM947" s="91"/>
      <c r="AN947" s="91"/>
      <c r="AO947" s="92"/>
      <c r="AP947" s="92"/>
      <c r="AQ947" s="92"/>
      <c r="AR947" s="92"/>
      <c r="AS947" s="93"/>
      <c r="AT947" s="93"/>
      <c r="AU947" s="93"/>
      <c r="AV947" s="93"/>
      <c r="AW947" s="93"/>
      <c r="AX947" s="92"/>
      <c r="AY947" s="92"/>
      <c r="AZ947" s="90"/>
      <c r="BA947" s="83"/>
      <c r="BB947" s="92"/>
      <c r="BC947" s="92"/>
      <c r="BD947" s="92"/>
      <c r="BE947" s="93"/>
      <c r="BF947" s="92"/>
      <c r="BG947" s="82"/>
      <c r="BH947" s="82"/>
      <c r="BI947" s="29"/>
      <c r="BJ947" s="29"/>
      <c r="BK947" s="29"/>
    </row>
    <row r="948" ht="15.75" hidden="1" customHeight="1">
      <c r="A948" s="75"/>
      <c r="B948" s="73"/>
      <c r="C948" s="76"/>
      <c r="D948" s="76"/>
      <c r="E948" s="76"/>
      <c r="F948" s="77"/>
      <c r="G948" s="78"/>
      <c r="H948" s="76"/>
      <c r="I948" s="76"/>
      <c r="J948" s="79"/>
      <c r="K948" s="80"/>
      <c r="L948" s="81"/>
      <c r="M948" s="81"/>
      <c r="N948" s="82"/>
      <c r="O948" s="83"/>
      <c r="P948" s="84"/>
      <c r="Q948" s="84"/>
      <c r="R948" s="81"/>
      <c r="S948" s="85"/>
      <c r="T948" s="86"/>
      <c r="U948" s="86"/>
      <c r="V948" s="87"/>
      <c r="W948" s="87"/>
      <c r="X948" s="87"/>
      <c r="Y948" s="87"/>
      <c r="Z948" s="87"/>
      <c r="AA948" s="87"/>
      <c r="AB948" s="29"/>
      <c r="AC948" s="94"/>
      <c r="AD948" s="94"/>
      <c r="AE948" s="89"/>
      <c r="AF948" s="89"/>
      <c r="AG948" s="89"/>
      <c r="AH948" s="89"/>
      <c r="AI948" s="90"/>
      <c r="AJ948" s="90"/>
      <c r="AK948" s="90"/>
      <c r="AL948" s="90"/>
      <c r="AM948" s="91"/>
      <c r="AN948" s="91"/>
      <c r="AO948" s="92"/>
      <c r="AP948" s="92"/>
      <c r="AQ948" s="92"/>
      <c r="AR948" s="92"/>
      <c r="AS948" s="93"/>
      <c r="AT948" s="93"/>
      <c r="AU948" s="93"/>
      <c r="AV948" s="93"/>
      <c r="AW948" s="93"/>
      <c r="AX948" s="92"/>
      <c r="AY948" s="92"/>
      <c r="AZ948" s="90"/>
      <c r="BA948" s="83"/>
      <c r="BB948" s="92"/>
      <c r="BC948" s="92"/>
      <c r="BD948" s="92"/>
      <c r="BE948" s="93"/>
      <c r="BF948" s="92"/>
      <c r="BG948" s="82"/>
      <c r="BH948" s="82"/>
      <c r="BI948" s="29"/>
      <c r="BJ948" s="29"/>
      <c r="BK948" s="29"/>
    </row>
    <row r="949" ht="15.75" hidden="1" customHeight="1">
      <c r="A949" s="75"/>
      <c r="B949" s="73"/>
      <c r="C949" s="76"/>
      <c r="D949" s="76"/>
      <c r="E949" s="76"/>
      <c r="F949" s="77"/>
      <c r="G949" s="78"/>
      <c r="H949" s="76"/>
      <c r="I949" s="76"/>
      <c r="J949" s="79"/>
      <c r="K949" s="80"/>
      <c r="L949" s="81"/>
      <c r="M949" s="81"/>
      <c r="N949" s="82"/>
      <c r="O949" s="83"/>
      <c r="P949" s="84"/>
      <c r="Q949" s="84"/>
      <c r="R949" s="81"/>
      <c r="S949" s="85"/>
      <c r="T949" s="86"/>
      <c r="U949" s="86"/>
      <c r="V949" s="87"/>
      <c r="W949" s="87"/>
      <c r="X949" s="87"/>
      <c r="Y949" s="87"/>
      <c r="Z949" s="87"/>
      <c r="AA949" s="87"/>
      <c r="AB949" s="29"/>
      <c r="AC949" s="94"/>
      <c r="AD949" s="94"/>
      <c r="AE949" s="89"/>
      <c r="AF949" s="89"/>
      <c r="AG949" s="89"/>
      <c r="AH949" s="89"/>
      <c r="AI949" s="90"/>
      <c r="AJ949" s="90"/>
      <c r="AK949" s="90"/>
      <c r="AL949" s="90"/>
      <c r="AM949" s="91"/>
      <c r="AN949" s="91"/>
      <c r="AO949" s="92"/>
      <c r="AP949" s="92"/>
      <c r="AQ949" s="92"/>
      <c r="AR949" s="92"/>
      <c r="AS949" s="93"/>
      <c r="AT949" s="93"/>
      <c r="AU949" s="93"/>
      <c r="AV949" s="93"/>
      <c r="AW949" s="93"/>
      <c r="AX949" s="92"/>
      <c r="AY949" s="92"/>
      <c r="AZ949" s="90"/>
      <c r="BA949" s="83"/>
      <c r="BB949" s="92"/>
      <c r="BC949" s="92"/>
      <c r="BD949" s="92"/>
      <c r="BE949" s="93"/>
      <c r="BF949" s="92"/>
      <c r="BG949" s="82"/>
      <c r="BH949" s="82"/>
      <c r="BI949" s="29"/>
      <c r="BJ949" s="29"/>
      <c r="BK949" s="29"/>
    </row>
    <row r="950" ht="15.75" hidden="1" customHeight="1">
      <c r="A950" s="75"/>
      <c r="B950" s="73"/>
      <c r="C950" s="76"/>
      <c r="D950" s="76"/>
      <c r="E950" s="76"/>
      <c r="F950" s="77"/>
      <c r="G950" s="78"/>
      <c r="H950" s="76"/>
      <c r="I950" s="76"/>
      <c r="J950" s="79"/>
      <c r="K950" s="80"/>
      <c r="L950" s="81"/>
      <c r="M950" s="81"/>
      <c r="N950" s="82"/>
      <c r="O950" s="83"/>
      <c r="P950" s="84"/>
      <c r="Q950" s="84"/>
      <c r="R950" s="81"/>
      <c r="S950" s="85"/>
      <c r="T950" s="86"/>
      <c r="U950" s="86"/>
      <c r="V950" s="87"/>
      <c r="W950" s="87"/>
      <c r="X950" s="87"/>
      <c r="Y950" s="87"/>
      <c r="Z950" s="87"/>
      <c r="AA950" s="87"/>
      <c r="AB950" s="29"/>
      <c r="AC950" s="94"/>
      <c r="AD950" s="94"/>
      <c r="AE950" s="89"/>
      <c r="AF950" s="89"/>
      <c r="AG950" s="89"/>
      <c r="AH950" s="89"/>
      <c r="AI950" s="90"/>
      <c r="AJ950" s="90"/>
      <c r="AK950" s="90"/>
      <c r="AL950" s="90"/>
      <c r="AM950" s="91"/>
      <c r="AN950" s="91"/>
      <c r="AO950" s="92"/>
      <c r="AP950" s="92"/>
      <c r="AQ950" s="92"/>
      <c r="AR950" s="92"/>
      <c r="AS950" s="93"/>
      <c r="AT950" s="93"/>
      <c r="AU950" s="93"/>
      <c r="AV950" s="93"/>
      <c r="AW950" s="93"/>
      <c r="AX950" s="92"/>
      <c r="AY950" s="92"/>
      <c r="AZ950" s="90"/>
      <c r="BA950" s="83"/>
      <c r="BB950" s="92"/>
      <c r="BC950" s="92"/>
      <c r="BD950" s="92"/>
      <c r="BE950" s="93"/>
      <c r="BF950" s="92"/>
      <c r="BG950" s="82"/>
      <c r="BH950" s="82"/>
      <c r="BI950" s="29"/>
      <c r="BJ950" s="29"/>
      <c r="BK950" s="29"/>
    </row>
    <row r="951" ht="15.75" hidden="1" customHeight="1">
      <c r="A951" s="75"/>
      <c r="B951" s="73"/>
      <c r="C951" s="76"/>
      <c r="D951" s="76"/>
      <c r="E951" s="76"/>
      <c r="F951" s="77"/>
      <c r="G951" s="78"/>
      <c r="H951" s="76"/>
      <c r="I951" s="76"/>
      <c r="J951" s="79"/>
      <c r="K951" s="80"/>
      <c r="L951" s="81"/>
      <c r="M951" s="81"/>
      <c r="N951" s="82"/>
      <c r="O951" s="83"/>
      <c r="P951" s="84"/>
      <c r="Q951" s="84"/>
      <c r="R951" s="81"/>
      <c r="S951" s="85"/>
      <c r="T951" s="86"/>
      <c r="U951" s="86"/>
      <c r="V951" s="87"/>
      <c r="W951" s="87"/>
      <c r="X951" s="87"/>
      <c r="Y951" s="87"/>
      <c r="Z951" s="87"/>
      <c r="AA951" s="87"/>
      <c r="AB951" s="29"/>
      <c r="AC951" s="94"/>
      <c r="AD951" s="94"/>
      <c r="AE951" s="89"/>
      <c r="AF951" s="89"/>
      <c r="AG951" s="89"/>
      <c r="AH951" s="89"/>
      <c r="AI951" s="90"/>
      <c r="AJ951" s="90"/>
      <c r="AK951" s="90"/>
      <c r="AL951" s="90"/>
      <c r="AM951" s="91"/>
      <c r="AN951" s="91"/>
      <c r="AO951" s="92"/>
      <c r="AP951" s="92"/>
      <c r="AQ951" s="92"/>
      <c r="AR951" s="92"/>
      <c r="AS951" s="93"/>
      <c r="AT951" s="93"/>
      <c r="AU951" s="93"/>
      <c r="AV951" s="93"/>
      <c r="AW951" s="93"/>
      <c r="AX951" s="92"/>
      <c r="AY951" s="92"/>
      <c r="AZ951" s="90"/>
      <c r="BA951" s="83"/>
      <c r="BB951" s="92"/>
      <c r="BC951" s="92"/>
      <c r="BD951" s="92"/>
      <c r="BE951" s="93"/>
      <c r="BF951" s="92"/>
      <c r="BG951" s="82"/>
      <c r="BH951" s="82"/>
      <c r="BI951" s="29"/>
      <c r="BJ951" s="29"/>
      <c r="BK951" s="29"/>
    </row>
    <row r="952" ht="15.75" hidden="1" customHeight="1">
      <c r="A952" s="75"/>
      <c r="B952" s="73"/>
      <c r="C952" s="76"/>
      <c r="D952" s="76"/>
      <c r="E952" s="76"/>
      <c r="F952" s="77"/>
      <c r="G952" s="78"/>
      <c r="H952" s="76"/>
      <c r="I952" s="76"/>
      <c r="J952" s="79"/>
      <c r="K952" s="80"/>
      <c r="L952" s="81"/>
      <c r="M952" s="81"/>
      <c r="N952" s="82"/>
      <c r="O952" s="83"/>
      <c r="P952" s="84"/>
      <c r="Q952" s="84"/>
      <c r="R952" s="81"/>
      <c r="S952" s="85"/>
      <c r="T952" s="86"/>
      <c r="U952" s="86"/>
      <c r="V952" s="87"/>
      <c r="W952" s="87"/>
      <c r="X952" s="87"/>
      <c r="Y952" s="87"/>
      <c r="Z952" s="87"/>
      <c r="AA952" s="87"/>
      <c r="AB952" s="29"/>
      <c r="AC952" s="94"/>
      <c r="AD952" s="94"/>
      <c r="AE952" s="89"/>
      <c r="AF952" s="89"/>
      <c r="AG952" s="89"/>
      <c r="AH952" s="89"/>
      <c r="AI952" s="90"/>
      <c r="AJ952" s="90"/>
      <c r="AK952" s="90"/>
      <c r="AL952" s="90"/>
      <c r="AM952" s="91"/>
      <c r="AN952" s="91"/>
      <c r="AO952" s="92"/>
      <c r="AP952" s="92"/>
      <c r="AQ952" s="92"/>
      <c r="AR952" s="92"/>
      <c r="AS952" s="93"/>
      <c r="AT952" s="93"/>
      <c r="AU952" s="93"/>
      <c r="AV952" s="93"/>
      <c r="AW952" s="93"/>
      <c r="AX952" s="92"/>
      <c r="AY952" s="92"/>
      <c r="AZ952" s="90"/>
      <c r="BA952" s="83"/>
      <c r="BB952" s="92"/>
      <c r="BC952" s="92"/>
      <c r="BD952" s="92"/>
      <c r="BE952" s="93"/>
      <c r="BF952" s="92"/>
      <c r="BG952" s="82"/>
      <c r="BH952" s="82"/>
      <c r="BI952" s="29"/>
      <c r="BJ952" s="29"/>
      <c r="BK952" s="29"/>
    </row>
    <row r="953" ht="15.75" hidden="1" customHeight="1">
      <c r="A953" s="75"/>
      <c r="B953" s="73"/>
      <c r="C953" s="76"/>
      <c r="D953" s="76"/>
      <c r="E953" s="76"/>
      <c r="F953" s="77"/>
      <c r="G953" s="78"/>
      <c r="H953" s="76"/>
      <c r="I953" s="76"/>
      <c r="J953" s="79"/>
      <c r="K953" s="80"/>
      <c r="L953" s="81"/>
      <c r="M953" s="81"/>
      <c r="N953" s="82"/>
      <c r="O953" s="83"/>
      <c r="P953" s="84"/>
      <c r="Q953" s="84"/>
      <c r="R953" s="81"/>
      <c r="S953" s="85"/>
      <c r="T953" s="86"/>
      <c r="U953" s="86"/>
      <c r="V953" s="87"/>
      <c r="W953" s="87"/>
      <c r="X953" s="87"/>
      <c r="Y953" s="87"/>
      <c r="Z953" s="87"/>
      <c r="AA953" s="87"/>
      <c r="AB953" s="29"/>
      <c r="AC953" s="94"/>
      <c r="AD953" s="94"/>
      <c r="AE953" s="89"/>
      <c r="AF953" s="89"/>
      <c r="AG953" s="89"/>
      <c r="AH953" s="89"/>
      <c r="AI953" s="90"/>
      <c r="AJ953" s="90"/>
      <c r="AK953" s="90"/>
      <c r="AL953" s="90"/>
      <c r="AM953" s="91"/>
      <c r="AN953" s="91"/>
      <c r="AO953" s="92"/>
      <c r="AP953" s="92"/>
      <c r="AQ953" s="92"/>
      <c r="AR953" s="92"/>
      <c r="AS953" s="93"/>
      <c r="AT953" s="93"/>
      <c r="AU953" s="93"/>
      <c r="AV953" s="93"/>
      <c r="AW953" s="93"/>
      <c r="AX953" s="92"/>
      <c r="AY953" s="92"/>
      <c r="AZ953" s="90"/>
      <c r="BA953" s="83"/>
      <c r="BB953" s="92"/>
      <c r="BC953" s="92"/>
      <c r="BD953" s="92"/>
      <c r="BE953" s="93"/>
      <c r="BF953" s="92"/>
      <c r="BG953" s="82"/>
      <c r="BH953" s="82"/>
      <c r="BI953" s="29"/>
      <c r="BJ953" s="29"/>
      <c r="BK953" s="29"/>
    </row>
    <row r="954" ht="15.75" hidden="1" customHeight="1">
      <c r="A954" s="75"/>
      <c r="B954" s="73"/>
      <c r="C954" s="76"/>
      <c r="D954" s="76"/>
      <c r="E954" s="76"/>
      <c r="F954" s="77"/>
      <c r="G954" s="78"/>
      <c r="H954" s="76"/>
      <c r="I954" s="76"/>
      <c r="J954" s="79"/>
      <c r="K954" s="80"/>
      <c r="L954" s="81"/>
      <c r="M954" s="81"/>
      <c r="N954" s="82"/>
      <c r="O954" s="83"/>
      <c r="P954" s="84"/>
      <c r="Q954" s="84"/>
      <c r="R954" s="81"/>
      <c r="S954" s="85"/>
      <c r="T954" s="86"/>
      <c r="U954" s="86"/>
      <c r="V954" s="87"/>
      <c r="W954" s="87"/>
      <c r="X954" s="87"/>
      <c r="Y954" s="87"/>
      <c r="Z954" s="87"/>
      <c r="AA954" s="87"/>
      <c r="AB954" s="29"/>
      <c r="AC954" s="94"/>
      <c r="AD954" s="94"/>
      <c r="AE954" s="89"/>
      <c r="AF954" s="89"/>
      <c r="AG954" s="89"/>
      <c r="AH954" s="89"/>
      <c r="AI954" s="90"/>
      <c r="AJ954" s="90"/>
      <c r="AK954" s="90"/>
      <c r="AL954" s="90"/>
      <c r="AM954" s="91"/>
      <c r="AN954" s="91"/>
      <c r="AO954" s="92"/>
      <c r="AP954" s="92"/>
      <c r="AQ954" s="92"/>
      <c r="AR954" s="92"/>
      <c r="AS954" s="93"/>
      <c r="AT954" s="93"/>
      <c r="AU954" s="93"/>
      <c r="AV954" s="93"/>
      <c r="AW954" s="93"/>
      <c r="AX954" s="92"/>
      <c r="AY954" s="92"/>
      <c r="AZ954" s="90"/>
      <c r="BA954" s="83"/>
      <c r="BB954" s="92"/>
      <c r="BC954" s="92"/>
      <c r="BD954" s="92"/>
      <c r="BE954" s="93"/>
      <c r="BF954" s="92"/>
      <c r="BG954" s="82"/>
      <c r="BH954" s="82"/>
      <c r="BI954" s="29"/>
      <c r="BJ954" s="29"/>
      <c r="BK954" s="29"/>
    </row>
    <row r="955" ht="15.75" hidden="1" customHeight="1">
      <c r="A955" s="75"/>
      <c r="B955" s="73"/>
      <c r="C955" s="76"/>
      <c r="D955" s="76"/>
      <c r="E955" s="76"/>
      <c r="F955" s="77"/>
      <c r="G955" s="78"/>
      <c r="H955" s="76"/>
      <c r="I955" s="76"/>
      <c r="J955" s="79"/>
      <c r="K955" s="80"/>
      <c r="L955" s="81"/>
      <c r="M955" s="81"/>
      <c r="N955" s="82"/>
      <c r="O955" s="83"/>
      <c r="P955" s="84"/>
      <c r="Q955" s="84"/>
      <c r="R955" s="81"/>
      <c r="S955" s="85"/>
      <c r="T955" s="86"/>
      <c r="U955" s="86"/>
      <c r="V955" s="87"/>
      <c r="W955" s="87"/>
      <c r="X955" s="87"/>
      <c r="Y955" s="87"/>
      <c r="Z955" s="87"/>
      <c r="AA955" s="87"/>
      <c r="AB955" s="29"/>
      <c r="AC955" s="94"/>
      <c r="AD955" s="94"/>
      <c r="AE955" s="89"/>
      <c r="AF955" s="89"/>
      <c r="AG955" s="89"/>
      <c r="AH955" s="89"/>
      <c r="AI955" s="90"/>
      <c r="AJ955" s="90"/>
      <c r="AK955" s="90"/>
      <c r="AL955" s="90"/>
      <c r="AM955" s="91"/>
      <c r="AN955" s="91"/>
      <c r="AO955" s="92"/>
      <c r="AP955" s="92"/>
      <c r="AQ955" s="92"/>
      <c r="AR955" s="92"/>
      <c r="AS955" s="93"/>
      <c r="AT955" s="93"/>
      <c r="AU955" s="93"/>
      <c r="AV955" s="93"/>
      <c r="AW955" s="93"/>
      <c r="AX955" s="92"/>
      <c r="AY955" s="92"/>
      <c r="AZ955" s="90"/>
      <c r="BA955" s="83"/>
      <c r="BB955" s="92"/>
      <c r="BC955" s="92"/>
      <c r="BD955" s="92"/>
      <c r="BE955" s="93"/>
      <c r="BF955" s="92"/>
      <c r="BG955" s="82"/>
      <c r="BH955" s="82"/>
      <c r="BI955" s="29"/>
      <c r="BJ955" s="29"/>
      <c r="BK955" s="29"/>
    </row>
    <row r="956" ht="15.75" hidden="1" customHeight="1">
      <c r="A956" s="75"/>
      <c r="B956" s="73"/>
      <c r="C956" s="76"/>
      <c r="D956" s="76"/>
      <c r="E956" s="76"/>
      <c r="F956" s="77"/>
      <c r="G956" s="78"/>
      <c r="H956" s="76"/>
      <c r="I956" s="76"/>
      <c r="J956" s="79"/>
      <c r="K956" s="80"/>
      <c r="L956" s="81"/>
      <c r="M956" s="81"/>
      <c r="N956" s="82"/>
      <c r="O956" s="83"/>
      <c r="P956" s="84"/>
      <c r="Q956" s="84"/>
      <c r="R956" s="81"/>
      <c r="S956" s="85"/>
      <c r="T956" s="86"/>
      <c r="U956" s="86"/>
      <c r="V956" s="87"/>
      <c r="W956" s="87"/>
      <c r="X956" s="87"/>
      <c r="Y956" s="87"/>
      <c r="Z956" s="87"/>
      <c r="AA956" s="87"/>
      <c r="AB956" s="29"/>
      <c r="AC956" s="94"/>
      <c r="AD956" s="94"/>
      <c r="AE956" s="89"/>
      <c r="AF956" s="89"/>
      <c r="AG956" s="89"/>
      <c r="AH956" s="89"/>
      <c r="AI956" s="90"/>
      <c r="AJ956" s="90"/>
      <c r="AK956" s="90"/>
      <c r="AL956" s="90"/>
      <c r="AM956" s="91"/>
      <c r="AN956" s="91"/>
      <c r="AO956" s="92"/>
      <c r="AP956" s="92"/>
      <c r="AQ956" s="92"/>
      <c r="AR956" s="92"/>
      <c r="AS956" s="93"/>
      <c r="AT956" s="93"/>
      <c r="AU956" s="93"/>
      <c r="AV956" s="93"/>
      <c r="AW956" s="93"/>
      <c r="AX956" s="92"/>
      <c r="AY956" s="92"/>
      <c r="AZ956" s="90"/>
      <c r="BA956" s="83"/>
      <c r="BB956" s="92"/>
      <c r="BC956" s="92"/>
      <c r="BD956" s="92"/>
      <c r="BE956" s="93"/>
      <c r="BF956" s="92"/>
      <c r="BG956" s="82"/>
      <c r="BH956" s="82"/>
      <c r="BI956" s="29"/>
      <c r="BJ956" s="29"/>
      <c r="BK956" s="29"/>
    </row>
    <row r="957" ht="15.75" hidden="1" customHeight="1">
      <c r="A957" s="75"/>
      <c r="B957" s="73"/>
      <c r="C957" s="76"/>
      <c r="D957" s="76"/>
      <c r="E957" s="76"/>
      <c r="F957" s="77"/>
      <c r="G957" s="78"/>
      <c r="H957" s="76"/>
      <c r="I957" s="76"/>
      <c r="J957" s="79"/>
      <c r="K957" s="80"/>
      <c r="L957" s="81"/>
      <c r="M957" s="81"/>
      <c r="N957" s="82"/>
      <c r="O957" s="83"/>
      <c r="P957" s="84"/>
      <c r="Q957" s="84"/>
      <c r="R957" s="81"/>
      <c r="S957" s="85"/>
      <c r="T957" s="86"/>
      <c r="U957" s="86"/>
      <c r="V957" s="87"/>
      <c r="W957" s="87"/>
      <c r="X957" s="87"/>
      <c r="Y957" s="87"/>
      <c r="Z957" s="87"/>
      <c r="AA957" s="87"/>
      <c r="AB957" s="29"/>
      <c r="AC957" s="94"/>
      <c r="AD957" s="94"/>
      <c r="AE957" s="89"/>
      <c r="AF957" s="89"/>
      <c r="AG957" s="89"/>
      <c r="AH957" s="89"/>
      <c r="AI957" s="90"/>
      <c r="AJ957" s="90"/>
      <c r="AK957" s="90"/>
      <c r="AL957" s="90"/>
      <c r="AM957" s="91"/>
      <c r="AN957" s="91"/>
      <c r="AO957" s="92"/>
      <c r="AP957" s="92"/>
      <c r="AQ957" s="92"/>
      <c r="AR957" s="92"/>
      <c r="AS957" s="93"/>
      <c r="AT957" s="93"/>
      <c r="AU957" s="93"/>
      <c r="AV957" s="93"/>
      <c r="AW957" s="93"/>
      <c r="AX957" s="92"/>
      <c r="AY957" s="92"/>
      <c r="AZ957" s="90"/>
      <c r="BA957" s="83"/>
      <c r="BB957" s="92"/>
      <c r="BC957" s="92"/>
      <c r="BD957" s="92"/>
      <c r="BE957" s="93"/>
      <c r="BF957" s="92"/>
      <c r="BG957" s="82"/>
      <c r="BH957" s="82"/>
      <c r="BI957" s="29"/>
      <c r="BJ957" s="29"/>
      <c r="BK957" s="29"/>
    </row>
    <row r="958" ht="15.75" hidden="1" customHeight="1">
      <c r="A958" s="75"/>
      <c r="B958" s="73"/>
      <c r="C958" s="76"/>
      <c r="D958" s="76"/>
      <c r="E958" s="76"/>
      <c r="F958" s="77"/>
      <c r="G958" s="78"/>
      <c r="H958" s="76"/>
      <c r="I958" s="76"/>
      <c r="J958" s="79"/>
      <c r="K958" s="80"/>
      <c r="L958" s="81"/>
      <c r="M958" s="81"/>
      <c r="N958" s="82"/>
      <c r="O958" s="83"/>
      <c r="P958" s="84"/>
      <c r="Q958" s="84"/>
      <c r="R958" s="81"/>
      <c r="S958" s="85"/>
      <c r="T958" s="86"/>
      <c r="U958" s="86"/>
      <c r="V958" s="87"/>
      <c r="W958" s="87"/>
      <c r="X958" s="87"/>
      <c r="Y958" s="87"/>
      <c r="Z958" s="87"/>
      <c r="AA958" s="87"/>
      <c r="AB958" s="29"/>
      <c r="AC958" s="94"/>
      <c r="AD958" s="94"/>
      <c r="AE958" s="89"/>
      <c r="AF958" s="89"/>
      <c r="AG958" s="89"/>
      <c r="AH958" s="89"/>
      <c r="AI958" s="90"/>
      <c r="AJ958" s="90"/>
      <c r="AK958" s="90"/>
      <c r="AL958" s="90"/>
      <c r="AM958" s="91"/>
      <c r="AN958" s="91"/>
      <c r="AO958" s="92"/>
      <c r="AP958" s="92"/>
      <c r="AQ958" s="92"/>
      <c r="AR958" s="92"/>
      <c r="AS958" s="93"/>
      <c r="AT958" s="93"/>
      <c r="AU958" s="93"/>
      <c r="AV958" s="93"/>
      <c r="AW958" s="93"/>
      <c r="AX958" s="92"/>
      <c r="AY958" s="92"/>
      <c r="AZ958" s="90"/>
      <c r="BA958" s="83"/>
      <c r="BB958" s="92"/>
      <c r="BC958" s="92"/>
      <c r="BD958" s="92"/>
      <c r="BE958" s="93"/>
      <c r="BF958" s="92"/>
      <c r="BG958" s="82"/>
      <c r="BH958" s="82"/>
      <c r="BI958" s="29"/>
      <c r="BJ958" s="29"/>
      <c r="BK958" s="29"/>
    </row>
    <row r="959" ht="15.75" hidden="1" customHeight="1">
      <c r="A959" s="75"/>
      <c r="B959" s="73"/>
      <c r="C959" s="76"/>
      <c r="D959" s="76"/>
      <c r="E959" s="76"/>
      <c r="F959" s="77"/>
      <c r="G959" s="78"/>
      <c r="H959" s="76"/>
      <c r="I959" s="76"/>
      <c r="J959" s="79"/>
      <c r="K959" s="80"/>
      <c r="L959" s="81"/>
      <c r="M959" s="81"/>
      <c r="N959" s="82"/>
      <c r="O959" s="83"/>
      <c r="P959" s="84"/>
      <c r="Q959" s="84"/>
      <c r="R959" s="81"/>
      <c r="S959" s="85"/>
      <c r="T959" s="86"/>
      <c r="U959" s="86"/>
      <c r="V959" s="87"/>
      <c r="W959" s="87"/>
      <c r="X959" s="87"/>
      <c r="Y959" s="87"/>
      <c r="Z959" s="87"/>
      <c r="AA959" s="87"/>
      <c r="AB959" s="29"/>
      <c r="AC959" s="94"/>
      <c r="AD959" s="94"/>
      <c r="AE959" s="89"/>
      <c r="AF959" s="89"/>
      <c r="AG959" s="89"/>
      <c r="AH959" s="89"/>
      <c r="AI959" s="90"/>
      <c r="AJ959" s="90"/>
      <c r="AK959" s="90"/>
      <c r="AL959" s="90"/>
      <c r="AM959" s="91"/>
      <c r="AN959" s="91"/>
      <c r="AO959" s="92"/>
      <c r="AP959" s="92"/>
      <c r="AQ959" s="92"/>
      <c r="AR959" s="92"/>
      <c r="AS959" s="93"/>
      <c r="AT959" s="93"/>
      <c r="AU959" s="93"/>
      <c r="AV959" s="93"/>
      <c r="AW959" s="93"/>
      <c r="AX959" s="92"/>
      <c r="AY959" s="92"/>
      <c r="AZ959" s="90"/>
      <c r="BA959" s="83"/>
      <c r="BB959" s="92"/>
      <c r="BC959" s="92"/>
      <c r="BD959" s="92"/>
      <c r="BE959" s="93"/>
      <c r="BF959" s="92"/>
      <c r="BG959" s="82"/>
      <c r="BH959" s="82"/>
      <c r="BI959" s="29"/>
      <c r="BJ959" s="29"/>
      <c r="BK959" s="29"/>
    </row>
    <row r="960" ht="15.75" hidden="1" customHeight="1">
      <c r="A960" s="75"/>
      <c r="B960" s="73"/>
      <c r="C960" s="76"/>
      <c r="D960" s="76"/>
      <c r="E960" s="76"/>
      <c r="F960" s="77"/>
      <c r="G960" s="78"/>
      <c r="H960" s="76"/>
      <c r="I960" s="76"/>
      <c r="J960" s="79"/>
      <c r="K960" s="80"/>
      <c r="L960" s="81"/>
      <c r="M960" s="81"/>
      <c r="N960" s="82"/>
      <c r="O960" s="83"/>
      <c r="P960" s="84"/>
      <c r="Q960" s="84"/>
      <c r="R960" s="81"/>
      <c r="S960" s="85"/>
      <c r="T960" s="86"/>
      <c r="U960" s="86"/>
      <c r="V960" s="87"/>
      <c r="W960" s="87"/>
      <c r="X960" s="87"/>
      <c r="Y960" s="87"/>
      <c r="Z960" s="87"/>
      <c r="AA960" s="87"/>
      <c r="AB960" s="29"/>
      <c r="AC960" s="94"/>
      <c r="AD960" s="94"/>
      <c r="AE960" s="89"/>
      <c r="AF960" s="89"/>
      <c r="AG960" s="89"/>
      <c r="AH960" s="89"/>
      <c r="AI960" s="90"/>
      <c r="AJ960" s="90"/>
      <c r="AK960" s="90"/>
      <c r="AL960" s="90"/>
      <c r="AM960" s="91"/>
      <c r="AN960" s="91"/>
      <c r="AO960" s="92"/>
      <c r="AP960" s="92"/>
      <c r="AQ960" s="92"/>
      <c r="AR960" s="92"/>
      <c r="AS960" s="93"/>
      <c r="AT960" s="93"/>
      <c r="AU960" s="93"/>
      <c r="AV960" s="93"/>
      <c r="AW960" s="93"/>
      <c r="AX960" s="92"/>
      <c r="AY960" s="92"/>
      <c r="AZ960" s="90"/>
      <c r="BA960" s="83"/>
      <c r="BB960" s="92"/>
      <c r="BC960" s="92"/>
      <c r="BD960" s="92"/>
      <c r="BE960" s="93"/>
      <c r="BF960" s="92"/>
      <c r="BG960" s="82"/>
      <c r="BH960" s="82"/>
      <c r="BI960" s="29"/>
      <c r="BJ960" s="29"/>
      <c r="BK960" s="29"/>
    </row>
    <row r="961" ht="15.75" hidden="1" customHeight="1">
      <c r="A961" s="75"/>
      <c r="B961" s="73"/>
      <c r="C961" s="76"/>
      <c r="D961" s="76"/>
      <c r="E961" s="76"/>
      <c r="F961" s="77"/>
      <c r="G961" s="78"/>
      <c r="H961" s="76"/>
      <c r="I961" s="76"/>
      <c r="J961" s="79"/>
      <c r="K961" s="80"/>
      <c r="L961" s="81"/>
      <c r="M961" s="81"/>
      <c r="N961" s="82"/>
      <c r="O961" s="83"/>
      <c r="P961" s="84"/>
      <c r="Q961" s="84"/>
      <c r="R961" s="81"/>
      <c r="S961" s="85"/>
      <c r="T961" s="86"/>
      <c r="U961" s="86"/>
      <c r="V961" s="87"/>
      <c r="W961" s="87"/>
      <c r="X961" s="87"/>
      <c r="Y961" s="87"/>
      <c r="Z961" s="87"/>
      <c r="AA961" s="87"/>
      <c r="AB961" s="29"/>
      <c r="AC961" s="94"/>
      <c r="AD961" s="94"/>
      <c r="AE961" s="89"/>
      <c r="AF961" s="89"/>
      <c r="AG961" s="89"/>
      <c r="AH961" s="89"/>
      <c r="AI961" s="90"/>
      <c r="AJ961" s="90"/>
      <c r="AK961" s="90"/>
      <c r="AL961" s="90"/>
      <c r="AM961" s="91"/>
      <c r="AN961" s="91"/>
      <c r="AO961" s="92"/>
      <c r="AP961" s="92"/>
      <c r="AQ961" s="92"/>
      <c r="AR961" s="92"/>
      <c r="AS961" s="93"/>
      <c r="AT961" s="93"/>
      <c r="AU961" s="93"/>
      <c r="AV961" s="93"/>
      <c r="AW961" s="93"/>
      <c r="AX961" s="92"/>
      <c r="AY961" s="92"/>
      <c r="AZ961" s="90"/>
      <c r="BA961" s="83"/>
      <c r="BB961" s="92"/>
      <c r="BC961" s="92"/>
      <c r="BD961" s="92"/>
      <c r="BE961" s="93"/>
      <c r="BF961" s="92"/>
      <c r="BG961" s="82"/>
      <c r="BH961" s="82"/>
      <c r="BI961" s="29"/>
      <c r="BJ961" s="29"/>
      <c r="BK961" s="29"/>
    </row>
    <row r="962" ht="15.75" hidden="1" customHeight="1">
      <c r="A962" s="75"/>
      <c r="B962" s="73"/>
      <c r="C962" s="76"/>
      <c r="D962" s="76"/>
      <c r="E962" s="76"/>
      <c r="F962" s="77"/>
      <c r="G962" s="78"/>
      <c r="H962" s="76"/>
      <c r="I962" s="76"/>
      <c r="J962" s="79"/>
      <c r="K962" s="80"/>
      <c r="L962" s="81"/>
      <c r="M962" s="81"/>
      <c r="N962" s="82"/>
      <c r="O962" s="83"/>
      <c r="P962" s="84"/>
      <c r="Q962" s="84"/>
      <c r="R962" s="81"/>
      <c r="S962" s="85"/>
      <c r="T962" s="86"/>
      <c r="U962" s="86"/>
      <c r="V962" s="87"/>
      <c r="W962" s="87"/>
      <c r="X962" s="87"/>
      <c r="Y962" s="87"/>
      <c r="Z962" s="87"/>
      <c r="AA962" s="87"/>
      <c r="AB962" s="29"/>
      <c r="AC962" s="94"/>
      <c r="AD962" s="94"/>
      <c r="AE962" s="89"/>
      <c r="AF962" s="89"/>
      <c r="AG962" s="89"/>
      <c r="AH962" s="89"/>
      <c r="AI962" s="90"/>
      <c r="AJ962" s="90"/>
      <c r="AK962" s="90"/>
      <c r="AL962" s="90"/>
      <c r="AM962" s="91"/>
      <c r="AN962" s="91"/>
      <c r="AO962" s="92"/>
      <c r="AP962" s="92"/>
      <c r="AQ962" s="92"/>
      <c r="AR962" s="92"/>
      <c r="AS962" s="93"/>
      <c r="AT962" s="93"/>
      <c r="AU962" s="93"/>
      <c r="AV962" s="93"/>
      <c r="AW962" s="93"/>
      <c r="AX962" s="92"/>
      <c r="AY962" s="92"/>
      <c r="AZ962" s="90"/>
      <c r="BA962" s="83"/>
      <c r="BB962" s="92"/>
      <c r="BC962" s="92"/>
      <c r="BD962" s="92"/>
      <c r="BE962" s="93"/>
      <c r="BF962" s="92"/>
      <c r="BG962" s="82"/>
      <c r="BH962" s="82"/>
      <c r="BI962" s="29"/>
      <c r="BJ962" s="29"/>
      <c r="BK962" s="29"/>
    </row>
    <row r="963" ht="15.75" hidden="1" customHeight="1">
      <c r="A963" s="75"/>
      <c r="B963" s="73"/>
      <c r="C963" s="76"/>
      <c r="D963" s="76"/>
      <c r="E963" s="76"/>
      <c r="F963" s="77"/>
      <c r="G963" s="78"/>
      <c r="H963" s="76"/>
      <c r="I963" s="76"/>
      <c r="J963" s="79"/>
      <c r="K963" s="80"/>
      <c r="L963" s="81"/>
      <c r="M963" s="81"/>
      <c r="N963" s="82"/>
      <c r="O963" s="83"/>
      <c r="P963" s="84"/>
      <c r="Q963" s="84"/>
      <c r="R963" s="81"/>
      <c r="S963" s="85"/>
      <c r="T963" s="86"/>
      <c r="U963" s="86"/>
      <c r="V963" s="87"/>
      <c r="W963" s="87"/>
      <c r="X963" s="87"/>
      <c r="Y963" s="87"/>
      <c r="Z963" s="87"/>
      <c r="AA963" s="87"/>
      <c r="AB963" s="29"/>
      <c r="AC963" s="94"/>
      <c r="AD963" s="94"/>
      <c r="AE963" s="89"/>
      <c r="AF963" s="89"/>
      <c r="AG963" s="89"/>
      <c r="AH963" s="89"/>
      <c r="AI963" s="90"/>
      <c r="AJ963" s="90"/>
      <c r="AK963" s="90"/>
      <c r="AL963" s="90"/>
      <c r="AM963" s="91"/>
      <c r="AN963" s="91"/>
      <c r="AO963" s="92"/>
      <c r="AP963" s="92"/>
      <c r="AQ963" s="92"/>
      <c r="AR963" s="92"/>
      <c r="AS963" s="93"/>
      <c r="AT963" s="93"/>
      <c r="AU963" s="93"/>
      <c r="AV963" s="93"/>
      <c r="AW963" s="93"/>
      <c r="AX963" s="92"/>
      <c r="AY963" s="92"/>
      <c r="AZ963" s="90"/>
      <c r="BA963" s="83"/>
      <c r="BB963" s="92"/>
      <c r="BC963" s="92"/>
      <c r="BD963" s="92"/>
      <c r="BE963" s="93"/>
      <c r="BF963" s="92"/>
      <c r="BG963" s="82"/>
      <c r="BH963" s="82"/>
      <c r="BI963" s="29"/>
      <c r="BJ963" s="29"/>
      <c r="BK963" s="29"/>
    </row>
    <row r="964" ht="15.75" hidden="1" customHeight="1">
      <c r="A964" s="75"/>
      <c r="B964" s="73"/>
      <c r="C964" s="76"/>
      <c r="D964" s="76"/>
      <c r="E964" s="76"/>
      <c r="F964" s="77"/>
      <c r="G964" s="78"/>
      <c r="H964" s="76"/>
      <c r="I964" s="76"/>
      <c r="J964" s="79"/>
      <c r="K964" s="80"/>
      <c r="L964" s="81"/>
      <c r="M964" s="81"/>
      <c r="N964" s="82"/>
      <c r="O964" s="83"/>
      <c r="P964" s="84"/>
      <c r="Q964" s="84"/>
      <c r="R964" s="81"/>
      <c r="S964" s="85"/>
      <c r="T964" s="86"/>
      <c r="U964" s="86"/>
      <c r="V964" s="87"/>
      <c r="W964" s="87"/>
      <c r="X964" s="87"/>
      <c r="Y964" s="87"/>
      <c r="Z964" s="87"/>
      <c r="AA964" s="87"/>
      <c r="AB964" s="29"/>
      <c r="AC964" s="94"/>
      <c r="AD964" s="94"/>
      <c r="AE964" s="89"/>
      <c r="AF964" s="89"/>
      <c r="AG964" s="89"/>
      <c r="AH964" s="89"/>
      <c r="AI964" s="90"/>
      <c r="AJ964" s="90"/>
      <c r="AK964" s="90"/>
      <c r="AL964" s="90"/>
      <c r="AM964" s="91"/>
      <c r="AN964" s="91"/>
      <c r="AO964" s="92"/>
      <c r="AP964" s="92"/>
      <c r="AQ964" s="92"/>
      <c r="AR964" s="92"/>
      <c r="AS964" s="93"/>
      <c r="AT964" s="93"/>
      <c r="AU964" s="93"/>
      <c r="AV964" s="93"/>
      <c r="AW964" s="93"/>
      <c r="AX964" s="92"/>
      <c r="AY964" s="92"/>
      <c r="AZ964" s="90"/>
      <c r="BA964" s="83"/>
      <c r="BB964" s="92"/>
      <c r="BC964" s="92"/>
      <c r="BD964" s="92"/>
      <c r="BE964" s="93"/>
      <c r="BF964" s="92"/>
      <c r="BG964" s="82"/>
      <c r="BH964" s="82"/>
      <c r="BI964" s="29"/>
      <c r="BJ964" s="29"/>
      <c r="BK964" s="29"/>
    </row>
    <row r="965" ht="15.75" hidden="1" customHeight="1">
      <c r="A965" s="75"/>
      <c r="B965" s="73"/>
      <c r="C965" s="76"/>
      <c r="D965" s="76"/>
      <c r="E965" s="76"/>
      <c r="F965" s="77"/>
      <c r="G965" s="78"/>
      <c r="H965" s="76"/>
      <c r="I965" s="76"/>
      <c r="J965" s="79"/>
      <c r="K965" s="80"/>
      <c r="L965" s="81"/>
      <c r="M965" s="81"/>
      <c r="N965" s="82"/>
      <c r="O965" s="83"/>
      <c r="P965" s="84"/>
      <c r="Q965" s="84"/>
      <c r="R965" s="81"/>
      <c r="S965" s="85"/>
      <c r="T965" s="86"/>
      <c r="U965" s="86"/>
      <c r="V965" s="87"/>
      <c r="W965" s="87"/>
      <c r="X965" s="87"/>
      <c r="Y965" s="87"/>
      <c r="Z965" s="87"/>
      <c r="AA965" s="87"/>
      <c r="AB965" s="29"/>
      <c r="AC965" s="94"/>
      <c r="AD965" s="94"/>
      <c r="AE965" s="89"/>
      <c r="AF965" s="89"/>
      <c r="AG965" s="89"/>
      <c r="AH965" s="89"/>
      <c r="AI965" s="90"/>
      <c r="AJ965" s="90"/>
      <c r="AK965" s="90"/>
      <c r="AL965" s="90"/>
      <c r="AM965" s="91"/>
      <c r="AN965" s="91"/>
      <c r="AO965" s="92"/>
      <c r="AP965" s="92"/>
      <c r="AQ965" s="92"/>
      <c r="AR965" s="92"/>
      <c r="AS965" s="93"/>
      <c r="AT965" s="93"/>
      <c r="AU965" s="93"/>
      <c r="AV965" s="93"/>
      <c r="AW965" s="93"/>
      <c r="AX965" s="92"/>
      <c r="AY965" s="92"/>
      <c r="AZ965" s="90"/>
      <c r="BA965" s="83"/>
      <c r="BB965" s="92"/>
      <c r="BC965" s="92"/>
      <c r="BD965" s="92"/>
      <c r="BE965" s="93"/>
      <c r="BF965" s="92"/>
      <c r="BG965" s="82"/>
      <c r="BH965" s="82"/>
      <c r="BI965" s="29"/>
      <c r="BJ965" s="29"/>
      <c r="BK965" s="29"/>
    </row>
    <row r="966" ht="15.75" hidden="1" customHeight="1">
      <c r="A966" s="75"/>
      <c r="B966" s="73"/>
      <c r="C966" s="76"/>
      <c r="D966" s="76"/>
      <c r="E966" s="76"/>
      <c r="F966" s="77"/>
      <c r="G966" s="78"/>
      <c r="H966" s="76"/>
      <c r="I966" s="76"/>
      <c r="J966" s="79"/>
      <c r="K966" s="80"/>
      <c r="L966" s="81"/>
      <c r="M966" s="81"/>
      <c r="N966" s="82"/>
      <c r="O966" s="83"/>
      <c r="P966" s="84"/>
      <c r="Q966" s="84"/>
      <c r="R966" s="81"/>
      <c r="S966" s="85"/>
      <c r="T966" s="86"/>
      <c r="U966" s="86"/>
      <c r="V966" s="87"/>
      <c r="W966" s="87"/>
      <c r="X966" s="87"/>
      <c r="Y966" s="87"/>
      <c r="Z966" s="87"/>
      <c r="AA966" s="87"/>
      <c r="AB966" s="29"/>
      <c r="AC966" s="94"/>
      <c r="AD966" s="94"/>
      <c r="AE966" s="89"/>
      <c r="AF966" s="89"/>
      <c r="AG966" s="89"/>
      <c r="AH966" s="89"/>
      <c r="AI966" s="90"/>
      <c r="AJ966" s="90"/>
      <c r="AK966" s="90"/>
      <c r="AL966" s="90"/>
      <c r="AM966" s="91"/>
      <c r="AN966" s="91"/>
      <c r="AO966" s="92"/>
      <c r="AP966" s="92"/>
      <c r="AQ966" s="92"/>
      <c r="AR966" s="92"/>
      <c r="AS966" s="93"/>
      <c r="AT966" s="93"/>
      <c r="AU966" s="93"/>
      <c r="AV966" s="93"/>
      <c r="AW966" s="93"/>
      <c r="AX966" s="92"/>
      <c r="AY966" s="92"/>
      <c r="AZ966" s="90"/>
      <c r="BA966" s="83"/>
      <c r="BB966" s="92"/>
      <c r="BC966" s="92"/>
      <c r="BD966" s="92"/>
      <c r="BE966" s="93"/>
      <c r="BF966" s="92"/>
      <c r="BG966" s="82"/>
      <c r="BH966" s="82"/>
      <c r="BI966" s="29"/>
      <c r="BJ966" s="29"/>
      <c r="BK966" s="29"/>
    </row>
    <row r="967" ht="15.75" hidden="1" customHeight="1">
      <c r="A967" s="75"/>
      <c r="B967" s="73"/>
      <c r="C967" s="76"/>
      <c r="D967" s="76"/>
      <c r="E967" s="76"/>
      <c r="F967" s="77"/>
      <c r="G967" s="78"/>
      <c r="H967" s="76"/>
      <c r="I967" s="76"/>
      <c r="J967" s="79"/>
      <c r="K967" s="80"/>
      <c r="L967" s="81"/>
      <c r="M967" s="81"/>
      <c r="N967" s="82"/>
      <c r="O967" s="83"/>
      <c r="P967" s="84"/>
      <c r="Q967" s="84"/>
      <c r="R967" s="81"/>
      <c r="S967" s="85"/>
      <c r="T967" s="86"/>
      <c r="U967" s="86"/>
      <c r="V967" s="87"/>
      <c r="W967" s="87"/>
      <c r="X967" s="87"/>
      <c r="Y967" s="87"/>
      <c r="Z967" s="87"/>
      <c r="AA967" s="87"/>
      <c r="AB967" s="29"/>
      <c r="AC967" s="94"/>
      <c r="AD967" s="94"/>
      <c r="AE967" s="89"/>
      <c r="AF967" s="89"/>
      <c r="AG967" s="89"/>
      <c r="AH967" s="89"/>
      <c r="AI967" s="90"/>
      <c r="AJ967" s="90"/>
      <c r="AK967" s="90"/>
      <c r="AL967" s="90"/>
      <c r="AM967" s="91"/>
      <c r="AN967" s="91"/>
      <c r="AO967" s="92"/>
      <c r="AP967" s="92"/>
      <c r="AQ967" s="92"/>
      <c r="AR967" s="92"/>
      <c r="AS967" s="93"/>
      <c r="AT967" s="93"/>
      <c r="AU967" s="93"/>
      <c r="AV967" s="93"/>
      <c r="AW967" s="93"/>
      <c r="AX967" s="92"/>
      <c r="AY967" s="92"/>
      <c r="AZ967" s="90"/>
      <c r="BA967" s="83"/>
      <c r="BB967" s="92"/>
      <c r="BC967" s="92"/>
      <c r="BD967" s="92"/>
      <c r="BE967" s="93"/>
      <c r="BF967" s="92"/>
      <c r="BG967" s="82"/>
      <c r="BH967" s="82"/>
      <c r="BI967" s="29"/>
      <c r="BJ967" s="29"/>
      <c r="BK967" s="29"/>
    </row>
    <row r="968" ht="15.75" hidden="1" customHeight="1">
      <c r="A968" s="75"/>
      <c r="B968" s="73"/>
      <c r="C968" s="76"/>
      <c r="D968" s="76"/>
      <c r="E968" s="76"/>
      <c r="F968" s="77"/>
      <c r="G968" s="78"/>
      <c r="H968" s="76"/>
      <c r="I968" s="76"/>
      <c r="J968" s="79"/>
      <c r="K968" s="80"/>
      <c r="L968" s="81"/>
      <c r="M968" s="81"/>
      <c r="N968" s="82"/>
      <c r="O968" s="83"/>
      <c r="P968" s="84"/>
      <c r="Q968" s="84"/>
      <c r="R968" s="81"/>
      <c r="S968" s="85"/>
      <c r="T968" s="86"/>
      <c r="U968" s="86"/>
      <c r="V968" s="87"/>
      <c r="W968" s="87"/>
      <c r="X968" s="87"/>
      <c r="Y968" s="87"/>
      <c r="Z968" s="87"/>
      <c r="AA968" s="87"/>
      <c r="AB968" s="29"/>
      <c r="AC968" s="94"/>
      <c r="AD968" s="94"/>
      <c r="AE968" s="89"/>
      <c r="AF968" s="89"/>
      <c r="AG968" s="89"/>
      <c r="AH968" s="89"/>
      <c r="AI968" s="90"/>
      <c r="AJ968" s="90"/>
      <c r="AK968" s="90"/>
      <c r="AL968" s="90"/>
      <c r="AM968" s="91"/>
      <c r="AN968" s="91"/>
      <c r="AO968" s="92"/>
      <c r="AP968" s="92"/>
      <c r="AQ968" s="92"/>
      <c r="AR968" s="92"/>
      <c r="AS968" s="93"/>
      <c r="AT968" s="93"/>
      <c r="AU968" s="93"/>
      <c r="AV968" s="93"/>
      <c r="AW968" s="93"/>
      <c r="AX968" s="92"/>
      <c r="AY968" s="92"/>
      <c r="AZ968" s="90"/>
      <c r="BA968" s="83"/>
      <c r="BB968" s="92"/>
      <c r="BC968" s="92"/>
      <c r="BD968" s="92"/>
      <c r="BE968" s="93"/>
      <c r="BF968" s="92"/>
      <c r="BG968" s="82"/>
      <c r="BH968" s="82"/>
      <c r="BI968" s="29"/>
      <c r="BJ968" s="29"/>
      <c r="BK968" s="29"/>
    </row>
    <row r="969" ht="15.75" hidden="1" customHeight="1">
      <c r="A969" s="75"/>
      <c r="B969" s="73"/>
      <c r="C969" s="76"/>
      <c r="D969" s="76"/>
      <c r="E969" s="76"/>
      <c r="F969" s="77"/>
      <c r="G969" s="78"/>
      <c r="H969" s="76"/>
      <c r="I969" s="76"/>
      <c r="J969" s="79"/>
      <c r="K969" s="80"/>
      <c r="L969" s="81"/>
      <c r="M969" s="81"/>
      <c r="N969" s="82"/>
      <c r="O969" s="83"/>
      <c r="P969" s="84"/>
      <c r="Q969" s="84"/>
      <c r="R969" s="81"/>
      <c r="S969" s="85"/>
      <c r="T969" s="86"/>
      <c r="U969" s="86"/>
      <c r="V969" s="87"/>
      <c r="W969" s="87"/>
      <c r="X969" s="87"/>
      <c r="Y969" s="87"/>
      <c r="Z969" s="87"/>
      <c r="AA969" s="87"/>
      <c r="AB969" s="29"/>
      <c r="AC969" s="94"/>
      <c r="AD969" s="94"/>
      <c r="AE969" s="89"/>
      <c r="AF969" s="89"/>
      <c r="AG969" s="89"/>
      <c r="AH969" s="89"/>
      <c r="AI969" s="90"/>
      <c r="AJ969" s="90"/>
      <c r="AK969" s="90"/>
      <c r="AL969" s="90"/>
      <c r="AM969" s="91"/>
      <c r="AN969" s="91"/>
      <c r="AO969" s="92"/>
      <c r="AP969" s="92"/>
      <c r="AQ969" s="92"/>
      <c r="AR969" s="92"/>
      <c r="AS969" s="93"/>
      <c r="AT969" s="93"/>
      <c r="AU969" s="93"/>
      <c r="AV969" s="93"/>
      <c r="AW969" s="93"/>
      <c r="AX969" s="92"/>
      <c r="AY969" s="92"/>
      <c r="AZ969" s="90"/>
      <c r="BA969" s="83"/>
      <c r="BB969" s="92"/>
      <c r="BC969" s="92"/>
      <c r="BD969" s="92"/>
      <c r="BE969" s="93"/>
      <c r="BF969" s="92"/>
      <c r="BG969" s="82"/>
      <c r="BH969" s="82"/>
      <c r="BI969" s="29"/>
      <c r="BJ969" s="29"/>
      <c r="BK969" s="29"/>
    </row>
    <row r="970" ht="15.75" hidden="1" customHeight="1">
      <c r="A970" s="75"/>
      <c r="B970" s="73"/>
      <c r="C970" s="76"/>
      <c r="D970" s="76"/>
      <c r="E970" s="76"/>
      <c r="F970" s="77"/>
      <c r="G970" s="78"/>
      <c r="H970" s="76"/>
      <c r="I970" s="76"/>
      <c r="J970" s="79"/>
      <c r="K970" s="80"/>
      <c r="L970" s="81"/>
      <c r="M970" s="81"/>
      <c r="N970" s="82"/>
      <c r="O970" s="83"/>
      <c r="P970" s="84"/>
      <c r="Q970" s="84"/>
      <c r="R970" s="81"/>
      <c r="S970" s="85"/>
      <c r="T970" s="86"/>
      <c r="U970" s="86"/>
      <c r="V970" s="87"/>
      <c r="W970" s="87"/>
      <c r="X970" s="87"/>
      <c r="Y970" s="87"/>
      <c r="Z970" s="87"/>
      <c r="AA970" s="87"/>
      <c r="AB970" s="29"/>
      <c r="AC970" s="94"/>
      <c r="AD970" s="94"/>
      <c r="AE970" s="89"/>
      <c r="AF970" s="89"/>
      <c r="AG970" s="89"/>
      <c r="AH970" s="89"/>
      <c r="AI970" s="90"/>
      <c r="AJ970" s="90"/>
      <c r="AK970" s="90"/>
      <c r="AL970" s="90"/>
      <c r="AM970" s="91"/>
      <c r="AN970" s="91"/>
      <c r="AO970" s="92"/>
      <c r="AP970" s="92"/>
      <c r="AQ970" s="92"/>
      <c r="AR970" s="92"/>
      <c r="AS970" s="93"/>
      <c r="AT970" s="93"/>
      <c r="AU970" s="93"/>
      <c r="AV970" s="93"/>
      <c r="AW970" s="93"/>
      <c r="AX970" s="92"/>
      <c r="AY970" s="92"/>
      <c r="AZ970" s="90"/>
      <c r="BA970" s="83"/>
      <c r="BB970" s="92"/>
      <c r="BC970" s="92"/>
      <c r="BD970" s="92"/>
      <c r="BE970" s="93"/>
      <c r="BF970" s="92"/>
      <c r="BG970" s="82"/>
      <c r="BH970" s="82"/>
      <c r="BI970" s="29"/>
      <c r="BJ970" s="29"/>
      <c r="BK970" s="29"/>
    </row>
    <row r="971" ht="15.75" hidden="1" customHeight="1">
      <c r="A971" s="75"/>
      <c r="B971" s="73"/>
      <c r="C971" s="76"/>
      <c r="D971" s="76"/>
      <c r="E971" s="76"/>
      <c r="F971" s="77"/>
      <c r="G971" s="78"/>
      <c r="H971" s="76"/>
      <c r="I971" s="76"/>
      <c r="J971" s="79"/>
      <c r="K971" s="80"/>
      <c r="L971" s="81"/>
      <c r="M971" s="81"/>
      <c r="N971" s="82"/>
      <c r="O971" s="83"/>
      <c r="P971" s="84"/>
      <c r="Q971" s="84"/>
      <c r="R971" s="81"/>
      <c r="S971" s="85"/>
      <c r="T971" s="86"/>
      <c r="U971" s="86"/>
      <c r="V971" s="87"/>
      <c r="W971" s="87"/>
      <c r="X971" s="87"/>
      <c r="Y971" s="87"/>
      <c r="Z971" s="87"/>
      <c r="AA971" s="87"/>
      <c r="AB971" s="29"/>
      <c r="AC971" s="94"/>
      <c r="AD971" s="94"/>
      <c r="AE971" s="89"/>
      <c r="AF971" s="89"/>
      <c r="AG971" s="89"/>
      <c r="AH971" s="89"/>
      <c r="AI971" s="90"/>
      <c r="AJ971" s="90"/>
      <c r="AK971" s="90"/>
      <c r="AL971" s="90"/>
      <c r="AM971" s="91"/>
      <c r="AN971" s="91"/>
      <c r="AO971" s="92"/>
      <c r="AP971" s="92"/>
      <c r="AQ971" s="92"/>
      <c r="AR971" s="92"/>
      <c r="AS971" s="93"/>
      <c r="AT971" s="93"/>
      <c r="AU971" s="93"/>
      <c r="AV971" s="93"/>
      <c r="AW971" s="93"/>
      <c r="AX971" s="92"/>
      <c r="AY971" s="92"/>
      <c r="AZ971" s="90"/>
      <c r="BA971" s="83"/>
      <c r="BB971" s="92"/>
      <c r="BC971" s="92"/>
      <c r="BD971" s="92"/>
      <c r="BE971" s="93"/>
      <c r="BF971" s="92"/>
      <c r="BG971" s="82"/>
      <c r="BH971" s="82"/>
      <c r="BI971" s="29"/>
      <c r="BJ971" s="29"/>
      <c r="BK971" s="29"/>
    </row>
    <row r="972" ht="15.75" hidden="1" customHeight="1">
      <c r="A972" s="75"/>
      <c r="B972" s="73"/>
      <c r="C972" s="76"/>
      <c r="D972" s="76"/>
      <c r="E972" s="76"/>
      <c r="F972" s="77"/>
      <c r="G972" s="78"/>
      <c r="H972" s="76"/>
      <c r="I972" s="76"/>
      <c r="J972" s="79"/>
      <c r="K972" s="80"/>
      <c r="L972" s="81"/>
      <c r="M972" s="81"/>
      <c r="N972" s="82"/>
      <c r="O972" s="83"/>
      <c r="P972" s="84"/>
      <c r="Q972" s="84"/>
      <c r="R972" s="81"/>
      <c r="S972" s="85"/>
      <c r="T972" s="86"/>
      <c r="U972" s="86"/>
      <c r="V972" s="87"/>
      <c r="W972" s="87"/>
      <c r="X972" s="87"/>
      <c r="Y972" s="87"/>
      <c r="Z972" s="87"/>
      <c r="AA972" s="87"/>
      <c r="AB972" s="29"/>
      <c r="AC972" s="94"/>
      <c r="AD972" s="94"/>
      <c r="AE972" s="89"/>
      <c r="AF972" s="89"/>
      <c r="AG972" s="89"/>
      <c r="AH972" s="89"/>
      <c r="AI972" s="90"/>
      <c r="AJ972" s="90"/>
      <c r="AK972" s="90"/>
      <c r="AL972" s="90"/>
      <c r="AM972" s="91"/>
      <c r="AN972" s="91"/>
      <c r="AO972" s="92"/>
      <c r="AP972" s="92"/>
      <c r="AQ972" s="92"/>
      <c r="AR972" s="92"/>
      <c r="AS972" s="93"/>
      <c r="AT972" s="93"/>
      <c r="AU972" s="93"/>
      <c r="AV972" s="93"/>
      <c r="AW972" s="93"/>
      <c r="AX972" s="92"/>
      <c r="AY972" s="92"/>
      <c r="AZ972" s="90"/>
      <c r="BA972" s="83"/>
      <c r="BB972" s="92"/>
      <c r="BC972" s="92"/>
      <c r="BD972" s="92"/>
      <c r="BE972" s="93"/>
      <c r="BF972" s="92"/>
      <c r="BG972" s="82"/>
      <c r="BH972" s="82"/>
      <c r="BI972" s="29"/>
      <c r="BJ972" s="29"/>
      <c r="BK972" s="29"/>
    </row>
    <row r="973" ht="15.75" hidden="1" customHeight="1">
      <c r="A973" s="75"/>
      <c r="B973" s="73"/>
      <c r="C973" s="76"/>
      <c r="D973" s="76"/>
      <c r="E973" s="76"/>
      <c r="F973" s="77"/>
      <c r="G973" s="78"/>
      <c r="H973" s="76"/>
      <c r="I973" s="76"/>
      <c r="J973" s="79"/>
      <c r="K973" s="80"/>
      <c r="L973" s="81"/>
      <c r="M973" s="81"/>
      <c r="N973" s="82"/>
      <c r="O973" s="83"/>
      <c r="P973" s="84"/>
      <c r="Q973" s="84"/>
      <c r="R973" s="81"/>
      <c r="S973" s="85"/>
      <c r="T973" s="86"/>
      <c r="U973" s="86"/>
      <c r="V973" s="87"/>
      <c r="W973" s="87"/>
      <c r="X973" s="87"/>
      <c r="Y973" s="87"/>
      <c r="Z973" s="87"/>
      <c r="AA973" s="87"/>
      <c r="AB973" s="29"/>
      <c r="AC973" s="94"/>
      <c r="AD973" s="94"/>
      <c r="AE973" s="89"/>
      <c r="AF973" s="89"/>
      <c r="AG973" s="89"/>
      <c r="AH973" s="89"/>
      <c r="AI973" s="90"/>
      <c r="AJ973" s="90"/>
      <c r="AK973" s="90"/>
      <c r="AL973" s="90"/>
      <c r="AM973" s="91"/>
      <c r="AN973" s="91"/>
      <c r="AO973" s="92"/>
      <c r="AP973" s="92"/>
      <c r="AQ973" s="92"/>
      <c r="AR973" s="92"/>
      <c r="AS973" s="93"/>
      <c r="AT973" s="93"/>
      <c r="AU973" s="93"/>
      <c r="AV973" s="93"/>
      <c r="AW973" s="93"/>
      <c r="AX973" s="92"/>
      <c r="AY973" s="92"/>
      <c r="AZ973" s="90"/>
      <c r="BA973" s="83"/>
      <c r="BB973" s="92"/>
      <c r="BC973" s="92"/>
      <c r="BD973" s="92"/>
      <c r="BE973" s="93"/>
      <c r="BF973" s="92"/>
      <c r="BG973" s="82"/>
      <c r="BH973" s="82"/>
      <c r="BI973" s="29"/>
      <c r="BJ973" s="29"/>
      <c r="BK973" s="29"/>
    </row>
    <row r="974" ht="15.75" hidden="1" customHeight="1">
      <c r="A974" s="75"/>
      <c r="B974" s="73"/>
      <c r="C974" s="76"/>
      <c r="D974" s="76"/>
      <c r="E974" s="76"/>
      <c r="F974" s="77"/>
      <c r="G974" s="78"/>
      <c r="H974" s="76"/>
      <c r="I974" s="76"/>
      <c r="J974" s="79"/>
      <c r="K974" s="80"/>
      <c r="L974" s="81"/>
      <c r="M974" s="81"/>
      <c r="N974" s="82"/>
      <c r="O974" s="83"/>
      <c r="P974" s="84"/>
      <c r="Q974" s="84"/>
      <c r="R974" s="81"/>
      <c r="S974" s="85"/>
      <c r="T974" s="86"/>
      <c r="U974" s="86"/>
      <c r="V974" s="87"/>
      <c r="W974" s="87"/>
      <c r="X974" s="87"/>
      <c r="Y974" s="87"/>
      <c r="Z974" s="87"/>
      <c r="AA974" s="87"/>
      <c r="AB974" s="29"/>
      <c r="AC974" s="94"/>
      <c r="AD974" s="94"/>
      <c r="AE974" s="89"/>
      <c r="AF974" s="89"/>
      <c r="AG974" s="89"/>
      <c r="AH974" s="89"/>
      <c r="AI974" s="90"/>
      <c r="AJ974" s="90"/>
      <c r="AK974" s="90"/>
      <c r="AL974" s="90"/>
      <c r="AM974" s="91"/>
      <c r="AN974" s="91"/>
      <c r="AO974" s="92"/>
      <c r="AP974" s="92"/>
      <c r="AQ974" s="92"/>
      <c r="AR974" s="92"/>
      <c r="AS974" s="93"/>
      <c r="AT974" s="93"/>
      <c r="AU974" s="93"/>
      <c r="AV974" s="93"/>
      <c r="AW974" s="93"/>
      <c r="AX974" s="92"/>
      <c r="AY974" s="92"/>
      <c r="AZ974" s="90"/>
      <c r="BA974" s="83"/>
      <c r="BB974" s="92"/>
      <c r="BC974" s="92"/>
      <c r="BD974" s="92"/>
      <c r="BE974" s="93"/>
      <c r="BF974" s="92"/>
      <c r="BG974" s="82"/>
      <c r="BH974" s="82"/>
      <c r="BI974" s="29"/>
      <c r="BJ974" s="29"/>
      <c r="BK974" s="29"/>
    </row>
    <row r="975" ht="15.75" hidden="1" customHeight="1">
      <c r="A975" s="75"/>
      <c r="B975" s="73"/>
      <c r="C975" s="76"/>
      <c r="D975" s="76"/>
      <c r="E975" s="76"/>
      <c r="F975" s="77"/>
      <c r="G975" s="78"/>
      <c r="H975" s="76"/>
      <c r="I975" s="76"/>
      <c r="J975" s="79"/>
      <c r="K975" s="80"/>
      <c r="L975" s="81"/>
      <c r="M975" s="81"/>
      <c r="N975" s="82"/>
      <c r="O975" s="83"/>
      <c r="P975" s="84"/>
      <c r="Q975" s="84"/>
      <c r="R975" s="81"/>
      <c r="S975" s="85"/>
      <c r="T975" s="86"/>
      <c r="U975" s="86"/>
      <c r="V975" s="87"/>
      <c r="W975" s="87"/>
      <c r="X975" s="87"/>
      <c r="Y975" s="87"/>
      <c r="Z975" s="87"/>
      <c r="AA975" s="87"/>
      <c r="AB975" s="29"/>
      <c r="AC975" s="94"/>
      <c r="AD975" s="94"/>
      <c r="AE975" s="89"/>
      <c r="AF975" s="89"/>
      <c r="AG975" s="89"/>
      <c r="AH975" s="89"/>
      <c r="AI975" s="90"/>
      <c r="AJ975" s="90"/>
      <c r="AK975" s="90"/>
      <c r="AL975" s="90"/>
      <c r="AM975" s="91"/>
      <c r="AN975" s="91"/>
      <c r="AO975" s="92"/>
      <c r="AP975" s="92"/>
      <c r="AQ975" s="92"/>
      <c r="AR975" s="92"/>
      <c r="AS975" s="93"/>
      <c r="AT975" s="93"/>
      <c r="AU975" s="93"/>
      <c r="AV975" s="93"/>
      <c r="AW975" s="93"/>
      <c r="AX975" s="92"/>
      <c r="AY975" s="92"/>
      <c r="AZ975" s="90"/>
      <c r="BA975" s="83"/>
      <c r="BB975" s="92"/>
      <c r="BC975" s="92"/>
      <c r="BD975" s="92"/>
      <c r="BE975" s="93"/>
      <c r="BF975" s="92"/>
      <c r="BG975" s="82"/>
      <c r="BH975" s="82"/>
      <c r="BI975" s="29"/>
      <c r="BJ975" s="29"/>
      <c r="BK975" s="29"/>
    </row>
    <row r="976" ht="15.75" hidden="1" customHeight="1">
      <c r="A976" s="75"/>
      <c r="B976" s="73"/>
      <c r="C976" s="76"/>
      <c r="D976" s="76"/>
      <c r="E976" s="76"/>
      <c r="F976" s="77"/>
      <c r="G976" s="78"/>
      <c r="H976" s="76"/>
      <c r="I976" s="76"/>
      <c r="J976" s="79"/>
      <c r="K976" s="80"/>
      <c r="L976" s="81"/>
      <c r="M976" s="81"/>
      <c r="N976" s="82"/>
      <c r="O976" s="83"/>
      <c r="P976" s="84"/>
      <c r="Q976" s="84"/>
      <c r="R976" s="81"/>
      <c r="S976" s="85"/>
      <c r="T976" s="86"/>
      <c r="U976" s="86"/>
      <c r="V976" s="87"/>
      <c r="W976" s="87"/>
      <c r="X976" s="87"/>
      <c r="Y976" s="87"/>
      <c r="Z976" s="87"/>
      <c r="AA976" s="87"/>
      <c r="AB976" s="29"/>
      <c r="AC976" s="94"/>
      <c r="AD976" s="94"/>
      <c r="AE976" s="89"/>
      <c r="AF976" s="89"/>
      <c r="AG976" s="89"/>
      <c r="AH976" s="89"/>
      <c r="AI976" s="90"/>
      <c r="AJ976" s="90"/>
      <c r="AK976" s="90"/>
      <c r="AL976" s="90"/>
      <c r="AM976" s="91"/>
      <c r="AN976" s="91"/>
      <c r="AO976" s="92"/>
      <c r="AP976" s="92"/>
      <c r="AQ976" s="92"/>
      <c r="AR976" s="92"/>
      <c r="AS976" s="93"/>
      <c r="AT976" s="93"/>
      <c r="AU976" s="93"/>
      <c r="AV976" s="93"/>
      <c r="AW976" s="93"/>
      <c r="AX976" s="92"/>
      <c r="AY976" s="92"/>
      <c r="AZ976" s="90"/>
      <c r="BA976" s="83"/>
      <c r="BB976" s="92"/>
      <c r="BC976" s="92"/>
      <c r="BD976" s="92"/>
      <c r="BE976" s="93"/>
      <c r="BF976" s="92"/>
      <c r="BG976" s="82"/>
      <c r="BH976" s="82"/>
      <c r="BI976" s="29"/>
      <c r="BJ976" s="29"/>
      <c r="BK976" s="29"/>
    </row>
    <row r="977" ht="15.75" hidden="1" customHeight="1">
      <c r="A977" s="75"/>
      <c r="B977" s="73"/>
      <c r="C977" s="76"/>
      <c r="D977" s="76"/>
      <c r="E977" s="76"/>
      <c r="F977" s="77"/>
      <c r="G977" s="78"/>
      <c r="H977" s="76"/>
      <c r="I977" s="76"/>
      <c r="J977" s="79"/>
      <c r="K977" s="80"/>
      <c r="L977" s="81"/>
      <c r="M977" s="81"/>
      <c r="N977" s="82"/>
      <c r="O977" s="83"/>
      <c r="P977" s="84"/>
      <c r="Q977" s="84"/>
      <c r="R977" s="81"/>
      <c r="S977" s="85"/>
      <c r="T977" s="86"/>
      <c r="U977" s="86"/>
      <c r="V977" s="87"/>
      <c r="W977" s="87"/>
      <c r="X977" s="87"/>
      <c r="Y977" s="87"/>
      <c r="Z977" s="87"/>
      <c r="AA977" s="87"/>
      <c r="AB977" s="29"/>
      <c r="AC977" s="94"/>
      <c r="AD977" s="94"/>
      <c r="AE977" s="89"/>
      <c r="AF977" s="89"/>
      <c r="AG977" s="89"/>
      <c r="AH977" s="89"/>
      <c r="AI977" s="90"/>
      <c r="AJ977" s="90"/>
      <c r="AK977" s="90"/>
      <c r="AL977" s="90"/>
      <c r="AM977" s="91"/>
      <c r="AN977" s="91"/>
      <c r="AO977" s="92"/>
      <c r="AP977" s="92"/>
      <c r="AQ977" s="92"/>
      <c r="AR977" s="92"/>
      <c r="AS977" s="93"/>
      <c r="AT977" s="93"/>
      <c r="AU977" s="93"/>
      <c r="AV977" s="93"/>
      <c r="AW977" s="93"/>
      <c r="AX977" s="92"/>
      <c r="AY977" s="92"/>
      <c r="AZ977" s="90"/>
      <c r="BA977" s="83"/>
      <c r="BB977" s="92"/>
      <c r="BC977" s="92"/>
      <c r="BD977" s="92"/>
      <c r="BE977" s="93"/>
      <c r="BF977" s="92"/>
      <c r="BG977" s="82"/>
      <c r="BH977" s="82"/>
      <c r="BI977" s="29"/>
      <c r="BJ977" s="29"/>
      <c r="BK977" s="29"/>
    </row>
  </sheetData>
  <autoFilter ref="$A$1:$BM$977">
    <filterColumn colId="0">
      <filters>
        <filter val="Reality Desync"/>
        <filter val="Nonlinear Travel"/>
        <filter val="Mothlight"/>
        <filter val="Wallflower Perk"/>
        <filter val="Ashen Breath"/>
        <filter val="Gourds and Wharfs"/>
        <filter val="Sensor Jam"/>
        <filter val="Misfiled Presence"/>
        <filter val="Automated Surveillance"/>
        <filter val="Seduce Hollows"/>
        <filter val="Severed Whisper"/>
        <filter val="Amphibious Downpour"/>
        <filter val="Eclipse Touch"/>
        <filter val="Redacted Trauma"/>
        <filter val="Emergency Containment Directive"/>
        <filter val="Clockless Chess"/>
        <filter val="Thaumaturgic Firewall"/>
        <filter val="Data Leak"/>
        <filter val="Urban Verdancy"/>
        <filter val="Conjure Succubus/Incubus"/>
        <filter val="Echo of the Forgotten"/>
        <filter val="Tight"/>
        <filter val="Corporate Requisition"/>
        <filter val="Duinir’s Ember Aegis"/>
        <filter val="The Ticking Man’s Favor"/>
        <filter val="Conjure Mild Inconvenience"/>
        <filter val="Step Between Forms"/>
        <filter val="Insulated Surge"/>
        <filter val="Dyrnar’s Tormentous Wail"/>
        <filter val="Reality Recursion"/>
        <filter val="Fire Colt"/>
        <filter val="Inkbound Familiar"/>
        <filter val="Shadow of an Elevator"/>
        <filter val="Severed Circuit"/>
        <filter val="Erasure of Pain"/>
        <filter val="Splinter Dart"/>
        <filter val="System Breach"/>
        <filter val="Witness of the Veil"/>
        <filter val="Grasp of the Unseen"/>
        <filter val="Data Corruption"/>
        <filter val="Thallan's Hand of Craven Opal"/>
        <filter val="Oxidized Strike"/>
        <filter val="Salt Key"/>
        <filter val="Rotating Opus of Indignation"/>
        <filter val="Tortak's Siphon of Haunting Moss"/>
        <filter val="Thermal Discontinuity"/>
        <filter val="Resonant Clang"/>
        <filter val="The Spear of Forgotten Kings"/>
        <filter val="Ricochet Shot"/>
        <filter val="Ghost ID"/>
        <filter val="Blink and You Missed It"/>
        <filter val="Reality Sidestep"/>
        <filter val="Regulated Fertility Control"/>
        <filter val="Ciphered Message"/>
        <filter val="Forgotten Banquet of Determination"/>
        <filter val="Muttering Solstice of Indignation"/>
        <filter val="Directional Sense"/>
        <filter val="Encrypted Containment Protocol"/>
        <filter val="The Jester's Wild Gambit"/>
        <filter val="Reality Quarantine"/>
        <filter val="The Specter’s Invitation"/>
        <filter val="Time-Locked Asset"/>
        <filter val="Whispering Wine"/>
        <filter val="Industrial Haze"/>
        <filter val="Coitus Compulsum"/>
        <filter val="Ghost Circuit"/>
        <filter val="Expired Authority"/>
        <filter val="Civic Transit"/>
        <filter val="Corporate Bureaucratic Delay"/>
        <filter val="Fabricated Memory"/>
        <filter val="Efficiency Mode"/>
        <filter val="Phantom Call"/>
        <filter val="Incident Response Extraction"/>
        <filter val="Obsolescence Protocol"/>
        <filter val="Delayed Nap"/>
        <filter val="Encrypted Command"/>
        <filter val="Reality Firewall"/>
        <filter val="Neural Reboot"/>
        <filter val="Flawless Diamond of Dread"/>
        <filter val="Obliteration Memorandum"/>
        <filter val="Drain Cognition"/>
        <filter val="Echo of the Hallowed Ground"/>
        <filter val="Signal Interference"/>
        <filter val="Prism Shear"/>
        <filter val="Static Field"/>
        <filter val="The Mourner's Kiss"/>
        <filter val="Bloom Canker"/>
        <filter val="Anomalous Afterimage"/>
        <filter val="Reversed Gravity Bubble"/>
        <filter val="Womb of the Unwritten"/>
        <filter val="Echoes of the Forgotten"/>
        <filter val="Gut Instinct"/>
        <filter val="Power Word: Unravel"/>
        <filter val="Faulty Wiring"/>
        <filter val="Wogar's Harvest of Haunting Onyx"/>
        <filter val="Duinir's Respite of Flames"/>
        <filter val="Red Tape Barrier"/>
        <filter val="Encrypted Missive"/>
        <filter val="Blackout Protocol"/>
        <filter val="Thallan's Saffron Truth"/>
        <filter val="Veilborn Glimmer"/>
        <filter val="Paradox Consecration"/>
        <filter val="Power Surge"/>
        <filter val="The Crawling Hunger"/>
        <filter val="Truth Between the Sheets"/>
        <filter val="Incantation of Viridian Determination"/>
        <filter val="Crawling Dread"/>
        <filter val="Mutagenic Injection"/>
        <filter val="Exiled from the Self"/>
        <filter val="The Bleeding Contract"/>
        <filter val="Giocrin's Nostalgia"/>
        <filter val="Jagged Step"/>
        <filter val="Protocol Override"/>
        <filter val="Protocol Rejection"/>
        <filter val="Eldritch Intoxication"/>
        <filter val="Lantern of the Forgotten"/>
        <filter val="Rodent of Frost"/>
        <filter val="Saturation Field"/>
        <filter val="Electromagnetic Surge"/>
        <filter val="Soulbrand Engraving"/>
        <filter val="Yarol's Veil"/>
        <filter val="Reality Stabilization Directive"/>
        <filter val="Sanguine Ink"/>
        <filter val="Algorithmic Cascade"/>
        <filter val="Flashbang"/>
        <filter val="Radiant Shine"/>
        <filter val="Residual Presence"/>
        <filter val="Mass Redaction"/>
        <filter val="Cinder Veil"/>
        <filter val="Maw of the Forgotten"/>
        <filter val="Veins of the Forgotten"/>
        <filter val="Sever Link"/>
        <filter val="Thallan's Consuming Lance"/>
        <filter val="Fleshsmith’s Alloy"/>
        <filter val="Contractual Paradox"/>
        <filter val="Paper Trail"/>
        <filter val="Famine Birth"/>
        <filter val="Runes of Inconsequence"/>
        <filter val="Verdict of the Forgotten"/>
        <filter val="Sanctioned Haunting"/>
        <filter val="Glassheart"/>
        <filter val="Yarol's Solitude"/>
        <filter val="Anomalous Energy Discharge"/>
        <filter val="Solid Footing"/>
        <filter val="Rapid Reload"/>
        <filter val="Binding Clause"/>
        <filter val="Thallan's Flecks of Repugnant Soap"/>
        <filter val="Surveillance Blackout"/>
        <filter val="Ghost Broadcast"/>
        <filter val="First Act Entrée"/>
        <filter val="A.S.T.R.A.L. Redaction"/>
        <filter val="Rebuild Reality"/>
        <filter val="Subsurface Surge"/>
        <filter val="Irradiant Lance"/>
        <filter val="First Responder Algorithm"/>
        <filter val="Escalate to Management"/>
        <filter val="Stack Overflow"/>
        <filter val="Ghost Slap"/>
        <filter val="Discover Unseen Trace"/>
        <filter val="A.S.T.R.A.L. Recall"/>
        <filter val="Cruel Thesis Protocol"/>
        <filter val="Halo Brand"/>
        <filter val="Mobster’s Favor"/>
        <filter val="Toxic Stray"/>
        <filter val="Keeper’s Sanctuary"/>
        <filter val="System Reboot"/>
        <filter val="Compelled Broadcast"/>
        <filter val="Immutable Clause"/>
        <filter val="Gutterwake"/>
        <filter val="Detect Broadcasts"/>
        <filter val="Induced Arousal"/>
        <filter val="Scorned Mark"/>
        <filter val="Gluttonous Maw"/>
        <filter val="Divine Audit of Worth"/>
        <filter val="Soothing Pulse"/>
        <filter val="Living Archive Conversion"/>
        <filter val="Shifting Hallway"/>
        <filter val="A.S.T.R.A.L. Intrusion Barrier"/>
        <filter val="Sunder the Mind"/>
        <filter val="Urban Camouflage"/>
        <filter val="Sure Disease"/>
        <filter val="Last Minute Optimization"/>
        <filter val="Faint Heartbeat"/>
        <filter val="Enthralling Kiss"/>
        <filter val="The Price of Names"/>
        <filter val="Digital Ghost"/>
        <filter val="Bogbolt"/>
        <filter val="Rhythmic Movement"/>
        <filter val="Ghost Signal"/>
        <filter val="Tether Hook"/>
        <filter val="Grubby Learn-Fists"/>
        <filter val="Photonic Cascade"/>
        <filter val="Mage Sand"/>
        <filter val="Revulsion"/>
        <filter val="Cauterize Through Time"/>
        <filter val="Mindspike Detonation"/>
        <filter val="Hemograft Steel"/>
        <filter val="Redacted Statement"/>
        <filter val="Unauthorized Spatial Breach"/>
        <filter val="Urge Unerring"/>
        <filter val="Crash Report"/>
        <filter val="Residual Imprint"/>
        <filter val="Pummel Stone"/>
        <filter val="Silhouette Link"/>
        <filter val="Desynchronization Pulse"/>
        <filter val="Corporate Wellness Package"/>
        <filter val="Concord of Dissonant Hearts"/>
        <filter val="Commoner's Glow-up"/>
        <filter val="Executive Forgery"/>
        <filter val="Paranormal Expense Report"/>
        <filter val="Dorkvision"/>
        <filter val="Redacted Identity"/>
        <filter val="Giocrin's Incantation of Bitterness"/>
        <filter val="Opulent Glare"/>
        <filter val="Mnemonic Wipe"/>
        <filter val="Data Recovery"/>
        <filter val="Remove Aromate"/>
        <filter val="Bliss on the Lips"/>
        <filter val="Egress Protocol"/>
        <filter val="Hesitation Protocol"/>
        <filter val="Slitherword"/>
        <filter val="Crash Override"/>
        <filter val="Total Contamination Event"/>
        <filter val="Glossolalia Error"/>
        <filter val="Plasma Meltdown"/>
        <filter val="Corporate Directive: Population Lockdown"/>
        <filter val="Mellow Flow"/>
        <filter val="Static Veil"/>
        <filter val="Social Sabotage"/>
        <filter val="Sleep Theft"/>
        <filter val="Biometric Recalibration"/>
        <filter val="Zenith of Crimson Greed"/>
        <filter val="Dead Air"/>
        <filter val="Plasma Breach"/>
        <filter val="Wanton Assessment"/>
        <filter val="Fold Space"/>
        <filter val="Reconstructive Audit"/>
        <filter val="Glitch Step"/>
        <filter val="The Hollow Man’s Smile"/>
        <filter val="Paranormal Trace Obfuscation"/>
        <filter val="Plasma Breach Event"/>
        <filter val="Vow of Erasure"/>
        <filter val="Splintered Reflection"/>
        <filter val="Rail Arc"/>
        <filter val="Phantasmal Cooler"/>
        <filter val="Phase Step"/>
        <filter val="Phantom Paper Trail"/>
        <filter val="Wall of Farce"/>
        <filter val="Wardrobe Malfunction"/>
        <filter val="A.S.T.R.A.L. Protocol: Finality"/>
        <filter val="Digital Collapse"/>
        <filter val="Poltergust"/>
        <filter val="Giocrin's Face of Rust"/>
        <filter val="Flickering Howl"/>
        <filter val="Silencer"/>
        <filter val="Echo of the Lost"/>
        <filter val="Overclock"/>
        <filter val="Magnetic Grip"/>
        <filter val="Skyline Stride"/>
        <filter val="Dissonant Gestation"/>
        <filter val="Flesh to Paper"/>
        <filter val="Dripping Hour"/>
        <filter val="Cease and Desist"/>
        <filter val="Velvet Undress"/>
        <filter val="Call the Artillery"/>
        <filter val="Bullet Shield"/>
        <filter val="Refraction of Self"/>
        <filter val="Synaptic Reset"/>
        <filter val="Tremor Sign"/>
        <filter val="Classified Information Leak"/>
        <filter val="Pale Effigy"/>
        <filter val="Bonechant Bloom"/>
        <filter val="Concrete Communion"/>
        <filter val="Tile Pulse"/>
        <filter val="Hydrodynamic Lubrication Dispersal"/>
        <filter val="Eyes Behind the Kiss"/>
        <filter val="Sterile Veil"/>
        <filter val="Tactical Enhancement Protocol"/>
        <filter val="Distributed Regeneration"/>
        <filter val="Sibilant Murmurs"/>
        <filter val="A.S.T.R.A.L. Protocol Override"/>
        <filter val="Sever Anomaly"/>
        <filter val="Echoing Pulse of Time"/>
        <filter val="Precision Aim"/>
        <filter val="Data Scramble"/>
        <filter val="Redlight in a Pocket"/>
        <filter val="Hollow Gaze"/>
        <filter val="Final Seal of Denial"/>
        <filter val="Data Leecher"/>
        <filter val="Seam Ripper of the Living World"/>
        <filter val="Pillow Talk"/>
        <filter val="Dice Storm"/>
        <filter val="Luhtin's Curious Footing"/>
        <filter val="Counter-Compliance Protocol"/>
        <filter val="Collapse Algorithm"/>
        <filter val="Sobriety of the Veil"/>
        <filter val="Chef's Keen Senses"/>
        <filter val="Reverb Cloak"/>
        <filter val="Utallash's Persuit of Ceramic"/>
        <filter val="Orb of Let's Not"/>
        <filter val="Pulse Reaver"/>
        <filter val="Static Discharge"/>
        <filter val="Fascination"/>
        <filter val="Stillness of the Grave"/>
        <filter val="Corporate Erasure"/>
        <filter val="Blackout Field"/>
        <filter val="Sanguine Override"/>
        <filter val="Psychosexual Block"/>
        <filter val="Summon the Saint"/>
        <filter val="Midnight Admirer"/>
        <filter val="Jealousy"/>
        <filter val="Architect’s Collapse"/>
        <filter val="Filing Error"/>
        <filter val="Suspension of Disbelief"/>
        <filter val="Residual Anomaly Energy"/>
        <filter val="Fingerbang"/>
        <filter val="Surefooted Leap"/>
        <filter val="Locate Keys"/>
        <filter val="Taunt the Fruit Boots"/>
        <filter val="Lockstep"/>
        <filter val="Data Purge Cascade"/>
        <filter val="The Backdoor"/>
        <filter val="Log"/>
        <filter val="Fauxshock"/>
        <filter val="The Infinite Stare"/>
        <filter val="Unscheduled Maintenance"/>
        <filter val="Momentum Shockwave"/>
        <filter val="Industrial Entropy"/>
        <filter val="Doppler Sound"/>
        <filter val="Mandatory Compliance Policy"/>
        <filter val="The Maw That Hungers"/>
        <filter val="Severed Echo"/>
        <filter val="Exhaustion Nullifier"/>
        <filter val="Mannequin's Lament"/>
        <filter val="Lantern of the Pale Path"/>
        <filter val="Slip Between Timelines"/>
        <filter val="Viral Purge"/>
        <filter val="Man ↔ Cock"/>
        <filter val="Vital Threshold"/>
        <filter val="Echoing Stomp"/>
        <filter val="Looming Obsidian of Anarchy"/>
        <filter val="Mystic Mussel"/>
        <filter val="Shatter Step"/>
        <filter val="Remote Office"/>
        <filter val="Dimensional Layover"/>
        <filter val="Bullet Trace"/>
        <filter val="Corporate Armor Reinforcement"/>
        <filter val="Slick Shift"/>
        <filter val="Permanent Record"/>
        <filter val="Artificial Synchronicity"/>
        <filter val="Mirabel's Breath of Dusk"/>
        <filter val="Giocrin's Hunt"/>
        <filter val="Erased Footsteps"/>
        <filter val="Cerulean Incantation of Pride"/>
        <filter val="Revelation of the Flesh"/>
        <filter val="Dimensional Hard Reset"/>
        <filter val="Lurking Gloom"/>
        <filter val="Mirabel's Final Verse"/>
        <filter val="Flickering Veil"/>
        <filter val="Blasphemer’s Undoing"/>
        <filter val="Alerrim's Solitude"/>
        <filter val="Verdant Irony"/>
        <filter val="Mnemonic Fortress"/>
        <filter val="Emergency Resuscitation Protocol"/>
        <filter val="Verdant Renewal"/>
        <filter val="Eternal Memo"/>
        <filter val="Manifest Workforce"/>
        <filter val="Dust Veil"/>
        <filter val="Reality Integrity Protocol"/>
        <filter val="Drifting Echo"/>
        <filter val="Manifest Anomalous Cataclysm"/>
        <filter val="Sensation Latency Buffer"/>
        <filter val="Compulsed Sponsoring"/>
        <filter val="Manifest Arsenal"/>
        <filter val="Bureaucratic Erasure"/>
        <filter val="Dyrnar's Doom of Despair"/>
        <filter val="Audit Strike"/>
        <filter val="Existential Debt"/>
        <filter val="Spectral Retraction"/>
        <filter val="Corporate Detox Protocol"/>
        <filter val="Chronoscour"/>
        <filter val="Disciplinary Reassignment"/>
        <filter val="Dimensional Slip"/>
        <filter val="Encrypted Mind"/>
        <filter val="Vital Override"/>
        <filter val="Thaumaturgic Relay"/>
        <filter val="Existence Audit"/>
        <filter val="Echo of the Overheard"/>
        <filter val="Corporate Insurance Policy"/>
        <filter val="Authorized Override"/>
        <filter val="Atomic Sting"/>
        <filter val="Dimensional Spillover"/>
        <filter val="Reality Fracture"/>
        <filter val="Dirge Pulse"/>
        <filter val="Summon Pest"/>
        <filter val="Festering Graze"/>
        <filter val="Kiss of the Nereid"/>
        <filter val="Chrono-Administrative Delay"/>
        <filter val="Ceiling Watcher"/>
        <filter val="Shadowtalk"/>
        <filter val="Hollow Stare"/>
        <filter val="Skin Unwoven"/>
        <filter val="Heartbreaker"/>
        <filter val="Unseen Bureaucracy"/>
        <filter val="Existence Redacted"/>
        <filter val="Final Expense Reimbursement"/>
        <filter val="Missing Ledger"/>
        <filter val="Fragmentation Rift"/>
        <filter val="Wisp of the Forgotten"/>
        <filter val="Stone Ship"/>
        <filter val="Heat Void"/>
        <filter val="Drowsing Embrace"/>
        <filter val="Tweak/Goose"/>
        <filter val="Mirabel's Kiss of Dawnbreaking"/>
      </filters>
    </filterColumn>
  </autoFilter>
  <conditionalFormatting sqref="C1:BI977">
    <cfRule type="expression" dxfId="0" priority="1">
      <formula>ISEVEN(COLUMN(B1))</formula>
    </cfRule>
  </conditionalFormatting>
  <conditionalFormatting sqref="C1:BI977">
    <cfRule type="expression" dxfId="1" priority="2">
      <formula>ISODD(COLUMN(B1))</formula>
    </cfRule>
  </conditionalFormatting>
  <conditionalFormatting sqref="A2:B977">
    <cfRule type="expression" dxfId="2" priority="3">
      <formula>REGEXMATCH(D2, "BETA")</formula>
    </cfRule>
  </conditionalFormatting>
  <dataValidations>
    <dataValidation type="list" allowBlank="1" showErrorMessage="1" sqref="BA2:BA977">
      <formula1>Validations!$K$2:$K$1000</formula1>
    </dataValidation>
    <dataValidation type="list" allowBlank="1" sqref="AX2:AX416 AX417:AY977">
      <formula1>"Material,Somatic,Verbal,Terrain"</formula1>
    </dataValidation>
    <dataValidation type="list" allowBlank="1" showErrorMessage="1" sqref="G2:G977">
      <formula1>"6th-level,7th-level,8th-level,4th-level,5th-level,2nd-level,0-Cantrip,3rd-level,9th-level,1st-level"</formula1>
    </dataValidation>
    <dataValidation type="list" allowBlank="1" showErrorMessage="1" sqref="C2:D977">
      <formula1>Validations!$F$2:$F$100</formula1>
    </dataValidation>
    <dataValidation type="list" allowBlank="1" showErrorMessage="1" sqref="BF2:BF977">
      <formula1>Validations!$E$2:$E$9</formula1>
    </dataValidation>
    <dataValidation type="list" allowBlank="1" sqref="F2:F977">
      <formula1>Validations!$A$2:$A$9</formula1>
    </dataValidation>
    <dataValidation type="list" allowBlank="1" showErrorMessage="1" sqref="H2:H416 H417:I977">
      <formula1>Validations!$B$2:$B$10</formula1>
    </dataValidation>
  </dataValidation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3.86"/>
    <col customWidth="1" min="7" max="8" width="27.43"/>
    <col customWidth="1" min="16" max="16" width="11.71"/>
    <col customWidth="1" min="17" max="17" width="11.43"/>
    <col customWidth="1" min="23" max="23" width="16.71"/>
  </cols>
  <sheetData>
    <row r="1">
      <c r="A1" s="95" t="s">
        <v>1977</v>
      </c>
      <c r="B1" s="95" t="s">
        <v>7</v>
      </c>
      <c r="C1" s="95" t="s">
        <v>8</v>
      </c>
      <c r="D1" s="95" t="s">
        <v>6</v>
      </c>
      <c r="E1" s="96" t="s">
        <v>57</v>
      </c>
      <c r="F1" s="95" t="s">
        <v>1978</v>
      </c>
      <c r="G1" s="95" t="s">
        <v>2</v>
      </c>
      <c r="H1" s="95"/>
      <c r="I1" s="95" t="s">
        <v>1979</v>
      </c>
      <c r="J1" s="95"/>
      <c r="K1" s="95" t="s">
        <v>52</v>
      </c>
      <c r="L1" s="95" t="s">
        <v>1980</v>
      </c>
      <c r="M1" s="95" t="s">
        <v>1981</v>
      </c>
      <c r="N1" s="95" t="s">
        <v>1982</v>
      </c>
      <c r="O1" s="95" t="s">
        <v>19</v>
      </c>
      <c r="P1" s="95" t="s">
        <v>20</v>
      </c>
      <c r="Q1" s="97" t="s">
        <v>41</v>
      </c>
      <c r="R1" s="97" t="s">
        <v>1983</v>
      </c>
      <c r="S1" s="97" t="s">
        <v>32</v>
      </c>
      <c r="T1" s="97" t="s">
        <v>35</v>
      </c>
      <c r="U1" s="97" t="s">
        <v>1984</v>
      </c>
      <c r="V1" s="97" t="s">
        <v>1985</v>
      </c>
      <c r="W1" s="97" t="s">
        <v>1986</v>
      </c>
      <c r="X1" s="97" t="s">
        <v>1987</v>
      </c>
      <c r="Y1" s="97" t="s">
        <v>1988</v>
      </c>
      <c r="Z1" s="98"/>
      <c r="AA1" s="98"/>
      <c r="AB1" s="98"/>
      <c r="AC1" s="98"/>
      <c r="AD1" s="98"/>
      <c r="AE1" s="98"/>
    </row>
    <row r="2">
      <c r="A2" s="97" t="s">
        <v>123</v>
      </c>
      <c r="B2" s="97" t="s">
        <v>178</v>
      </c>
      <c r="C2" s="97" t="s">
        <v>1989</v>
      </c>
      <c r="D2" s="97" t="s">
        <v>64</v>
      </c>
      <c r="E2" s="99" t="s">
        <v>897</v>
      </c>
      <c r="F2" s="97" t="s">
        <v>138</v>
      </c>
      <c r="G2" s="100" t="s">
        <v>138</v>
      </c>
      <c r="H2" s="100" t="s">
        <v>1990</v>
      </c>
      <c r="I2" s="100" t="s">
        <v>1991</v>
      </c>
      <c r="J2" s="100" t="s">
        <v>1992</v>
      </c>
      <c r="K2" s="101" t="s">
        <v>278</v>
      </c>
      <c r="L2" s="102" t="s">
        <v>1993</v>
      </c>
      <c r="M2" s="97" t="s">
        <v>1994</v>
      </c>
      <c r="N2" s="97" t="s">
        <v>1995</v>
      </c>
      <c r="O2" s="103" t="s">
        <v>1996</v>
      </c>
      <c r="P2" s="98" t="s">
        <v>1997</v>
      </c>
      <c r="Q2" s="97" t="s">
        <v>1998</v>
      </c>
      <c r="R2" s="97" t="s">
        <v>78</v>
      </c>
      <c r="S2" s="97" t="s">
        <v>69</v>
      </c>
      <c r="T2" s="97" t="s">
        <v>70</v>
      </c>
      <c r="U2" s="97" t="s">
        <v>1999</v>
      </c>
      <c r="V2" s="97" t="s">
        <v>2000</v>
      </c>
      <c r="W2" s="97" t="s">
        <v>292</v>
      </c>
      <c r="X2" s="97" t="s">
        <v>248</v>
      </c>
      <c r="Y2" s="97" t="s">
        <v>2001</v>
      </c>
      <c r="Z2" s="98"/>
      <c r="AA2" s="98"/>
      <c r="AB2" s="98"/>
      <c r="AC2" s="98"/>
      <c r="AD2" s="98"/>
      <c r="AE2" s="98"/>
    </row>
    <row r="3">
      <c r="A3" s="97" t="s">
        <v>108</v>
      </c>
      <c r="B3" s="97" t="s">
        <v>103</v>
      </c>
      <c r="C3" s="97" t="s">
        <v>2002</v>
      </c>
      <c r="D3" s="97" t="s">
        <v>444</v>
      </c>
      <c r="E3" s="104" t="s">
        <v>854</v>
      </c>
      <c r="F3" s="97" t="s">
        <v>18</v>
      </c>
      <c r="G3" s="100" t="s">
        <v>2003</v>
      </c>
      <c r="H3" s="100" t="s">
        <v>2004</v>
      </c>
      <c r="I3" s="100" t="s">
        <v>2005</v>
      </c>
      <c r="J3" s="100" t="s">
        <v>2006</v>
      </c>
      <c r="K3" s="101" t="s">
        <v>379</v>
      </c>
      <c r="L3" s="102" t="s">
        <v>2007</v>
      </c>
      <c r="M3" s="97" t="s">
        <v>2008</v>
      </c>
      <c r="N3" s="97" t="s">
        <v>2009</v>
      </c>
      <c r="O3" s="105" t="s">
        <v>2010</v>
      </c>
      <c r="P3" s="98" t="s">
        <v>2011</v>
      </c>
      <c r="Q3" s="97" t="s">
        <v>2012</v>
      </c>
      <c r="R3" s="97" t="s">
        <v>71</v>
      </c>
      <c r="S3" s="97" t="s">
        <v>2013</v>
      </c>
      <c r="T3" s="97" t="s">
        <v>2014</v>
      </c>
      <c r="U3" s="97" t="s">
        <v>2015</v>
      </c>
      <c r="V3" s="97" t="s">
        <v>2016</v>
      </c>
      <c r="W3" s="97" t="s">
        <v>2017</v>
      </c>
      <c r="X3" s="97" t="s">
        <v>106</v>
      </c>
      <c r="Y3" s="97" t="s">
        <v>2018</v>
      </c>
      <c r="Z3" s="98"/>
      <c r="AA3" s="98"/>
      <c r="AB3" s="98"/>
      <c r="AC3" s="98"/>
      <c r="AD3" s="98"/>
      <c r="AE3" s="98"/>
    </row>
    <row r="4">
      <c r="A4" s="97" t="s">
        <v>130</v>
      </c>
      <c r="B4" s="97" t="s">
        <v>144</v>
      </c>
      <c r="C4" s="97" t="s">
        <v>2019</v>
      </c>
      <c r="D4" s="97" t="s">
        <v>672</v>
      </c>
      <c r="E4" s="104" t="s">
        <v>597</v>
      </c>
      <c r="F4" s="97" t="s">
        <v>1003</v>
      </c>
      <c r="G4" s="100" t="s">
        <v>2020</v>
      </c>
      <c r="H4" s="100" t="s">
        <v>2021</v>
      </c>
      <c r="I4" s="100" t="s">
        <v>2022</v>
      </c>
      <c r="J4" s="100" t="s">
        <v>2002</v>
      </c>
      <c r="K4" s="101" t="s">
        <v>401</v>
      </c>
      <c r="L4" s="102" t="s">
        <v>460</v>
      </c>
      <c r="M4" s="97" t="s">
        <v>2023</v>
      </c>
      <c r="N4" s="97" t="s">
        <v>2024</v>
      </c>
      <c r="O4" s="105" t="s">
        <v>2025</v>
      </c>
      <c r="P4" s="98" t="s">
        <v>2026</v>
      </c>
      <c r="Q4" s="97" t="s">
        <v>2022</v>
      </c>
      <c r="R4" s="97" t="s">
        <v>2027</v>
      </c>
      <c r="S4" s="97" t="s">
        <v>208</v>
      </c>
      <c r="T4" s="97" t="s">
        <v>255</v>
      </c>
      <c r="U4" s="97" t="s">
        <v>2028</v>
      </c>
      <c r="V4" s="97" t="s">
        <v>2029</v>
      </c>
      <c r="W4" s="97" t="s">
        <v>2030</v>
      </c>
      <c r="X4" s="97" t="s">
        <v>808</v>
      </c>
      <c r="Y4" s="97" t="s">
        <v>2031</v>
      </c>
      <c r="Z4" s="98"/>
      <c r="AA4" s="98"/>
      <c r="AB4" s="98"/>
      <c r="AC4" s="98"/>
      <c r="AD4" s="98"/>
      <c r="AE4" s="98"/>
    </row>
    <row r="5">
      <c r="A5" s="97" t="s">
        <v>570</v>
      </c>
      <c r="B5" s="97" t="s">
        <v>183</v>
      </c>
      <c r="C5" s="97" t="s">
        <v>2032</v>
      </c>
      <c r="D5" s="97" t="s">
        <v>945</v>
      </c>
      <c r="E5" s="104" t="s">
        <v>352</v>
      </c>
      <c r="F5" s="97" t="s">
        <v>1644</v>
      </c>
      <c r="G5" s="100" t="s">
        <v>2033</v>
      </c>
      <c r="H5" s="100" t="s">
        <v>2034</v>
      </c>
      <c r="I5" s="100" t="s">
        <v>1278</v>
      </c>
      <c r="J5" s="100" t="s">
        <v>2035</v>
      </c>
      <c r="K5" s="101" t="s">
        <v>372</v>
      </c>
      <c r="L5" s="102" t="s">
        <v>2036</v>
      </c>
      <c r="M5" s="97" t="s">
        <v>2037</v>
      </c>
      <c r="N5" s="97" t="s">
        <v>1370</v>
      </c>
      <c r="O5" s="105" t="s">
        <v>2038</v>
      </c>
      <c r="P5" s="98" t="s">
        <v>2039</v>
      </c>
      <c r="Q5" s="97" t="s">
        <v>1278</v>
      </c>
      <c r="R5" s="97" t="s">
        <v>2040</v>
      </c>
      <c r="S5" s="97" t="s">
        <v>2015</v>
      </c>
      <c r="T5" s="97" t="s">
        <v>789</v>
      </c>
      <c r="U5" s="97" t="s">
        <v>2041</v>
      </c>
      <c r="V5" s="98"/>
      <c r="W5" s="98"/>
      <c r="X5" s="97" t="s">
        <v>52</v>
      </c>
      <c r="Y5" s="97" t="s">
        <v>2042</v>
      </c>
      <c r="Z5" s="98"/>
      <c r="AA5" s="98"/>
      <c r="AB5" s="98"/>
      <c r="AC5" s="98"/>
      <c r="AD5" s="98"/>
      <c r="AE5" s="98"/>
    </row>
    <row r="6">
      <c r="A6" s="97" t="s">
        <v>443</v>
      </c>
      <c r="B6" s="97" t="s">
        <v>76</v>
      </c>
      <c r="C6" s="97" t="s">
        <v>2001</v>
      </c>
      <c r="D6" s="97" t="s">
        <v>1223</v>
      </c>
      <c r="E6" s="104" t="s">
        <v>482</v>
      </c>
      <c r="F6" s="97" t="s">
        <v>2043</v>
      </c>
      <c r="G6" s="100" t="s">
        <v>2044</v>
      </c>
      <c r="H6" s="100" t="s">
        <v>2045</v>
      </c>
      <c r="I6" s="100" t="s">
        <v>2046</v>
      </c>
      <c r="J6" s="100" t="s">
        <v>2047</v>
      </c>
      <c r="K6" s="101" t="s">
        <v>287</v>
      </c>
      <c r="L6" s="102" t="s">
        <v>2048</v>
      </c>
      <c r="M6" s="97" t="s">
        <v>2049</v>
      </c>
      <c r="N6" s="97" t="s">
        <v>2050</v>
      </c>
      <c r="O6" s="105" t="s">
        <v>2051</v>
      </c>
      <c r="P6" s="98" t="s">
        <v>2052</v>
      </c>
      <c r="Q6" s="97" t="s">
        <v>2053</v>
      </c>
      <c r="R6" s="97" t="s">
        <v>2054</v>
      </c>
      <c r="S6" s="97" t="s">
        <v>2028</v>
      </c>
      <c r="T6" s="98"/>
      <c r="U6" s="97" t="s">
        <v>2055</v>
      </c>
      <c r="V6" s="98"/>
      <c r="W6" s="98"/>
      <c r="X6" s="98"/>
      <c r="Y6" s="98"/>
      <c r="Z6" s="98"/>
      <c r="AA6" s="98"/>
      <c r="AB6" s="98"/>
      <c r="AC6" s="98"/>
      <c r="AD6" s="98"/>
      <c r="AE6" s="98"/>
    </row>
    <row r="7">
      <c r="A7" s="97" t="s">
        <v>199</v>
      </c>
      <c r="B7" s="97" t="s">
        <v>65</v>
      </c>
      <c r="C7" s="97" t="s">
        <v>2056</v>
      </c>
      <c r="D7" s="97" t="s">
        <v>1452</v>
      </c>
      <c r="E7" s="97" t="s">
        <v>2057</v>
      </c>
      <c r="F7" s="97" t="s">
        <v>2058</v>
      </c>
      <c r="G7" s="100" t="s">
        <v>2059</v>
      </c>
      <c r="H7" s="100" t="s">
        <v>2060</v>
      </c>
      <c r="I7" s="100" t="s">
        <v>2061</v>
      </c>
      <c r="J7" s="100" t="s">
        <v>2018</v>
      </c>
      <c r="K7" s="101" t="s">
        <v>176</v>
      </c>
      <c r="L7" s="102" t="s">
        <v>2062</v>
      </c>
      <c r="M7" s="97" t="s">
        <v>2063</v>
      </c>
      <c r="N7" s="97" t="s">
        <v>2064</v>
      </c>
      <c r="O7" s="103" t="s">
        <v>2065</v>
      </c>
      <c r="P7" s="98" t="s">
        <v>2066</v>
      </c>
      <c r="Q7" s="97" t="s">
        <v>2067</v>
      </c>
      <c r="R7" s="97" t="s">
        <v>2068</v>
      </c>
      <c r="S7" s="97" t="s">
        <v>2041</v>
      </c>
      <c r="T7" s="98"/>
      <c r="U7" s="97" t="s">
        <v>2069</v>
      </c>
      <c r="V7" s="98"/>
      <c r="W7" s="98"/>
      <c r="X7" s="98"/>
      <c r="Y7" s="98"/>
      <c r="Z7" s="98"/>
      <c r="AA7" s="98"/>
      <c r="AB7" s="98"/>
      <c r="AC7" s="98"/>
      <c r="AD7" s="98"/>
      <c r="AE7" s="98"/>
    </row>
    <row r="8">
      <c r="A8" s="97" t="s">
        <v>75</v>
      </c>
      <c r="B8" s="97" t="s">
        <v>140</v>
      </c>
      <c r="C8" s="97" t="s">
        <v>2035</v>
      </c>
      <c r="D8" s="97" t="s">
        <v>1594</v>
      </c>
      <c r="E8" s="97" t="s">
        <v>497</v>
      </c>
      <c r="F8" s="97" t="s">
        <v>253</v>
      </c>
      <c r="G8" s="100" t="s">
        <v>2070</v>
      </c>
      <c r="H8" s="100" t="s">
        <v>2071</v>
      </c>
      <c r="I8" s="100" t="s">
        <v>2072</v>
      </c>
      <c r="J8" s="100" t="s">
        <v>2031</v>
      </c>
      <c r="K8" s="101" t="s">
        <v>308</v>
      </c>
      <c r="L8" s="102" t="s">
        <v>2073</v>
      </c>
      <c r="M8" s="98"/>
      <c r="N8" s="97" t="s">
        <v>2074</v>
      </c>
      <c r="O8" s="105" t="s">
        <v>2075</v>
      </c>
      <c r="P8" s="98" t="s">
        <v>2076</v>
      </c>
      <c r="Q8" s="97" t="s">
        <v>2061</v>
      </c>
      <c r="R8" s="97" t="s">
        <v>2077</v>
      </c>
      <c r="S8" s="97" t="s">
        <v>789</v>
      </c>
      <c r="T8" s="98"/>
      <c r="U8" s="97" t="s">
        <v>2078</v>
      </c>
      <c r="V8" s="98"/>
      <c r="W8" s="98"/>
      <c r="X8" s="98"/>
      <c r="Y8" s="98"/>
      <c r="Z8" s="98"/>
      <c r="AA8" s="98"/>
      <c r="AB8" s="98"/>
      <c r="AC8" s="98"/>
      <c r="AD8" s="98"/>
      <c r="AE8" s="98"/>
    </row>
    <row r="9">
      <c r="A9" s="97" t="s">
        <v>250</v>
      </c>
      <c r="B9" s="97" t="s">
        <v>85</v>
      </c>
      <c r="C9" s="97" t="s">
        <v>2042</v>
      </c>
      <c r="D9" s="97" t="s">
        <v>1709</v>
      </c>
      <c r="E9" s="97" t="s">
        <v>463</v>
      </c>
      <c r="F9" s="97" t="s">
        <v>1451</v>
      </c>
      <c r="G9" s="100" t="s">
        <v>2079</v>
      </c>
      <c r="H9" s="100" t="s">
        <v>2080</v>
      </c>
      <c r="I9" s="100" t="s">
        <v>2081</v>
      </c>
      <c r="J9" s="100" t="s">
        <v>2082</v>
      </c>
      <c r="K9" s="101" t="s">
        <v>326</v>
      </c>
      <c r="L9" s="102" t="s">
        <v>2083</v>
      </c>
      <c r="M9" s="98"/>
      <c r="N9" s="97" t="s">
        <v>2084</v>
      </c>
      <c r="O9" s="105" t="s">
        <v>2085</v>
      </c>
      <c r="P9" s="98" t="s">
        <v>2086</v>
      </c>
      <c r="Q9" s="97" t="s">
        <v>2087</v>
      </c>
      <c r="R9" s="97" t="s">
        <v>2088</v>
      </c>
      <c r="S9" s="98"/>
      <c r="T9" s="98"/>
      <c r="U9" s="97" t="s">
        <v>2089</v>
      </c>
      <c r="V9" s="98"/>
      <c r="W9" s="98"/>
      <c r="X9" s="98"/>
      <c r="Y9" s="98"/>
      <c r="Z9" s="98"/>
      <c r="AA9" s="98"/>
      <c r="AB9" s="98"/>
      <c r="AC9" s="98"/>
      <c r="AD9" s="98"/>
      <c r="AE9" s="98"/>
    </row>
    <row r="10">
      <c r="A10" s="98"/>
      <c r="B10" s="97" t="s">
        <v>2090</v>
      </c>
      <c r="C10" s="97" t="s">
        <v>2091</v>
      </c>
      <c r="D10" s="97" t="s">
        <v>1837</v>
      </c>
      <c r="E10" s="98"/>
      <c r="F10" s="97" t="s">
        <v>2092</v>
      </c>
      <c r="G10" s="100" t="s">
        <v>83</v>
      </c>
      <c r="H10" s="100" t="s">
        <v>2093</v>
      </c>
      <c r="I10" s="100" t="s">
        <v>2012</v>
      </c>
      <c r="J10" s="100" t="s">
        <v>2094</v>
      </c>
      <c r="K10" s="101" t="s">
        <v>268</v>
      </c>
      <c r="L10" s="102" t="s">
        <v>2095</v>
      </c>
      <c r="M10" s="98"/>
      <c r="N10" s="97" t="s">
        <v>2096</v>
      </c>
      <c r="O10" s="105" t="s">
        <v>2097</v>
      </c>
      <c r="P10" s="98" t="s">
        <v>2098</v>
      </c>
      <c r="Q10" s="97" t="s">
        <v>2046</v>
      </c>
      <c r="R10" s="98"/>
      <c r="S10" s="98"/>
      <c r="T10" s="98"/>
      <c r="U10" s="98"/>
      <c r="V10" s="98"/>
      <c r="W10" s="98"/>
      <c r="X10" s="98"/>
      <c r="Y10" s="98"/>
      <c r="Z10" s="98"/>
      <c r="AA10" s="98"/>
      <c r="AB10" s="98"/>
      <c r="AC10" s="98"/>
      <c r="AD10" s="98"/>
      <c r="AE10" s="98"/>
    </row>
    <row r="11">
      <c r="A11" s="98"/>
      <c r="B11" s="98"/>
      <c r="C11" s="98"/>
      <c r="D11" s="97" t="s">
        <v>1919</v>
      </c>
      <c r="E11" s="98"/>
      <c r="F11" s="97" t="s">
        <v>191</v>
      </c>
      <c r="G11" s="100" t="s">
        <v>2099</v>
      </c>
      <c r="H11" s="100" t="s">
        <v>2100</v>
      </c>
      <c r="I11" s="100" t="s">
        <v>2101</v>
      </c>
      <c r="J11" s="100" t="s">
        <v>2102</v>
      </c>
      <c r="K11" s="101" t="s">
        <v>415</v>
      </c>
      <c r="L11" s="102" t="s">
        <v>2103</v>
      </c>
      <c r="M11" s="98"/>
      <c r="N11" s="97" t="s">
        <v>2104</v>
      </c>
      <c r="O11" s="105" t="s">
        <v>2105</v>
      </c>
      <c r="P11" s="98" t="s">
        <v>2106</v>
      </c>
      <c r="Q11" s="97" t="s">
        <v>789</v>
      </c>
      <c r="R11" s="98"/>
      <c r="S11" s="98"/>
      <c r="T11" s="98"/>
      <c r="U11" s="98"/>
      <c r="V11" s="98"/>
      <c r="W11" s="98"/>
      <c r="X11" s="98"/>
      <c r="Y11" s="98"/>
      <c r="Z11" s="98"/>
      <c r="AA11" s="98"/>
      <c r="AB11" s="98"/>
      <c r="AC11" s="98"/>
      <c r="AD11" s="98"/>
      <c r="AE11" s="98"/>
    </row>
    <row r="12">
      <c r="A12" s="98"/>
      <c r="B12" s="98"/>
      <c r="C12" s="98"/>
      <c r="D12" s="98"/>
      <c r="E12" s="98"/>
      <c r="F12" s="97" t="s">
        <v>2107</v>
      </c>
      <c r="G12" s="100" t="s">
        <v>2108</v>
      </c>
      <c r="H12" s="100" t="s">
        <v>2109</v>
      </c>
      <c r="I12" s="100" t="s">
        <v>1550</v>
      </c>
      <c r="J12" s="100" t="s">
        <v>2082</v>
      </c>
      <c r="K12" s="101" t="s">
        <v>293</v>
      </c>
      <c r="L12" s="97" t="s">
        <v>2110</v>
      </c>
      <c r="M12" s="98"/>
      <c r="N12" s="97" t="s">
        <v>2111</v>
      </c>
      <c r="O12" s="105" t="s">
        <v>2112</v>
      </c>
      <c r="P12" s="98" t="s">
        <v>2113</v>
      </c>
      <c r="Q12" s="98"/>
      <c r="R12" s="98"/>
      <c r="S12" s="98"/>
      <c r="T12" s="98"/>
      <c r="U12" s="98"/>
      <c r="V12" s="98"/>
      <c r="W12" s="98"/>
      <c r="X12" s="98"/>
      <c r="Y12" s="98"/>
      <c r="Z12" s="98"/>
      <c r="AA12" s="98"/>
      <c r="AB12" s="98"/>
      <c r="AC12" s="98"/>
      <c r="AD12" s="98"/>
      <c r="AE12" s="98"/>
    </row>
    <row r="13">
      <c r="A13" s="98"/>
      <c r="B13" s="98"/>
      <c r="C13" s="98"/>
      <c r="D13" s="98"/>
      <c r="E13" s="98"/>
      <c r="F13" s="97" t="s">
        <v>1261</v>
      </c>
      <c r="G13" s="100" t="s">
        <v>2114</v>
      </c>
      <c r="H13" s="100" t="s">
        <v>2115</v>
      </c>
      <c r="I13" s="100"/>
      <c r="J13" s="100"/>
      <c r="K13" s="101" t="s">
        <v>233</v>
      </c>
      <c r="L13" s="97" t="s">
        <v>2116</v>
      </c>
      <c r="M13" s="98"/>
      <c r="N13" s="97" t="s">
        <v>2117</v>
      </c>
      <c r="O13" s="103" t="s">
        <v>2118</v>
      </c>
      <c r="P13" s="98" t="s">
        <v>2119</v>
      </c>
      <c r="Q13" s="98"/>
      <c r="R13" s="98"/>
      <c r="S13" s="98"/>
      <c r="T13" s="98"/>
      <c r="U13" s="98"/>
      <c r="V13" s="98"/>
      <c r="W13" s="98"/>
      <c r="X13" s="98"/>
      <c r="Y13" s="98"/>
      <c r="Z13" s="98"/>
      <c r="AA13" s="98"/>
      <c r="AB13" s="98"/>
      <c r="AC13" s="98"/>
      <c r="AD13" s="98"/>
      <c r="AE13" s="98"/>
    </row>
    <row r="14">
      <c r="A14" s="98"/>
      <c r="B14" s="98"/>
      <c r="C14" s="98"/>
      <c r="D14" s="98"/>
      <c r="E14" s="98"/>
      <c r="F14" s="97" t="s">
        <v>83</v>
      </c>
      <c r="G14" s="100" t="s">
        <v>2120</v>
      </c>
      <c r="H14" s="100" t="s">
        <v>2115</v>
      </c>
      <c r="I14" s="100"/>
      <c r="J14" s="100"/>
      <c r="K14" s="101" t="s">
        <v>149</v>
      </c>
      <c r="L14" s="97" t="s">
        <v>2121</v>
      </c>
      <c r="M14" s="98"/>
      <c r="N14" s="97" t="s">
        <v>2122</v>
      </c>
      <c r="O14" s="105"/>
      <c r="P14" s="98" t="s">
        <v>2123</v>
      </c>
      <c r="Q14" s="98"/>
      <c r="R14" s="98"/>
      <c r="S14" s="98"/>
      <c r="T14" s="98"/>
      <c r="U14" s="98"/>
      <c r="V14" s="98"/>
      <c r="W14" s="98"/>
      <c r="X14" s="98"/>
      <c r="Y14" s="98"/>
      <c r="Z14" s="98"/>
      <c r="AA14" s="98"/>
      <c r="AB14" s="98"/>
      <c r="AC14" s="98"/>
      <c r="AD14" s="98"/>
      <c r="AE14" s="98"/>
    </row>
    <row r="15">
      <c r="A15" s="98"/>
      <c r="B15" s="98"/>
      <c r="C15" s="98"/>
      <c r="D15" s="98"/>
      <c r="E15" s="98"/>
      <c r="F15" s="97" t="s">
        <v>2124</v>
      </c>
      <c r="G15" s="100" t="s">
        <v>2125</v>
      </c>
      <c r="H15" s="100" t="s">
        <v>2126</v>
      </c>
      <c r="I15" s="100"/>
      <c r="J15" s="100"/>
      <c r="K15" s="101" t="s">
        <v>317</v>
      </c>
      <c r="L15" s="102" t="s">
        <v>2127</v>
      </c>
      <c r="M15" s="98"/>
      <c r="N15" s="97" t="s">
        <v>2128</v>
      </c>
      <c r="O15" s="98"/>
      <c r="P15" s="98" t="s">
        <v>2129</v>
      </c>
      <c r="Q15" s="98"/>
      <c r="R15" s="98"/>
      <c r="S15" s="98"/>
      <c r="T15" s="98"/>
      <c r="U15" s="98"/>
      <c r="V15" s="98"/>
      <c r="W15" s="98"/>
      <c r="X15" s="98"/>
      <c r="Y15" s="98"/>
      <c r="Z15" s="98"/>
      <c r="AA15" s="98"/>
      <c r="AB15" s="98"/>
      <c r="AC15" s="98"/>
      <c r="AD15" s="98"/>
      <c r="AE15" s="98"/>
    </row>
    <row r="16">
      <c r="A16" s="98"/>
      <c r="B16" s="98"/>
      <c r="C16" s="98"/>
      <c r="D16" s="98"/>
      <c r="E16" s="98"/>
      <c r="F16" s="97" t="s">
        <v>1536</v>
      </c>
      <c r="G16" s="100" t="s">
        <v>2130</v>
      </c>
      <c r="H16" s="100" t="s">
        <v>2131</v>
      </c>
      <c r="I16" s="100"/>
      <c r="J16" s="100"/>
      <c r="K16" s="101" t="s">
        <v>407</v>
      </c>
      <c r="L16" s="97" t="s">
        <v>2132</v>
      </c>
      <c r="M16" s="98"/>
      <c r="N16" s="97" t="s">
        <v>2133</v>
      </c>
      <c r="O16" s="98"/>
      <c r="P16" s="98" t="s">
        <v>2134</v>
      </c>
      <c r="Q16" s="98"/>
      <c r="R16" s="98"/>
      <c r="S16" s="98"/>
      <c r="T16" s="98"/>
      <c r="U16" s="98"/>
      <c r="V16" s="98"/>
      <c r="W16" s="98"/>
      <c r="X16" s="98"/>
      <c r="Y16" s="98"/>
      <c r="Z16" s="98"/>
      <c r="AA16" s="98"/>
      <c r="AB16" s="98"/>
      <c r="AC16" s="98"/>
      <c r="AD16" s="98"/>
      <c r="AE16" s="98"/>
    </row>
    <row r="17">
      <c r="A17" s="98"/>
      <c r="B17" s="98"/>
      <c r="C17" s="98"/>
      <c r="D17" s="98"/>
      <c r="E17" s="98"/>
      <c r="F17" s="97" t="s">
        <v>1918</v>
      </c>
      <c r="G17" s="100" t="s">
        <v>2135</v>
      </c>
      <c r="H17" s="100" t="s">
        <v>2136</v>
      </c>
      <c r="I17" s="100"/>
      <c r="J17" s="100"/>
      <c r="K17" s="101" t="s">
        <v>331</v>
      </c>
      <c r="L17" s="97" t="s">
        <v>2137</v>
      </c>
      <c r="M17" s="98"/>
      <c r="N17" s="97" t="s">
        <v>2138</v>
      </c>
      <c r="O17" s="98"/>
      <c r="P17" s="98"/>
      <c r="Q17" s="98"/>
      <c r="R17" s="98"/>
      <c r="S17" s="98"/>
      <c r="T17" s="98"/>
      <c r="U17" s="98"/>
      <c r="V17" s="98"/>
      <c r="W17" s="98"/>
      <c r="X17" s="98"/>
      <c r="Y17" s="98"/>
      <c r="Z17" s="98"/>
      <c r="AA17" s="98"/>
      <c r="AB17" s="98"/>
      <c r="AC17" s="98"/>
      <c r="AD17" s="98"/>
      <c r="AE17" s="98"/>
    </row>
    <row r="18">
      <c r="A18" s="98"/>
      <c r="B18" s="98"/>
      <c r="C18" s="98"/>
      <c r="D18" s="98"/>
      <c r="E18" s="98"/>
      <c r="F18" s="97" t="s">
        <v>2139</v>
      </c>
      <c r="G18" s="100" t="s">
        <v>2140</v>
      </c>
      <c r="H18" s="100" t="s">
        <v>2141</v>
      </c>
      <c r="I18" s="100"/>
      <c r="J18" s="100"/>
      <c r="K18" s="101" t="s">
        <v>313</v>
      </c>
      <c r="L18" s="97" t="s">
        <v>2142</v>
      </c>
      <c r="M18" s="98"/>
      <c r="N18" s="97" t="s">
        <v>2143</v>
      </c>
      <c r="O18" s="98"/>
      <c r="P18" s="98"/>
      <c r="Q18" s="98"/>
      <c r="R18" s="98"/>
      <c r="S18" s="98"/>
      <c r="T18" s="98"/>
      <c r="U18" s="98"/>
      <c r="V18" s="98"/>
      <c r="W18" s="98"/>
      <c r="X18" s="98"/>
      <c r="Y18" s="98"/>
      <c r="Z18" s="98"/>
      <c r="AA18" s="98"/>
      <c r="AB18" s="98"/>
      <c r="AC18" s="98"/>
      <c r="AD18" s="98"/>
      <c r="AE18" s="98"/>
    </row>
    <row r="19">
      <c r="A19" s="98"/>
      <c r="B19" s="98"/>
      <c r="C19" s="98"/>
      <c r="D19" s="98"/>
      <c r="E19" s="98"/>
      <c r="F19" s="97" t="s">
        <v>2144</v>
      </c>
      <c r="G19" s="100" t="s">
        <v>2145</v>
      </c>
      <c r="H19" s="100" t="s">
        <v>2146</v>
      </c>
      <c r="I19" s="100"/>
      <c r="J19" s="100"/>
      <c r="K19" s="101" t="s">
        <v>384</v>
      </c>
      <c r="L19" s="97" t="s">
        <v>2147</v>
      </c>
      <c r="M19" s="98"/>
      <c r="N19" s="97" t="s">
        <v>2148</v>
      </c>
      <c r="O19" s="98"/>
      <c r="P19" s="98"/>
      <c r="Q19" s="98"/>
      <c r="R19" s="98"/>
      <c r="S19" s="98"/>
      <c r="T19" s="98"/>
      <c r="U19" s="98"/>
      <c r="V19" s="98"/>
      <c r="W19" s="98"/>
      <c r="X19" s="98"/>
      <c r="Y19" s="98"/>
      <c r="Z19" s="98"/>
      <c r="AA19" s="98"/>
      <c r="AB19" s="98"/>
      <c r="AC19" s="98"/>
      <c r="AD19" s="98"/>
      <c r="AE19" s="98"/>
    </row>
    <row r="20">
      <c r="A20" s="98"/>
      <c r="B20" s="98"/>
      <c r="C20" s="98"/>
      <c r="D20" s="98"/>
      <c r="E20" s="98"/>
      <c r="F20" s="97" t="s">
        <v>753</v>
      </c>
      <c r="G20" s="100" t="s">
        <v>2149</v>
      </c>
      <c r="H20" s="100" t="s">
        <v>2150</v>
      </c>
      <c r="I20" s="100"/>
      <c r="J20" s="100"/>
      <c r="K20" s="101" t="s">
        <v>360</v>
      </c>
      <c r="L20" s="97" t="s">
        <v>2151</v>
      </c>
      <c r="M20" s="98"/>
      <c r="N20" s="98"/>
      <c r="O20" s="98"/>
      <c r="P20" s="98"/>
      <c r="Q20" s="98"/>
      <c r="R20" s="98"/>
      <c r="S20" s="98"/>
      <c r="T20" s="98"/>
      <c r="U20" s="98"/>
      <c r="V20" s="98"/>
      <c r="W20" s="98"/>
      <c r="X20" s="98"/>
      <c r="Y20" s="98"/>
      <c r="Z20" s="98"/>
      <c r="AA20" s="98"/>
      <c r="AB20" s="98"/>
      <c r="AC20" s="98"/>
      <c r="AD20" s="98"/>
      <c r="AE20" s="98"/>
    </row>
    <row r="21">
      <c r="A21" s="98"/>
      <c r="B21" s="98"/>
      <c r="C21" s="98"/>
      <c r="D21" s="98"/>
      <c r="E21" s="98"/>
      <c r="F21" s="97" t="s">
        <v>2152</v>
      </c>
      <c r="G21" s="100" t="s">
        <v>2153</v>
      </c>
      <c r="H21" s="100" t="s">
        <v>2154</v>
      </c>
      <c r="I21" s="100"/>
      <c r="J21" s="100"/>
      <c r="K21" s="98" t="s">
        <v>336</v>
      </c>
      <c r="L21" s="97" t="s">
        <v>2155</v>
      </c>
      <c r="M21" s="98"/>
      <c r="N21" s="98"/>
      <c r="O21" s="98"/>
      <c r="P21" s="98"/>
      <c r="Q21" s="98"/>
      <c r="R21" s="98"/>
      <c r="S21" s="98"/>
      <c r="T21" s="98"/>
      <c r="U21" s="98"/>
      <c r="V21" s="98"/>
      <c r="W21" s="98"/>
      <c r="X21" s="98"/>
      <c r="Y21" s="98"/>
      <c r="Z21" s="98"/>
      <c r="AA21" s="98"/>
      <c r="AB21" s="98"/>
      <c r="AC21" s="98"/>
      <c r="AD21" s="98"/>
      <c r="AE21" s="98"/>
    </row>
    <row r="22">
      <c r="A22" s="98"/>
      <c r="B22" s="98"/>
      <c r="C22" s="98"/>
      <c r="D22" s="98"/>
      <c r="E22" s="98"/>
      <c r="F22" s="97" t="s">
        <v>1680</v>
      </c>
      <c r="G22" s="100" t="s">
        <v>2156</v>
      </c>
      <c r="H22" s="100" t="s">
        <v>2157</v>
      </c>
      <c r="I22" s="100"/>
      <c r="J22" s="100"/>
      <c r="K22" s="101" t="s">
        <v>214</v>
      </c>
      <c r="L22" s="97" t="s">
        <v>2158</v>
      </c>
      <c r="M22" s="98"/>
      <c r="N22" s="98"/>
      <c r="O22" s="98"/>
      <c r="P22" s="98"/>
      <c r="Q22" s="98"/>
      <c r="R22" s="98"/>
      <c r="S22" s="98"/>
      <c r="T22" s="98"/>
      <c r="U22" s="98"/>
      <c r="V22" s="98"/>
      <c r="W22" s="98"/>
      <c r="X22" s="98"/>
      <c r="Y22" s="98"/>
      <c r="Z22" s="98"/>
      <c r="AA22" s="98"/>
      <c r="AB22" s="98"/>
      <c r="AC22" s="98"/>
      <c r="AD22" s="98"/>
      <c r="AE22" s="98"/>
    </row>
    <row r="23">
      <c r="A23" s="98"/>
      <c r="B23" s="98"/>
      <c r="C23" s="98"/>
      <c r="D23" s="98"/>
      <c r="E23" s="98"/>
      <c r="F23" s="97" t="s">
        <v>52</v>
      </c>
      <c r="G23" s="97"/>
      <c r="H23" s="97"/>
      <c r="I23" s="97"/>
      <c r="J23" s="97"/>
      <c r="K23" s="101" t="s">
        <v>136</v>
      </c>
      <c r="L23" s="97" t="s">
        <v>2159</v>
      </c>
      <c r="M23" s="98"/>
      <c r="N23" s="98"/>
      <c r="O23" s="98"/>
      <c r="P23" s="98"/>
      <c r="Q23" s="98"/>
      <c r="R23" s="98"/>
      <c r="S23" s="98"/>
      <c r="T23" s="98"/>
      <c r="U23" s="98"/>
      <c r="V23" s="98"/>
      <c r="W23" s="98"/>
      <c r="X23" s="98"/>
      <c r="Y23" s="98"/>
      <c r="Z23" s="98"/>
      <c r="AA23" s="98"/>
      <c r="AB23" s="98"/>
      <c r="AC23" s="98"/>
      <c r="AD23" s="98"/>
      <c r="AE23" s="98"/>
    </row>
    <row r="24">
      <c r="A24" s="98"/>
      <c r="B24" s="98"/>
      <c r="C24" s="98"/>
      <c r="D24" s="98"/>
      <c r="E24" s="98"/>
      <c r="F24" s="97" t="s">
        <v>2160</v>
      </c>
      <c r="G24" s="97"/>
      <c r="H24" s="97"/>
      <c r="I24" s="97"/>
      <c r="J24" s="97"/>
      <c r="K24" s="101" t="s">
        <v>429</v>
      </c>
      <c r="L24" s="97" t="s">
        <v>2161</v>
      </c>
      <c r="M24" s="98"/>
      <c r="N24" s="98"/>
      <c r="O24" s="98"/>
      <c r="P24" s="98"/>
      <c r="Q24" s="98"/>
      <c r="R24" s="98"/>
      <c r="S24" s="98"/>
      <c r="T24" s="98"/>
      <c r="U24" s="98"/>
      <c r="V24" s="98"/>
      <c r="W24" s="98"/>
      <c r="X24" s="98"/>
      <c r="Y24" s="98"/>
      <c r="Z24" s="98"/>
      <c r="AA24" s="98"/>
      <c r="AB24" s="98"/>
      <c r="AC24" s="98"/>
      <c r="AD24" s="98"/>
      <c r="AE24" s="98"/>
    </row>
    <row r="25">
      <c r="A25" s="98"/>
      <c r="B25" s="98"/>
      <c r="C25" s="98"/>
      <c r="D25" s="98"/>
      <c r="E25" s="98"/>
      <c r="F25" s="97" t="s">
        <v>302</v>
      </c>
      <c r="G25" s="97"/>
      <c r="H25" s="97"/>
      <c r="I25" s="97"/>
      <c r="J25" s="97"/>
      <c r="K25" s="101" t="s">
        <v>239</v>
      </c>
      <c r="L25" s="97" t="s">
        <v>2162</v>
      </c>
      <c r="M25" s="98"/>
      <c r="N25" s="98"/>
      <c r="O25" s="98"/>
      <c r="P25" s="98"/>
      <c r="Q25" s="98"/>
      <c r="R25" s="98"/>
      <c r="S25" s="98"/>
      <c r="T25" s="98"/>
      <c r="U25" s="98"/>
      <c r="V25" s="98"/>
      <c r="W25" s="98"/>
      <c r="X25" s="98"/>
      <c r="Y25" s="98"/>
      <c r="Z25" s="98"/>
      <c r="AA25" s="98"/>
      <c r="AB25" s="98"/>
      <c r="AC25" s="98"/>
      <c r="AD25" s="98"/>
      <c r="AE25" s="98"/>
    </row>
    <row r="26">
      <c r="A26" s="98"/>
      <c r="B26" s="98"/>
      <c r="C26" s="98"/>
      <c r="D26" s="98"/>
      <c r="E26" s="98"/>
      <c r="F26" s="97" t="s">
        <v>2163</v>
      </c>
      <c r="G26" s="97"/>
      <c r="H26" s="97"/>
      <c r="I26" s="97"/>
      <c r="J26" s="97"/>
      <c r="K26" s="101" t="s">
        <v>390</v>
      </c>
      <c r="L26" s="97" t="s">
        <v>2164</v>
      </c>
      <c r="M26" s="98"/>
      <c r="N26" s="98"/>
      <c r="O26" s="98"/>
      <c r="P26" s="98"/>
      <c r="Q26" s="98"/>
      <c r="R26" s="98"/>
      <c r="S26" s="98"/>
      <c r="T26" s="98"/>
      <c r="U26" s="98"/>
      <c r="V26" s="98"/>
      <c r="W26" s="98"/>
      <c r="X26" s="98"/>
      <c r="Y26" s="98"/>
      <c r="Z26" s="98"/>
      <c r="AA26" s="98"/>
      <c r="AB26" s="98"/>
      <c r="AC26" s="98"/>
      <c r="AD26" s="98"/>
      <c r="AE26" s="98"/>
    </row>
    <row r="27">
      <c r="A27" s="98"/>
      <c r="B27" s="98"/>
      <c r="C27" s="98"/>
      <c r="D27" s="98"/>
      <c r="E27" s="98"/>
      <c r="F27" s="95" t="s">
        <v>2165</v>
      </c>
      <c r="G27" s="95"/>
      <c r="H27" s="95"/>
      <c r="I27" s="95"/>
      <c r="J27" s="95"/>
      <c r="K27" s="98" t="s">
        <v>426</v>
      </c>
      <c r="L27" s="97" t="s">
        <v>2166</v>
      </c>
      <c r="M27" s="98"/>
      <c r="N27" s="98"/>
      <c r="O27" s="98"/>
      <c r="P27" s="98"/>
      <c r="Q27" s="98"/>
      <c r="R27" s="98"/>
      <c r="S27" s="98"/>
      <c r="T27" s="98"/>
      <c r="U27" s="98"/>
      <c r="V27" s="98"/>
      <c r="W27" s="98"/>
      <c r="X27" s="98"/>
      <c r="Y27" s="98"/>
      <c r="Z27" s="98"/>
      <c r="AA27" s="98"/>
      <c r="AB27" s="98"/>
      <c r="AC27" s="98"/>
      <c r="AD27" s="98"/>
      <c r="AE27" s="98"/>
    </row>
    <row r="28">
      <c r="A28" s="98"/>
      <c r="B28" s="98"/>
      <c r="C28" s="98"/>
      <c r="D28" s="98"/>
      <c r="E28" s="98"/>
      <c r="F28" s="97" t="s">
        <v>2167</v>
      </c>
      <c r="G28" s="97"/>
      <c r="H28" s="97"/>
      <c r="I28" s="97"/>
      <c r="J28" s="97"/>
      <c r="K28" s="98" t="s">
        <v>160</v>
      </c>
      <c r="L28" s="102" t="s">
        <v>2168</v>
      </c>
      <c r="M28" s="98"/>
      <c r="N28" s="98"/>
      <c r="O28" s="98"/>
      <c r="P28" s="98"/>
      <c r="Q28" s="98"/>
      <c r="R28" s="98"/>
      <c r="S28" s="98"/>
      <c r="T28" s="98"/>
      <c r="U28" s="98"/>
      <c r="V28" s="98"/>
      <c r="W28" s="98"/>
      <c r="X28" s="98"/>
      <c r="Y28" s="98"/>
      <c r="Z28" s="98"/>
      <c r="AA28" s="98"/>
      <c r="AB28" s="98"/>
      <c r="AC28" s="98"/>
      <c r="AD28" s="98"/>
      <c r="AE28" s="98"/>
    </row>
    <row r="29">
      <c r="A29" s="98"/>
      <c r="B29" s="98"/>
      <c r="C29" s="98"/>
      <c r="D29" s="98"/>
      <c r="E29" s="98"/>
      <c r="F29" s="97" t="s">
        <v>1550</v>
      </c>
      <c r="G29" s="97"/>
      <c r="H29" s="97"/>
      <c r="I29" s="97"/>
      <c r="J29" s="97"/>
      <c r="K29" s="106" t="s">
        <v>2169</v>
      </c>
      <c r="L29" s="98"/>
      <c r="M29" s="98"/>
      <c r="N29" s="98"/>
      <c r="O29" s="98"/>
      <c r="P29" s="98"/>
      <c r="Q29" s="98"/>
      <c r="R29" s="98"/>
      <c r="S29" s="98"/>
      <c r="T29" s="98"/>
      <c r="U29" s="98"/>
      <c r="V29" s="98"/>
      <c r="W29" s="98"/>
      <c r="X29" s="98"/>
      <c r="Y29" s="98"/>
      <c r="Z29" s="98"/>
      <c r="AA29" s="98"/>
      <c r="AB29" s="98"/>
      <c r="AC29" s="98"/>
      <c r="AD29" s="98"/>
      <c r="AE29" s="98"/>
    </row>
    <row r="30">
      <c r="A30" s="98"/>
      <c r="B30" s="98"/>
      <c r="C30" s="98"/>
      <c r="D30" s="98"/>
      <c r="E30" s="98"/>
      <c r="F30" s="97" t="s">
        <v>1750</v>
      </c>
      <c r="G30" s="97"/>
      <c r="H30" s="97"/>
      <c r="I30" s="97"/>
      <c r="J30" s="97"/>
      <c r="K30" s="106" t="s">
        <v>2170</v>
      </c>
      <c r="L30" s="98"/>
      <c r="M30" s="98"/>
      <c r="N30" s="98"/>
      <c r="O30" s="98"/>
      <c r="P30" s="98"/>
      <c r="Q30" s="98"/>
      <c r="R30" s="98"/>
      <c r="S30" s="98"/>
      <c r="T30" s="98"/>
      <c r="U30" s="98"/>
      <c r="V30" s="98"/>
      <c r="W30" s="98"/>
      <c r="X30" s="98"/>
      <c r="Y30" s="98"/>
      <c r="Z30" s="98"/>
      <c r="AA30" s="98"/>
      <c r="AB30" s="98"/>
      <c r="AC30" s="98"/>
      <c r="AD30" s="98"/>
      <c r="AE30" s="98"/>
    </row>
    <row r="31">
      <c r="A31" s="98"/>
      <c r="B31" s="98"/>
      <c r="C31" s="98"/>
      <c r="D31" s="98"/>
      <c r="E31" s="98"/>
      <c r="F31" s="97" t="s">
        <v>1655</v>
      </c>
      <c r="G31" s="97"/>
      <c r="H31" s="97"/>
      <c r="I31" s="97"/>
      <c r="J31" s="97"/>
      <c r="K31" s="98"/>
      <c r="L31" s="98"/>
      <c r="M31" s="98"/>
      <c r="N31" s="98"/>
      <c r="O31" s="98"/>
      <c r="P31" s="98"/>
      <c r="Q31" s="98"/>
      <c r="R31" s="98"/>
      <c r="S31" s="98"/>
      <c r="T31" s="98"/>
      <c r="U31" s="98"/>
      <c r="V31" s="98"/>
      <c r="W31" s="98"/>
      <c r="X31" s="98"/>
      <c r="Y31" s="98"/>
      <c r="Z31" s="98"/>
      <c r="AA31" s="98"/>
      <c r="AB31" s="98"/>
      <c r="AC31" s="98"/>
      <c r="AD31" s="98"/>
      <c r="AE31" s="98"/>
    </row>
    <row r="32">
      <c r="A32" s="98"/>
      <c r="B32" s="98"/>
      <c r="C32" s="98"/>
      <c r="D32" s="98"/>
      <c r="E32" s="98"/>
      <c r="F32" s="97" t="s">
        <v>1370</v>
      </c>
      <c r="G32" s="97"/>
      <c r="H32" s="97"/>
      <c r="I32" s="97"/>
      <c r="J32" s="97"/>
      <c r="K32" s="98"/>
      <c r="L32" s="98"/>
      <c r="M32" s="98"/>
      <c r="N32" s="98"/>
      <c r="O32" s="98"/>
      <c r="P32" s="98"/>
      <c r="Q32" s="98"/>
      <c r="R32" s="98"/>
      <c r="S32" s="98"/>
      <c r="T32" s="98"/>
      <c r="U32" s="98"/>
      <c r="V32" s="98"/>
      <c r="W32" s="98"/>
      <c r="X32" s="98"/>
      <c r="Y32" s="98"/>
      <c r="Z32" s="98"/>
      <c r="AA32" s="98"/>
      <c r="AB32" s="98"/>
      <c r="AC32" s="98"/>
      <c r="AD32" s="98"/>
      <c r="AE32" s="98"/>
    </row>
    <row r="33">
      <c r="A33" s="98"/>
      <c r="B33" s="98"/>
      <c r="C33" s="98"/>
      <c r="D33" s="98"/>
      <c r="E33" s="98"/>
      <c r="F33" s="97" t="s">
        <v>1027</v>
      </c>
      <c r="G33" s="97"/>
      <c r="H33" s="97"/>
      <c r="I33" s="97"/>
      <c r="J33" s="97"/>
      <c r="K33" s="98"/>
      <c r="L33" s="98"/>
      <c r="M33" s="98"/>
      <c r="N33" s="98"/>
      <c r="O33" s="98"/>
      <c r="P33" s="98"/>
      <c r="Q33" s="98"/>
      <c r="R33" s="98"/>
      <c r="S33" s="98"/>
      <c r="T33" s="98"/>
      <c r="U33" s="98"/>
      <c r="V33" s="98"/>
      <c r="W33" s="98"/>
      <c r="X33" s="98"/>
      <c r="Y33" s="98"/>
      <c r="Z33" s="98"/>
      <c r="AA33" s="98"/>
      <c r="AB33" s="98"/>
      <c r="AC33" s="98"/>
      <c r="AD33" s="98"/>
      <c r="AE33" s="98"/>
    </row>
    <row r="34">
      <c r="A34" s="98"/>
      <c r="B34" s="98"/>
      <c r="C34" s="98"/>
      <c r="D34" s="98"/>
      <c r="E34" s="98"/>
      <c r="F34" s="97" t="s">
        <v>1621</v>
      </c>
      <c r="G34" s="97"/>
      <c r="H34" s="97"/>
      <c r="I34" s="97"/>
      <c r="J34" s="97"/>
      <c r="K34" s="98"/>
      <c r="L34" s="98"/>
      <c r="M34" s="98"/>
      <c r="N34" s="98"/>
      <c r="O34" s="98"/>
      <c r="P34" s="98"/>
      <c r="Q34" s="98"/>
      <c r="R34" s="98"/>
      <c r="S34" s="98"/>
      <c r="T34" s="98"/>
      <c r="U34" s="98"/>
      <c r="V34" s="98"/>
      <c r="W34" s="98"/>
      <c r="X34" s="98"/>
      <c r="Y34" s="98"/>
      <c r="Z34" s="98"/>
      <c r="AA34" s="98"/>
      <c r="AB34" s="98"/>
      <c r="AC34" s="98"/>
      <c r="AD34" s="98"/>
      <c r="AE34" s="98"/>
    </row>
    <row r="35">
      <c r="A35" s="98"/>
      <c r="B35" s="98"/>
      <c r="C35" s="98"/>
      <c r="D35" s="98"/>
      <c r="E35" s="98"/>
      <c r="F35" s="97" t="s">
        <v>2171</v>
      </c>
      <c r="G35" s="97"/>
      <c r="H35" s="97"/>
      <c r="I35" s="97"/>
      <c r="J35" s="97"/>
      <c r="K35" s="98"/>
      <c r="L35" s="98"/>
      <c r="M35" s="98"/>
      <c r="N35" s="98"/>
      <c r="O35" s="98"/>
      <c r="P35" s="98"/>
      <c r="Q35" s="98"/>
      <c r="R35" s="98"/>
      <c r="S35" s="98"/>
      <c r="T35" s="98"/>
      <c r="U35" s="98"/>
      <c r="V35" s="98"/>
      <c r="W35" s="98"/>
      <c r="X35" s="98"/>
      <c r="Y35" s="98"/>
      <c r="Z35" s="98"/>
      <c r="AA35" s="98"/>
      <c r="AB35" s="98"/>
      <c r="AC35" s="98"/>
      <c r="AD35" s="98"/>
      <c r="AE35" s="98"/>
    </row>
    <row r="36">
      <c r="A36" s="98"/>
      <c r="B36" s="98"/>
      <c r="C36" s="98"/>
      <c r="D36" s="98"/>
      <c r="E36" s="98"/>
      <c r="F36" s="97" t="s">
        <v>2172</v>
      </c>
      <c r="G36" s="97"/>
      <c r="H36" s="97"/>
      <c r="I36" s="97"/>
      <c r="J36" s="97"/>
      <c r="K36" s="98"/>
      <c r="L36" s="98"/>
      <c r="M36" s="98"/>
      <c r="N36" s="98"/>
      <c r="O36" s="98"/>
      <c r="P36" s="98"/>
      <c r="Q36" s="98"/>
      <c r="R36" s="98"/>
      <c r="S36" s="98"/>
      <c r="T36" s="98"/>
      <c r="U36" s="98"/>
      <c r="V36" s="98"/>
      <c r="W36" s="98"/>
      <c r="X36" s="98"/>
      <c r="Y36" s="98"/>
      <c r="Z36" s="98"/>
      <c r="AA36" s="98"/>
      <c r="AB36" s="98"/>
      <c r="AC36" s="98"/>
      <c r="AD36" s="98"/>
      <c r="AE36" s="98"/>
    </row>
    <row r="37">
      <c r="A37" s="98"/>
      <c r="B37" s="98"/>
      <c r="C37" s="98"/>
      <c r="D37" s="98"/>
      <c r="E37" s="98"/>
      <c r="F37" s="97" t="s">
        <v>2173</v>
      </c>
      <c r="G37" s="97"/>
      <c r="H37" s="97"/>
      <c r="I37" s="97"/>
      <c r="J37" s="97"/>
      <c r="K37" s="98"/>
      <c r="L37" s="98"/>
      <c r="M37" s="98"/>
      <c r="N37" s="98"/>
      <c r="O37" s="98"/>
      <c r="P37" s="98"/>
      <c r="Q37" s="98"/>
      <c r="R37" s="98"/>
      <c r="S37" s="98"/>
      <c r="T37" s="98"/>
      <c r="U37" s="98"/>
      <c r="V37" s="98"/>
      <c r="W37" s="98"/>
      <c r="X37" s="98"/>
      <c r="Y37" s="98"/>
      <c r="Z37" s="98"/>
      <c r="AA37" s="98"/>
      <c r="AB37" s="98"/>
      <c r="AC37" s="98"/>
      <c r="AD37" s="98"/>
      <c r="AE37" s="98"/>
    </row>
    <row r="38">
      <c r="A38" s="98"/>
      <c r="B38" s="98"/>
      <c r="C38" s="98"/>
      <c r="D38" s="98"/>
      <c r="E38" s="98"/>
      <c r="F38" s="97" t="s">
        <v>1370</v>
      </c>
      <c r="G38" s="97"/>
      <c r="H38" s="97"/>
      <c r="I38" s="97"/>
      <c r="J38" s="97"/>
      <c r="K38" s="98"/>
      <c r="L38" s="98"/>
      <c r="M38" s="98"/>
      <c r="N38" s="98"/>
      <c r="O38" s="98"/>
      <c r="P38" s="98"/>
      <c r="Q38" s="98"/>
      <c r="R38" s="98"/>
      <c r="S38" s="98"/>
      <c r="T38" s="98"/>
      <c r="U38" s="98"/>
      <c r="V38" s="98"/>
      <c r="W38" s="98"/>
      <c r="X38" s="98"/>
      <c r="Y38" s="98"/>
      <c r="Z38" s="98"/>
      <c r="AA38" s="98"/>
      <c r="AB38" s="98"/>
      <c r="AC38" s="98"/>
      <c r="AD38" s="98"/>
      <c r="AE38" s="98"/>
    </row>
    <row r="39">
      <c r="A39" s="98"/>
      <c r="B39" s="98"/>
      <c r="C39" s="98"/>
      <c r="D39" s="98"/>
      <c r="E39" s="98"/>
      <c r="F39" s="97" t="s">
        <v>1298</v>
      </c>
      <c r="G39" s="97"/>
      <c r="H39" s="97"/>
      <c r="I39" s="97"/>
      <c r="J39" s="97"/>
      <c r="K39" s="98"/>
      <c r="L39" s="98"/>
      <c r="M39" s="98"/>
      <c r="N39" s="98"/>
      <c r="O39" s="98"/>
      <c r="P39" s="98"/>
      <c r="Q39" s="98"/>
      <c r="R39" s="98"/>
      <c r="S39" s="98"/>
      <c r="T39" s="98"/>
      <c r="U39" s="98"/>
      <c r="V39" s="98"/>
      <c r="W39" s="98"/>
      <c r="X39" s="98"/>
      <c r="Y39" s="98"/>
      <c r="Z39" s="98"/>
      <c r="AA39" s="98"/>
      <c r="AB39" s="98"/>
      <c r="AC39" s="98"/>
      <c r="AD39" s="98"/>
      <c r="AE39" s="98"/>
    </row>
    <row r="40">
      <c r="A40" s="98"/>
      <c r="B40" s="98"/>
      <c r="C40" s="98"/>
      <c r="D40" s="98"/>
      <c r="E40" s="98"/>
      <c r="F40" s="97" t="s">
        <v>57</v>
      </c>
      <c r="G40" s="97"/>
      <c r="H40" s="97"/>
      <c r="I40" s="97"/>
      <c r="J40" s="97"/>
      <c r="K40" s="98"/>
      <c r="L40" s="98"/>
      <c r="M40" s="98"/>
      <c r="N40" s="98"/>
      <c r="O40" s="98"/>
      <c r="P40" s="98"/>
      <c r="Q40" s="98"/>
      <c r="R40" s="98"/>
      <c r="S40" s="98"/>
      <c r="T40" s="98"/>
      <c r="U40" s="98"/>
      <c r="V40" s="98"/>
      <c r="W40" s="98"/>
      <c r="X40" s="98"/>
      <c r="Y40" s="98"/>
      <c r="Z40" s="98"/>
      <c r="AA40" s="98"/>
      <c r="AB40" s="98"/>
      <c r="AC40" s="98"/>
      <c r="AD40" s="98"/>
      <c r="AE40" s="98"/>
    </row>
    <row r="41">
      <c r="A41" s="98"/>
      <c r="B41" s="98"/>
      <c r="C41" s="98"/>
      <c r="D41" s="98"/>
      <c r="E41" s="98"/>
      <c r="F41" s="97" t="s">
        <v>2174</v>
      </c>
      <c r="G41" s="97"/>
      <c r="H41" s="97"/>
      <c r="I41" s="97"/>
      <c r="J41" s="97"/>
      <c r="K41" s="98"/>
      <c r="L41" s="98"/>
      <c r="M41" s="98"/>
      <c r="N41" s="98"/>
      <c r="O41" s="98"/>
      <c r="P41" s="98"/>
      <c r="Q41" s="98"/>
      <c r="R41" s="98"/>
      <c r="S41" s="98"/>
      <c r="T41" s="98"/>
      <c r="U41" s="98"/>
      <c r="V41" s="98"/>
      <c r="W41" s="98"/>
      <c r="X41" s="98"/>
      <c r="Y41" s="98"/>
      <c r="Z41" s="98"/>
      <c r="AA41" s="98"/>
      <c r="AB41" s="98"/>
      <c r="AC41" s="98"/>
      <c r="AD41" s="98"/>
      <c r="AE41" s="98"/>
    </row>
    <row r="42">
      <c r="A42" s="98"/>
      <c r="B42" s="98"/>
      <c r="C42" s="98"/>
      <c r="D42" s="98"/>
      <c r="E42" s="98"/>
      <c r="F42" s="97" t="s">
        <v>2175</v>
      </c>
      <c r="G42" s="97"/>
      <c r="H42" s="97"/>
      <c r="I42" s="97"/>
      <c r="J42" s="97"/>
      <c r="K42" s="98"/>
      <c r="L42" s="98"/>
      <c r="M42" s="98"/>
      <c r="N42" s="98"/>
      <c r="O42" s="98"/>
      <c r="P42" s="98"/>
      <c r="Q42" s="98"/>
      <c r="R42" s="98"/>
      <c r="S42" s="98"/>
      <c r="T42" s="98"/>
      <c r="U42" s="98"/>
      <c r="V42" s="98"/>
      <c r="W42" s="98"/>
      <c r="X42" s="98"/>
      <c r="Y42" s="98"/>
      <c r="Z42" s="98"/>
      <c r="AA42" s="98"/>
      <c r="AB42" s="98"/>
      <c r="AC42" s="98"/>
      <c r="AD42" s="98"/>
      <c r="AE42" s="98"/>
    </row>
    <row r="43">
      <c r="A43" s="98"/>
      <c r="B43" s="98"/>
      <c r="C43" s="98"/>
      <c r="D43" s="98"/>
      <c r="E43" s="98"/>
      <c r="F43" s="97" t="s">
        <v>2176</v>
      </c>
      <c r="G43" s="97"/>
      <c r="H43" s="97"/>
      <c r="I43" s="97"/>
      <c r="J43" s="97"/>
      <c r="K43" s="98"/>
      <c r="L43" s="98"/>
      <c r="M43" s="98"/>
      <c r="N43" s="98"/>
      <c r="O43" s="98"/>
      <c r="P43" s="98"/>
      <c r="Q43" s="98"/>
      <c r="R43" s="98"/>
      <c r="S43" s="98"/>
      <c r="T43" s="98"/>
      <c r="U43" s="98"/>
      <c r="V43" s="98"/>
      <c r="W43" s="98"/>
      <c r="X43" s="98"/>
      <c r="Y43" s="98"/>
      <c r="Z43" s="98"/>
      <c r="AA43" s="98"/>
      <c r="AB43" s="98"/>
      <c r="AC43" s="98"/>
      <c r="AD43" s="98"/>
      <c r="AE43" s="98"/>
    </row>
    <row r="44">
      <c r="A44" s="98"/>
      <c r="B44" s="98"/>
      <c r="C44" s="98"/>
      <c r="D44" s="98"/>
      <c r="E44" s="98"/>
      <c r="F44" s="97" t="s">
        <v>2177</v>
      </c>
      <c r="G44" s="97"/>
      <c r="H44" s="97"/>
      <c r="I44" s="97"/>
      <c r="J44" s="97"/>
      <c r="K44" s="98"/>
      <c r="L44" s="98"/>
      <c r="M44" s="98"/>
      <c r="N44" s="98"/>
      <c r="O44" s="98"/>
      <c r="P44" s="98"/>
      <c r="Q44" s="98"/>
      <c r="R44" s="98"/>
      <c r="S44" s="98"/>
      <c r="T44" s="98"/>
      <c r="U44" s="98"/>
      <c r="V44" s="98"/>
      <c r="W44" s="98"/>
      <c r="X44" s="98"/>
      <c r="Y44" s="98"/>
      <c r="Z44" s="98"/>
      <c r="AA44" s="98"/>
      <c r="AB44" s="98"/>
      <c r="AC44" s="98"/>
      <c r="AD44" s="98"/>
      <c r="AE44" s="98"/>
    </row>
    <row r="45">
      <c r="A45" s="98"/>
      <c r="B45" s="98"/>
      <c r="C45" s="98"/>
      <c r="D45" s="98"/>
      <c r="E45" s="98"/>
      <c r="F45" s="97" t="s">
        <v>2178</v>
      </c>
      <c r="G45" s="97"/>
      <c r="H45" s="97"/>
      <c r="I45" s="97"/>
      <c r="J45" s="97"/>
      <c r="K45" s="98"/>
      <c r="L45" s="98"/>
      <c r="M45" s="98"/>
      <c r="N45" s="98"/>
      <c r="O45" s="98"/>
      <c r="P45" s="98"/>
      <c r="Q45" s="98"/>
      <c r="R45" s="98"/>
      <c r="S45" s="98"/>
      <c r="T45" s="98"/>
      <c r="U45" s="98"/>
      <c r="V45" s="98"/>
      <c r="W45" s="98"/>
      <c r="X45" s="98"/>
      <c r="Y45" s="98"/>
      <c r="Z45" s="98"/>
      <c r="AA45" s="98"/>
      <c r="AB45" s="98"/>
      <c r="AC45" s="98"/>
      <c r="AD45" s="98"/>
      <c r="AE45" s="98"/>
    </row>
    <row r="46">
      <c r="A46" s="98"/>
      <c r="B46" s="98"/>
      <c r="C46" s="98"/>
      <c r="D46" s="98"/>
      <c r="E46" s="98"/>
      <c r="F46" s="97" t="s">
        <v>749</v>
      </c>
      <c r="G46" s="97"/>
      <c r="H46" s="97"/>
      <c r="I46" s="97"/>
      <c r="J46" s="97"/>
      <c r="K46" s="98"/>
      <c r="L46" s="98"/>
      <c r="M46" s="98"/>
      <c r="N46" s="98"/>
      <c r="O46" s="98"/>
      <c r="P46" s="98"/>
      <c r="Q46" s="98"/>
      <c r="R46" s="98"/>
      <c r="S46" s="98"/>
      <c r="T46" s="98"/>
      <c r="U46" s="98"/>
      <c r="V46" s="98"/>
      <c r="W46" s="98"/>
      <c r="X46" s="98"/>
      <c r="Y46" s="98"/>
      <c r="Z46" s="98"/>
      <c r="AA46" s="98"/>
      <c r="AB46" s="98"/>
      <c r="AC46" s="98"/>
      <c r="AD46" s="98"/>
      <c r="AE46" s="98"/>
    </row>
    <row r="47">
      <c r="A47" s="98"/>
      <c r="B47" s="98"/>
      <c r="C47" s="98"/>
      <c r="D47" s="98"/>
      <c r="E47" s="98"/>
      <c r="F47" s="97" t="s">
        <v>2179</v>
      </c>
      <c r="G47" s="97"/>
      <c r="H47" s="97"/>
      <c r="I47" s="97"/>
      <c r="J47" s="97"/>
      <c r="K47" s="98"/>
      <c r="L47" s="98"/>
      <c r="M47" s="98"/>
      <c r="N47" s="98"/>
      <c r="O47" s="98"/>
      <c r="P47" s="98"/>
      <c r="Q47" s="98"/>
      <c r="R47" s="98"/>
      <c r="S47" s="98"/>
      <c r="T47" s="98"/>
      <c r="U47" s="98"/>
      <c r="V47" s="98"/>
      <c r="W47" s="98"/>
      <c r="X47" s="98"/>
      <c r="Y47" s="98"/>
      <c r="Z47" s="98"/>
      <c r="AA47" s="98"/>
      <c r="AB47" s="98"/>
      <c r="AC47" s="98"/>
      <c r="AD47" s="98"/>
      <c r="AE47" s="98"/>
    </row>
    <row r="48">
      <c r="A48" s="98"/>
      <c r="B48" s="98"/>
      <c r="C48" s="98"/>
      <c r="D48" s="98"/>
      <c r="E48" s="98"/>
      <c r="F48" s="97" t="s">
        <v>1213</v>
      </c>
      <c r="G48" s="97"/>
      <c r="H48" s="97"/>
      <c r="I48" s="97"/>
      <c r="J48" s="97"/>
      <c r="K48" s="98"/>
      <c r="L48" s="98"/>
      <c r="M48" s="98"/>
      <c r="N48" s="98"/>
      <c r="O48" s="98"/>
      <c r="P48" s="98"/>
      <c r="Q48" s="98"/>
      <c r="R48" s="98"/>
      <c r="S48" s="98"/>
      <c r="T48" s="98"/>
      <c r="U48" s="98"/>
      <c r="V48" s="98"/>
      <c r="W48" s="98"/>
      <c r="X48" s="98"/>
      <c r="Y48" s="98"/>
      <c r="Z48" s="98"/>
      <c r="AA48" s="98"/>
      <c r="AB48" s="98"/>
      <c r="AC48" s="98"/>
      <c r="AD48" s="98"/>
      <c r="AE48" s="98"/>
    </row>
    <row r="49">
      <c r="A49" s="98"/>
      <c r="B49" s="98"/>
      <c r="C49" s="98"/>
      <c r="D49" s="98"/>
      <c r="E49" s="98"/>
      <c r="F49" s="97" t="s">
        <v>2180</v>
      </c>
      <c r="G49" s="97"/>
      <c r="H49" s="97"/>
      <c r="I49" s="97"/>
      <c r="J49" s="97"/>
      <c r="K49" s="98"/>
      <c r="L49" s="98"/>
      <c r="M49" s="98"/>
      <c r="N49" s="98"/>
      <c r="O49" s="98"/>
      <c r="P49" s="98"/>
      <c r="Q49" s="98"/>
      <c r="R49" s="98"/>
      <c r="S49" s="98"/>
      <c r="T49" s="98"/>
      <c r="U49" s="98"/>
      <c r="V49" s="98"/>
      <c r="W49" s="98"/>
      <c r="X49" s="98"/>
      <c r="Y49" s="98"/>
      <c r="Z49" s="98"/>
      <c r="AA49" s="98"/>
      <c r="AB49" s="98"/>
      <c r="AC49" s="98"/>
      <c r="AD49" s="98"/>
      <c r="AE49" s="98"/>
    </row>
    <row r="50">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row>
    <row r="5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row>
    <row r="52">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row>
    <row r="53">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row>
    <row r="54">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row>
    <row r="55">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row>
    <row r="56">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row>
    <row r="57">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row>
    <row r="58">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row>
    <row r="59">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row>
    <row r="60">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row>
    <row r="6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row>
    <row r="62">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row>
    <row r="63">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row>
    <row r="64">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row>
    <row r="65">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row>
    <row r="66">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row>
    <row r="67">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row>
    <row r="68">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row>
    <row r="69">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row>
    <row r="70">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row>
    <row r="7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row>
    <row r="72">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row>
    <row r="73">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row>
    <row r="74">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row>
    <row r="75">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row>
    <row r="76">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row>
    <row r="77">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row>
    <row r="78">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row>
    <row r="79">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row>
    <row r="80">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row>
    <row r="8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c r="AE81" s="98"/>
    </row>
    <row r="82">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c r="AA82" s="98"/>
      <c r="AB82" s="98"/>
      <c r="AC82" s="98"/>
      <c r="AD82" s="98"/>
      <c r="AE82" s="98"/>
    </row>
    <row r="83">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c r="AE83" s="98"/>
    </row>
    <row r="84">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c r="AE84" s="98"/>
    </row>
    <row r="85">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c r="AA85" s="98"/>
      <c r="AB85" s="98"/>
      <c r="AC85" s="98"/>
      <c r="AD85" s="98"/>
      <c r="AE85" s="98"/>
    </row>
    <row r="86">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c r="AA86" s="98"/>
      <c r="AB86" s="98"/>
      <c r="AC86" s="98"/>
      <c r="AD86" s="98"/>
      <c r="AE86" s="98"/>
    </row>
    <row r="87">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c r="AA87" s="98"/>
      <c r="AB87" s="98"/>
      <c r="AC87" s="98"/>
      <c r="AD87" s="98"/>
      <c r="AE87" s="98"/>
    </row>
    <row r="88">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c r="AA88" s="98"/>
      <c r="AB88" s="98"/>
      <c r="AC88" s="98"/>
      <c r="AD88" s="98"/>
      <c r="AE88" s="98"/>
    </row>
    <row r="89">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c r="AA89" s="98"/>
      <c r="AB89" s="98"/>
      <c r="AC89" s="98"/>
      <c r="AD89" s="98"/>
      <c r="AE89" s="98"/>
    </row>
    <row r="90">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c r="AA90" s="98"/>
      <c r="AB90" s="98"/>
      <c r="AC90" s="98"/>
      <c r="AD90" s="98"/>
      <c r="AE90" s="98"/>
    </row>
    <row r="91">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c r="AA91" s="98"/>
      <c r="AB91" s="98"/>
      <c r="AC91" s="98"/>
      <c r="AD91" s="98"/>
      <c r="AE91" s="98"/>
    </row>
    <row r="92">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c r="AA92" s="98"/>
      <c r="AB92" s="98"/>
      <c r="AC92" s="98"/>
      <c r="AD92" s="98"/>
      <c r="AE92" s="98"/>
    </row>
    <row r="93">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c r="AA93" s="98"/>
      <c r="AB93" s="98"/>
      <c r="AC93" s="98"/>
      <c r="AD93" s="98"/>
      <c r="AE93" s="98"/>
    </row>
    <row r="94">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c r="AA94" s="98"/>
      <c r="AB94" s="98"/>
      <c r="AC94" s="98"/>
      <c r="AD94" s="98"/>
      <c r="AE94" s="98"/>
    </row>
    <row r="95">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c r="AA95" s="98"/>
      <c r="AB95" s="98"/>
      <c r="AC95" s="98"/>
      <c r="AD95" s="98"/>
      <c r="AE95" s="98"/>
    </row>
    <row r="96">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c r="AA96" s="98"/>
      <c r="AB96" s="98"/>
      <c r="AC96" s="98"/>
      <c r="AD96" s="98"/>
      <c r="AE96" s="98"/>
    </row>
    <row r="97">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c r="AA97" s="98"/>
      <c r="AB97" s="98"/>
      <c r="AC97" s="98"/>
      <c r="AD97" s="98"/>
      <c r="AE97" s="98"/>
    </row>
    <row r="98">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c r="AA98" s="98"/>
      <c r="AB98" s="98"/>
      <c r="AC98" s="98"/>
      <c r="AD98" s="98"/>
      <c r="AE98" s="98"/>
    </row>
    <row r="99">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c r="AA99" s="98"/>
      <c r="AB99" s="98"/>
      <c r="AC99" s="98"/>
      <c r="AD99" s="98"/>
      <c r="AE99" s="98"/>
    </row>
    <row r="100">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c r="AA100" s="98"/>
      <c r="AB100" s="98"/>
      <c r="AC100" s="98"/>
      <c r="AD100" s="98"/>
      <c r="AE100" s="98"/>
    </row>
    <row r="10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c r="AA101" s="98"/>
      <c r="AB101" s="98"/>
      <c r="AC101" s="98"/>
      <c r="AD101" s="98"/>
      <c r="AE101" s="98"/>
    </row>
    <row r="102">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c r="AA102" s="98"/>
      <c r="AB102" s="98"/>
      <c r="AC102" s="98"/>
      <c r="AD102" s="98"/>
      <c r="AE102" s="98"/>
    </row>
    <row r="103">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c r="AA103" s="98"/>
      <c r="AB103" s="98"/>
      <c r="AC103" s="98"/>
      <c r="AD103" s="98"/>
      <c r="AE103" s="98"/>
    </row>
    <row r="104">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c r="AA104" s="98"/>
      <c r="AB104" s="98"/>
      <c r="AC104" s="98"/>
      <c r="AD104" s="98"/>
      <c r="AE104" s="98"/>
    </row>
    <row r="105">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c r="AA105" s="98"/>
      <c r="AB105" s="98"/>
      <c r="AC105" s="98"/>
      <c r="AD105" s="98"/>
      <c r="AE105" s="98"/>
    </row>
    <row r="106">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c r="AA106" s="98"/>
      <c r="AB106" s="98"/>
      <c r="AC106" s="98"/>
      <c r="AD106" s="98"/>
      <c r="AE106" s="98"/>
    </row>
    <row r="107">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c r="AE107" s="98"/>
    </row>
    <row r="108">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c r="AE108" s="98"/>
    </row>
    <row r="109">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c r="AE109" s="98"/>
    </row>
    <row r="110">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c r="AE110" s="98"/>
    </row>
    <row r="11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c r="AE111" s="98"/>
    </row>
    <row r="112">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c r="AA112" s="98"/>
      <c r="AB112" s="98"/>
      <c r="AC112" s="98"/>
      <c r="AD112" s="98"/>
      <c r="AE112" s="98"/>
    </row>
    <row r="113">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c r="AA113" s="98"/>
      <c r="AB113" s="98"/>
      <c r="AC113" s="98"/>
      <c r="AD113" s="98"/>
      <c r="AE113" s="98"/>
    </row>
    <row r="114">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c r="AA114" s="98"/>
      <c r="AB114" s="98"/>
      <c r="AC114" s="98"/>
      <c r="AD114" s="98"/>
      <c r="AE114" s="98"/>
    </row>
    <row r="115">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c r="AA115" s="98"/>
      <c r="AB115" s="98"/>
      <c r="AC115" s="98"/>
      <c r="AD115" s="98"/>
      <c r="AE115" s="98"/>
    </row>
    <row r="116">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c r="AA116" s="98"/>
      <c r="AB116" s="98"/>
      <c r="AC116" s="98"/>
      <c r="AD116" s="98"/>
      <c r="AE116" s="98"/>
    </row>
    <row r="117">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c r="AA117" s="98"/>
      <c r="AB117" s="98"/>
      <c r="AC117" s="98"/>
      <c r="AD117" s="98"/>
      <c r="AE117" s="98"/>
    </row>
    <row r="118">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c r="AA118" s="98"/>
      <c r="AB118" s="98"/>
      <c r="AC118" s="98"/>
      <c r="AD118" s="98"/>
      <c r="AE118" s="98"/>
    </row>
    <row r="119">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c r="AA119" s="98"/>
      <c r="AB119" s="98"/>
      <c r="AC119" s="98"/>
      <c r="AD119" s="98"/>
      <c r="AE119" s="98"/>
    </row>
    <row r="120">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c r="AA120" s="98"/>
      <c r="AB120" s="98"/>
      <c r="AC120" s="98"/>
      <c r="AD120" s="98"/>
      <c r="AE120" s="98"/>
    </row>
    <row r="12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c r="AA121" s="98"/>
      <c r="AB121" s="98"/>
      <c r="AC121" s="98"/>
      <c r="AD121" s="98"/>
      <c r="AE121" s="98"/>
    </row>
    <row r="122">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c r="AA122" s="98"/>
      <c r="AB122" s="98"/>
      <c r="AC122" s="98"/>
      <c r="AD122" s="98"/>
      <c r="AE122" s="98"/>
    </row>
    <row r="123">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c r="AA123" s="98"/>
      <c r="AB123" s="98"/>
      <c r="AC123" s="98"/>
      <c r="AD123" s="98"/>
      <c r="AE123" s="98"/>
    </row>
    <row r="124">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c r="AA124" s="98"/>
      <c r="AB124" s="98"/>
      <c r="AC124" s="98"/>
      <c r="AD124" s="98"/>
      <c r="AE124" s="98"/>
    </row>
    <row r="125">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c r="AA125" s="98"/>
      <c r="AB125" s="98"/>
      <c r="AC125" s="98"/>
      <c r="AD125" s="98"/>
      <c r="AE125" s="98"/>
    </row>
    <row r="126">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c r="AA126" s="98"/>
      <c r="AB126" s="98"/>
      <c r="AC126" s="98"/>
      <c r="AD126" s="98"/>
      <c r="AE126" s="98"/>
    </row>
    <row r="127">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c r="AA127" s="98"/>
      <c r="AB127" s="98"/>
      <c r="AC127" s="98"/>
      <c r="AD127" s="98"/>
      <c r="AE127" s="98"/>
    </row>
    <row r="128">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c r="AA128" s="98"/>
      <c r="AB128" s="98"/>
      <c r="AC128" s="98"/>
      <c r="AD128" s="98"/>
      <c r="AE128" s="98"/>
    </row>
    <row r="129">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c r="AA129" s="98"/>
      <c r="AB129" s="98"/>
      <c r="AC129" s="98"/>
      <c r="AD129" s="98"/>
      <c r="AE129" s="98"/>
    </row>
    <row r="130">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c r="AA130" s="98"/>
      <c r="AB130" s="98"/>
      <c r="AC130" s="98"/>
      <c r="AD130" s="98"/>
      <c r="AE130" s="98"/>
    </row>
    <row r="13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c r="AA131" s="98"/>
      <c r="AB131" s="98"/>
      <c r="AC131" s="98"/>
      <c r="AD131" s="98"/>
      <c r="AE131" s="98"/>
    </row>
    <row r="132">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c r="AA132" s="98"/>
      <c r="AB132" s="98"/>
      <c r="AC132" s="98"/>
      <c r="AD132" s="98"/>
      <c r="AE132" s="98"/>
    </row>
    <row r="133">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c r="AA133" s="98"/>
      <c r="AB133" s="98"/>
      <c r="AC133" s="98"/>
      <c r="AD133" s="98"/>
      <c r="AE133" s="98"/>
    </row>
    <row r="134">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c r="AA134" s="98"/>
      <c r="AB134" s="98"/>
      <c r="AC134" s="98"/>
      <c r="AD134" s="98"/>
      <c r="AE134" s="98"/>
    </row>
    <row r="135">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c r="AA135" s="98"/>
      <c r="AB135" s="98"/>
      <c r="AC135" s="98"/>
      <c r="AD135" s="98"/>
      <c r="AE135" s="98"/>
    </row>
    <row r="136">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c r="AA136" s="98"/>
      <c r="AB136" s="98"/>
      <c r="AC136" s="98"/>
      <c r="AD136" s="98"/>
      <c r="AE136" s="98"/>
    </row>
    <row r="137">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c r="AA137" s="98"/>
      <c r="AB137" s="98"/>
      <c r="AC137" s="98"/>
      <c r="AD137" s="98"/>
      <c r="AE137" s="98"/>
    </row>
    <row r="138">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c r="AA138" s="98"/>
      <c r="AB138" s="98"/>
      <c r="AC138" s="98"/>
      <c r="AD138" s="98"/>
      <c r="AE138" s="98"/>
    </row>
    <row r="139">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c r="AA139" s="98"/>
      <c r="AB139" s="98"/>
      <c r="AC139" s="98"/>
      <c r="AD139" s="98"/>
      <c r="AE139" s="98"/>
    </row>
    <row r="140">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c r="AA140" s="98"/>
      <c r="AB140" s="98"/>
      <c r="AC140" s="98"/>
      <c r="AD140" s="98"/>
      <c r="AE140" s="98"/>
    </row>
    <row r="14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c r="AA141" s="98"/>
      <c r="AB141" s="98"/>
      <c r="AC141" s="98"/>
      <c r="AD141" s="98"/>
      <c r="AE141" s="98"/>
    </row>
    <row r="142">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c r="AA142" s="98"/>
      <c r="AB142" s="98"/>
      <c r="AC142" s="98"/>
      <c r="AD142" s="98"/>
      <c r="AE142" s="98"/>
    </row>
    <row r="143">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c r="AA143" s="98"/>
      <c r="AB143" s="98"/>
      <c r="AC143" s="98"/>
      <c r="AD143" s="98"/>
      <c r="AE143" s="98"/>
    </row>
    <row r="144">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c r="AA144" s="98"/>
      <c r="AB144" s="98"/>
      <c r="AC144" s="98"/>
      <c r="AD144" s="98"/>
      <c r="AE144" s="98"/>
    </row>
    <row r="145">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c r="AA145" s="98"/>
      <c r="AB145" s="98"/>
      <c r="AC145" s="98"/>
      <c r="AD145" s="98"/>
      <c r="AE145" s="98"/>
    </row>
    <row r="146">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c r="AA146" s="98"/>
      <c r="AB146" s="98"/>
      <c r="AC146" s="98"/>
      <c r="AD146" s="98"/>
      <c r="AE146" s="98"/>
    </row>
    <row r="147">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c r="AA147" s="98"/>
      <c r="AB147" s="98"/>
      <c r="AC147" s="98"/>
      <c r="AD147" s="98"/>
      <c r="AE147" s="98"/>
    </row>
    <row r="148">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c r="AA148" s="98"/>
      <c r="AB148" s="98"/>
      <c r="AC148" s="98"/>
      <c r="AD148" s="98"/>
      <c r="AE148" s="98"/>
    </row>
    <row r="149">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c r="AA149" s="98"/>
      <c r="AB149" s="98"/>
      <c r="AC149" s="98"/>
      <c r="AD149" s="98"/>
      <c r="AE149" s="98"/>
    </row>
    <row r="150">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c r="AA150" s="98"/>
      <c r="AB150" s="98"/>
      <c r="AC150" s="98"/>
      <c r="AD150" s="98"/>
      <c r="AE150" s="98"/>
    </row>
    <row r="15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c r="AA151" s="98"/>
      <c r="AB151" s="98"/>
      <c r="AC151" s="98"/>
      <c r="AD151" s="98"/>
      <c r="AE151" s="98"/>
    </row>
    <row r="152">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c r="AA152" s="98"/>
      <c r="AB152" s="98"/>
      <c r="AC152" s="98"/>
      <c r="AD152" s="98"/>
      <c r="AE152" s="98"/>
    </row>
    <row r="153">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c r="AA153" s="98"/>
      <c r="AB153" s="98"/>
      <c r="AC153" s="98"/>
      <c r="AD153" s="98"/>
      <c r="AE153" s="98"/>
    </row>
    <row r="154">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row>
    <row r="155">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row>
    <row r="156">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c r="AA156" s="98"/>
      <c r="AB156" s="98"/>
      <c r="AC156" s="98"/>
      <c r="AD156" s="98"/>
      <c r="AE156" s="98"/>
    </row>
    <row r="157">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c r="AA157" s="98"/>
      <c r="AB157" s="98"/>
      <c r="AC157" s="98"/>
      <c r="AD157" s="98"/>
      <c r="AE157" s="98"/>
    </row>
    <row r="158">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c r="AA158" s="98"/>
      <c r="AB158" s="98"/>
      <c r="AC158" s="98"/>
      <c r="AD158" s="98"/>
      <c r="AE158" s="98"/>
    </row>
    <row r="159">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c r="AA159" s="98"/>
      <c r="AB159" s="98"/>
      <c r="AC159" s="98"/>
      <c r="AD159" s="98"/>
      <c r="AE159" s="98"/>
    </row>
    <row r="160">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c r="AA160" s="98"/>
      <c r="AB160" s="98"/>
      <c r="AC160" s="98"/>
      <c r="AD160" s="98"/>
      <c r="AE160" s="98"/>
    </row>
    <row r="16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c r="AA161" s="98"/>
      <c r="AB161" s="98"/>
      <c r="AC161" s="98"/>
      <c r="AD161" s="98"/>
      <c r="AE161" s="98"/>
    </row>
    <row r="162">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c r="AA162" s="98"/>
      <c r="AB162" s="98"/>
      <c r="AC162" s="98"/>
      <c r="AD162" s="98"/>
      <c r="AE162" s="98"/>
    </row>
    <row r="163">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c r="AA163" s="98"/>
      <c r="AB163" s="98"/>
      <c r="AC163" s="98"/>
      <c r="AD163" s="98"/>
      <c r="AE163" s="98"/>
    </row>
    <row r="164">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c r="AA164" s="98"/>
      <c r="AB164" s="98"/>
      <c r="AC164" s="98"/>
      <c r="AD164" s="98"/>
      <c r="AE164" s="98"/>
    </row>
    <row r="165">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c r="AA165" s="98"/>
      <c r="AB165" s="98"/>
      <c r="AC165" s="98"/>
      <c r="AD165" s="98"/>
      <c r="AE165" s="98"/>
    </row>
    <row r="166">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c r="AA166" s="98"/>
      <c r="AB166" s="98"/>
      <c r="AC166" s="98"/>
      <c r="AD166" s="98"/>
      <c r="AE166" s="98"/>
    </row>
    <row r="167">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c r="AA167" s="98"/>
      <c r="AB167" s="98"/>
      <c r="AC167" s="98"/>
      <c r="AD167" s="98"/>
      <c r="AE167" s="98"/>
    </row>
    <row r="168">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c r="AA168" s="98"/>
      <c r="AB168" s="98"/>
      <c r="AC168" s="98"/>
      <c r="AD168" s="98"/>
      <c r="AE168" s="98"/>
    </row>
    <row r="169">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c r="AA169" s="98"/>
      <c r="AB169" s="98"/>
      <c r="AC169" s="98"/>
      <c r="AD169" s="98"/>
      <c r="AE169" s="98"/>
    </row>
    <row r="170">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c r="AA170" s="98"/>
      <c r="AB170" s="98"/>
      <c r="AC170" s="98"/>
      <c r="AD170" s="98"/>
      <c r="AE170" s="98"/>
    </row>
    <row r="17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c r="AA171" s="98"/>
      <c r="AB171" s="98"/>
      <c r="AC171" s="98"/>
      <c r="AD171" s="98"/>
      <c r="AE171" s="98"/>
    </row>
    <row r="172">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c r="AA172" s="98"/>
      <c r="AB172" s="98"/>
      <c r="AC172" s="98"/>
      <c r="AD172" s="98"/>
      <c r="AE172" s="98"/>
    </row>
    <row r="173">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c r="AA173" s="98"/>
      <c r="AB173" s="98"/>
      <c r="AC173" s="98"/>
      <c r="AD173" s="98"/>
      <c r="AE173" s="98"/>
    </row>
    <row r="174">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c r="AA174" s="98"/>
      <c r="AB174" s="98"/>
      <c r="AC174" s="98"/>
      <c r="AD174" s="98"/>
      <c r="AE174" s="98"/>
    </row>
    <row r="175">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c r="AA175" s="98"/>
      <c r="AB175" s="98"/>
      <c r="AC175" s="98"/>
      <c r="AD175" s="98"/>
      <c r="AE175" s="98"/>
    </row>
    <row r="176">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c r="AA176" s="98"/>
      <c r="AB176" s="98"/>
      <c r="AC176" s="98"/>
      <c r="AD176" s="98"/>
      <c r="AE176" s="98"/>
    </row>
    <row r="177">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c r="AA177" s="98"/>
      <c r="AB177" s="98"/>
      <c r="AC177" s="98"/>
      <c r="AD177" s="98"/>
      <c r="AE177" s="98"/>
    </row>
    <row r="178">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c r="AA178" s="98"/>
      <c r="AB178" s="98"/>
      <c r="AC178" s="98"/>
      <c r="AD178" s="98"/>
      <c r="AE178" s="98"/>
    </row>
    <row r="179">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row>
    <row r="180">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row>
    <row r="18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c r="AA181" s="98"/>
      <c r="AB181" s="98"/>
      <c r="AC181" s="98"/>
      <c r="AD181" s="98"/>
      <c r="AE181" s="98"/>
    </row>
    <row r="182">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c r="AA182" s="98"/>
      <c r="AB182" s="98"/>
      <c r="AC182" s="98"/>
      <c r="AD182" s="98"/>
      <c r="AE182" s="98"/>
    </row>
    <row r="183">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c r="AA183" s="98"/>
      <c r="AB183" s="98"/>
      <c r="AC183" s="98"/>
      <c r="AD183" s="98"/>
      <c r="AE183" s="98"/>
    </row>
    <row r="184">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c r="AA184" s="98"/>
      <c r="AB184" s="98"/>
      <c r="AC184" s="98"/>
      <c r="AD184" s="98"/>
      <c r="AE184" s="98"/>
    </row>
    <row r="185">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c r="AA185" s="98"/>
      <c r="AB185" s="98"/>
      <c r="AC185" s="98"/>
      <c r="AD185" s="98"/>
      <c r="AE185" s="98"/>
    </row>
    <row r="186">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c r="AA186" s="98"/>
      <c r="AB186" s="98"/>
      <c r="AC186" s="98"/>
      <c r="AD186" s="98"/>
      <c r="AE186" s="98"/>
    </row>
    <row r="187">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c r="AA187" s="98"/>
      <c r="AB187" s="98"/>
      <c r="AC187" s="98"/>
      <c r="AD187" s="98"/>
      <c r="AE187" s="98"/>
    </row>
    <row r="188">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c r="AA188" s="98"/>
      <c r="AB188" s="98"/>
      <c r="AC188" s="98"/>
      <c r="AD188" s="98"/>
      <c r="AE188" s="98"/>
    </row>
    <row r="189">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c r="AA189" s="98"/>
      <c r="AB189" s="98"/>
      <c r="AC189" s="98"/>
      <c r="AD189" s="98"/>
      <c r="AE189" s="98"/>
    </row>
    <row r="190">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c r="AA190" s="98"/>
      <c r="AB190" s="98"/>
      <c r="AC190" s="98"/>
      <c r="AD190" s="98"/>
      <c r="AE190" s="98"/>
    </row>
    <row r="19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c r="AA191" s="98"/>
      <c r="AB191" s="98"/>
      <c r="AC191" s="98"/>
      <c r="AD191" s="98"/>
      <c r="AE191" s="98"/>
    </row>
    <row r="192">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c r="AA192" s="98"/>
      <c r="AB192" s="98"/>
      <c r="AC192" s="98"/>
      <c r="AD192" s="98"/>
      <c r="AE192" s="98"/>
    </row>
    <row r="193">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c r="AA193" s="98"/>
      <c r="AB193" s="98"/>
      <c r="AC193" s="98"/>
      <c r="AD193" s="98"/>
      <c r="AE193" s="98"/>
    </row>
    <row r="194">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c r="AA194" s="98"/>
      <c r="AB194" s="98"/>
      <c r="AC194" s="98"/>
      <c r="AD194" s="98"/>
      <c r="AE194" s="98"/>
    </row>
    <row r="195">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c r="AA195" s="98"/>
      <c r="AB195" s="98"/>
      <c r="AC195" s="98"/>
      <c r="AD195" s="98"/>
      <c r="AE195" s="98"/>
    </row>
    <row r="196">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c r="AA196" s="98"/>
      <c r="AB196" s="98"/>
      <c r="AC196" s="98"/>
      <c r="AD196" s="98"/>
      <c r="AE196" s="98"/>
    </row>
    <row r="197">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c r="AA197" s="98"/>
      <c r="AB197" s="98"/>
      <c r="AC197" s="98"/>
      <c r="AD197" s="98"/>
      <c r="AE197" s="98"/>
    </row>
    <row r="198">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c r="AA198" s="98"/>
      <c r="AB198" s="98"/>
      <c r="AC198" s="98"/>
      <c r="AD198" s="98"/>
      <c r="AE198" s="98"/>
    </row>
    <row r="199">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c r="AA199" s="98"/>
      <c r="AB199" s="98"/>
      <c r="AC199" s="98"/>
      <c r="AD199" s="98"/>
      <c r="AE199" s="98"/>
    </row>
    <row r="200">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c r="AA200" s="98"/>
      <c r="AB200" s="98"/>
      <c r="AC200" s="98"/>
      <c r="AD200" s="98"/>
      <c r="AE200" s="98"/>
    </row>
    <row r="20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c r="AA201" s="98"/>
      <c r="AB201" s="98"/>
      <c r="AC201" s="98"/>
      <c r="AD201" s="98"/>
      <c r="AE201" s="98"/>
    </row>
    <row r="202">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c r="AA202" s="98"/>
      <c r="AB202" s="98"/>
      <c r="AC202" s="98"/>
      <c r="AD202" s="98"/>
      <c r="AE202" s="98"/>
    </row>
    <row r="203">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c r="AA203" s="98"/>
      <c r="AB203" s="98"/>
      <c r="AC203" s="98"/>
      <c r="AD203" s="98"/>
      <c r="AE203" s="98"/>
    </row>
    <row r="204">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row>
    <row r="205">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c r="AA205" s="98"/>
      <c r="AB205" s="98"/>
      <c r="AC205" s="98"/>
      <c r="AD205" s="98"/>
      <c r="AE205" s="98"/>
    </row>
    <row r="206">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row>
    <row r="207">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c r="AA207" s="98"/>
      <c r="AB207" s="98"/>
      <c r="AC207" s="98"/>
      <c r="AD207" s="98"/>
      <c r="AE207" s="98"/>
    </row>
    <row r="208">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c r="AA208" s="98"/>
      <c r="AB208" s="98"/>
      <c r="AC208" s="98"/>
      <c r="AD208" s="98"/>
      <c r="AE208" s="98"/>
    </row>
    <row r="209">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c r="AA209" s="98"/>
      <c r="AB209" s="98"/>
      <c r="AC209" s="98"/>
      <c r="AD209" s="98"/>
      <c r="AE209" s="98"/>
    </row>
    <row r="210">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c r="AA210" s="98"/>
      <c r="AB210" s="98"/>
      <c r="AC210" s="98"/>
      <c r="AD210" s="98"/>
      <c r="AE210" s="98"/>
    </row>
    <row r="21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c r="AA211" s="98"/>
      <c r="AB211" s="98"/>
      <c r="AC211" s="98"/>
      <c r="AD211" s="98"/>
      <c r="AE211" s="98"/>
    </row>
    <row r="212">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c r="AA212" s="98"/>
      <c r="AB212" s="98"/>
      <c r="AC212" s="98"/>
      <c r="AD212" s="98"/>
      <c r="AE212" s="98"/>
    </row>
    <row r="213">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c r="AA213" s="98"/>
      <c r="AB213" s="98"/>
      <c r="AC213" s="98"/>
      <c r="AD213" s="98"/>
      <c r="AE213" s="98"/>
    </row>
    <row r="214">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c r="AA214" s="98"/>
      <c r="AB214" s="98"/>
      <c r="AC214" s="98"/>
      <c r="AD214" s="98"/>
      <c r="AE214" s="98"/>
    </row>
    <row r="215">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c r="AA215" s="98"/>
      <c r="AB215" s="98"/>
      <c r="AC215" s="98"/>
      <c r="AD215" s="98"/>
      <c r="AE215" s="98"/>
    </row>
    <row r="216">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c r="AA216" s="98"/>
      <c r="AB216" s="98"/>
      <c r="AC216" s="98"/>
      <c r="AD216" s="98"/>
      <c r="AE216" s="98"/>
    </row>
    <row r="217">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c r="AA217" s="98"/>
      <c r="AB217" s="98"/>
      <c r="AC217" s="98"/>
      <c r="AD217" s="98"/>
      <c r="AE217" s="98"/>
    </row>
    <row r="218">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c r="AA218" s="98"/>
      <c r="AB218" s="98"/>
      <c r="AC218" s="98"/>
      <c r="AD218" s="98"/>
      <c r="AE218" s="98"/>
    </row>
    <row r="219">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c r="AA219" s="98"/>
      <c r="AB219" s="98"/>
      <c r="AC219" s="98"/>
      <c r="AD219" s="98"/>
      <c r="AE219" s="98"/>
    </row>
    <row r="220">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c r="AA220" s="98"/>
      <c r="AB220" s="98"/>
      <c r="AC220" s="98"/>
      <c r="AD220" s="98"/>
      <c r="AE220" s="98"/>
    </row>
    <row r="22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c r="AA221" s="98"/>
      <c r="AB221" s="98"/>
      <c r="AC221" s="98"/>
      <c r="AD221" s="98"/>
      <c r="AE221" s="98"/>
    </row>
    <row r="222">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c r="AA222" s="98"/>
      <c r="AB222" s="98"/>
      <c r="AC222" s="98"/>
      <c r="AD222" s="98"/>
      <c r="AE222" s="98"/>
    </row>
    <row r="223">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c r="AA223" s="98"/>
      <c r="AB223" s="98"/>
      <c r="AC223" s="98"/>
      <c r="AD223" s="98"/>
      <c r="AE223" s="98"/>
    </row>
    <row r="224">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c r="AA224" s="98"/>
      <c r="AB224" s="98"/>
      <c r="AC224" s="98"/>
      <c r="AD224" s="98"/>
      <c r="AE224" s="98"/>
    </row>
    <row r="225">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c r="AA225" s="98"/>
      <c r="AB225" s="98"/>
      <c r="AC225" s="98"/>
      <c r="AD225" s="98"/>
      <c r="AE225" s="98"/>
    </row>
    <row r="226">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c r="AA226" s="98"/>
      <c r="AB226" s="98"/>
      <c r="AC226" s="98"/>
      <c r="AD226" s="98"/>
      <c r="AE226" s="98"/>
    </row>
    <row r="227">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c r="AA227" s="98"/>
      <c r="AB227" s="98"/>
      <c r="AC227" s="98"/>
      <c r="AD227" s="98"/>
      <c r="AE227" s="98"/>
    </row>
    <row r="228">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c r="AA228" s="98"/>
      <c r="AB228" s="98"/>
      <c r="AC228" s="98"/>
      <c r="AD228" s="98"/>
      <c r="AE228" s="98"/>
    </row>
    <row r="229">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row>
    <row r="230">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c r="AA230" s="98"/>
      <c r="AB230" s="98"/>
      <c r="AC230" s="98"/>
      <c r="AD230" s="98"/>
      <c r="AE230" s="98"/>
    </row>
    <row r="23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c r="AA231" s="98"/>
      <c r="AB231" s="98"/>
      <c r="AC231" s="98"/>
      <c r="AD231" s="98"/>
      <c r="AE231" s="98"/>
    </row>
    <row r="232">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c r="AA232" s="98"/>
      <c r="AB232" s="98"/>
      <c r="AC232" s="98"/>
      <c r="AD232" s="98"/>
      <c r="AE232" s="98"/>
    </row>
    <row r="233">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c r="AA233" s="98"/>
      <c r="AB233" s="98"/>
      <c r="AC233" s="98"/>
      <c r="AD233" s="98"/>
      <c r="AE233" s="98"/>
    </row>
    <row r="234">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c r="AA234" s="98"/>
      <c r="AB234" s="98"/>
      <c r="AC234" s="98"/>
      <c r="AD234" s="98"/>
      <c r="AE234" s="98"/>
    </row>
    <row r="235">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c r="AA235" s="98"/>
      <c r="AB235" s="98"/>
      <c r="AC235" s="98"/>
      <c r="AD235" s="98"/>
      <c r="AE235" s="98"/>
    </row>
    <row r="236">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c r="AA236" s="98"/>
      <c r="AB236" s="98"/>
      <c r="AC236" s="98"/>
      <c r="AD236" s="98"/>
      <c r="AE236" s="98"/>
    </row>
    <row r="237">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c r="AA237" s="98"/>
      <c r="AB237" s="98"/>
      <c r="AC237" s="98"/>
      <c r="AD237" s="98"/>
      <c r="AE237" s="98"/>
    </row>
    <row r="238">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c r="AA238" s="98"/>
      <c r="AB238" s="98"/>
      <c r="AC238" s="98"/>
      <c r="AD238" s="98"/>
      <c r="AE238" s="98"/>
    </row>
    <row r="239">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c r="AA239" s="98"/>
      <c r="AB239" s="98"/>
      <c r="AC239" s="98"/>
      <c r="AD239" s="98"/>
      <c r="AE239" s="98"/>
    </row>
    <row r="240">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c r="AA240" s="98"/>
      <c r="AB240" s="98"/>
      <c r="AC240" s="98"/>
      <c r="AD240" s="98"/>
      <c r="AE240" s="98"/>
    </row>
    <row r="24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c r="AA241" s="98"/>
      <c r="AB241" s="98"/>
      <c r="AC241" s="98"/>
      <c r="AD241" s="98"/>
      <c r="AE241" s="98"/>
    </row>
    <row r="242">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c r="AA242" s="98"/>
      <c r="AB242" s="98"/>
      <c r="AC242" s="98"/>
      <c r="AD242" s="98"/>
      <c r="AE242" s="98"/>
    </row>
    <row r="243">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c r="AA243" s="98"/>
      <c r="AB243" s="98"/>
      <c r="AC243" s="98"/>
      <c r="AD243" s="98"/>
      <c r="AE243" s="98"/>
    </row>
    <row r="244">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c r="AA244" s="98"/>
      <c r="AB244" s="98"/>
      <c r="AC244" s="98"/>
      <c r="AD244" s="98"/>
      <c r="AE244" s="98"/>
    </row>
    <row r="245">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c r="AA245" s="98"/>
      <c r="AB245" s="98"/>
      <c r="AC245" s="98"/>
      <c r="AD245" s="98"/>
      <c r="AE245" s="98"/>
    </row>
    <row r="246">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c r="AA246" s="98"/>
      <c r="AB246" s="98"/>
      <c r="AC246" s="98"/>
      <c r="AD246" s="98"/>
      <c r="AE246" s="98"/>
    </row>
    <row r="247">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c r="AA247" s="98"/>
      <c r="AB247" s="98"/>
      <c r="AC247" s="98"/>
      <c r="AD247" s="98"/>
      <c r="AE247" s="98"/>
    </row>
    <row r="248">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c r="AA248" s="98"/>
      <c r="AB248" s="98"/>
      <c r="AC248" s="98"/>
      <c r="AD248" s="98"/>
      <c r="AE248" s="98"/>
    </row>
    <row r="249">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c r="AA249" s="98"/>
      <c r="AB249" s="98"/>
      <c r="AC249" s="98"/>
      <c r="AD249" s="98"/>
      <c r="AE249" s="98"/>
    </row>
    <row r="250">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c r="AA250" s="98"/>
      <c r="AB250" s="98"/>
      <c r="AC250" s="98"/>
      <c r="AD250" s="98"/>
      <c r="AE250" s="98"/>
    </row>
    <row r="25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c r="AA251" s="98"/>
      <c r="AB251" s="98"/>
      <c r="AC251" s="98"/>
      <c r="AD251" s="98"/>
      <c r="AE251" s="98"/>
    </row>
    <row r="252">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c r="AA252" s="98"/>
      <c r="AB252" s="98"/>
      <c r="AC252" s="98"/>
      <c r="AD252" s="98"/>
      <c r="AE252" s="98"/>
    </row>
    <row r="253">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c r="AA253" s="98"/>
      <c r="AB253" s="98"/>
      <c r="AC253" s="98"/>
      <c r="AD253" s="98"/>
      <c r="AE253" s="98"/>
    </row>
    <row r="254">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c r="AA254" s="98"/>
      <c r="AB254" s="98"/>
      <c r="AC254" s="98"/>
      <c r="AD254" s="98"/>
      <c r="AE254" s="98"/>
    </row>
    <row r="255">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c r="AA255" s="98"/>
      <c r="AB255" s="98"/>
      <c r="AC255" s="98"/>
      <c r="AD255" s="98"/>
      <c r="AE255" s="98"/>
    </row>
    <row r="256">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c r="AA256" s="98"/>
      <c r="AB256" s="98"/>
      <c r="AC256" s="98"/>
      <c r="AD256" s="98"/>
      <c r="AE256" s="98"/>
    </row>
    <row r="257">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c r="AA257" s="98"/>
      <c r="AB257" s="98"/>
      <c r="AC257" s="98"/>
      <c r="AD257" s="98"/>
      <c r="AE257" s="98"/>
    </row>
    <row r="258">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c r="AA258" s="98"/>
      <c r="AB258" s="98"/>
      <c r="AC258" s="98"/>
      <c r="AD258" s="98"/>
      <c r="AE258" s="98"/>
    </row>
    <row r="259">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c r="AA259" s="98"/>
      <c r="AB259" s="98"/>
      <c r="AC259" s="98"/>
      <c r="AD259" s="98"/>
      <c r="AE259" s="98"/>
    </row>
    <row r="260">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c r="AA260" s="98"/>
      <c r="AB260" s="98"/>
      <c r="AC260" s="98"/>
      <c r="AD260" s="98"/>
      <c r="AE260" s="98"/>
    </row>
    <row r="26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c r="AA261" s="98"/>
      <c r="AB261" s="98"/>
      <c r="AC261" s="98"/>
      <c r="AD261" s="98"/>
      <c r="AE261" s="98"/>
    </row>
    <row r="262">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c r="AA262" s="98"/>
      <c r="AB262" s="98"/>
      <c r="AC262" s="98"/>
      <c r="AD262" s="98"/>
      <c r="AE262" s="98"/>
    </row>
    <row r="263">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c r="AA263" s="98"/>
      <c r="AB263" s="98"/>
      <c r="AC263" s="98"/>
      <c r="AD263" s="98"/>
      <c r="AE263" s="98"/>
    </row>
    <row r="264">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c r="AA264" s="98"/>
      <c r="AB264" s="98"/>
      <c r="AC264" s="98"/>
      <c r="AD264" s="98"/>
      <c r="AE264" s="98"/>
    </row>
    <row r="265">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c r="AA265" s="98"/>
      <c r="AB265" s="98"/>
      <c r="AC265" s="98"/>
      <c r="AD265" s="98"/>
      <c r="AE265" s="98"/>
    </row>
    <row r="266">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c r="AA266" s="98"/>
      <c r="AB266" s="98"/>
      <c r="AC266" s="98"/>
      <c r="AD266" s="98"/>
      <c r="AE266" s="98"/>
    </row>
    <row r="267">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c r="AA267" s="98"/>
      <c r="AB267" s="98"/>
      <c r="AC267" s="98"/>
      <c r="AD267" s="98"/>
      <c r="AE267" s="98"/>
    </row>
    <row r="268">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c r="AA268" s="98"/>
      <c r="AB268" s="98"/>
      <c r="AC268" s="98"/>
      <c r="AD268" s="98"/>
      <c r="AE268" s="98"/>
    </row>
    <row r="269">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c r="AA269" s="98"/>
      <c r="AB269" s="98"/>
      <c r="AC269" s="98"/>
      <c r="AD269" s="98"/>
      <c r="AE269" s="98"/>
    </row>
    <row r="270">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c r="AA270" s="98"/>
      <c r="AB270" s="98"/>
      <c r="AC270" s="98"/>
      <c r="AD270" s="98"/>
      <c r="AE270" s="98"/>
    </row>
    <row r="27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c r="AA271" s="98"/>
      <c r="AB271" s="98"/>
      <c r="AC271" s="98"/>
      <c r="AD271" s="98"/>
      <c r="AE271" s="98"/>
    </row>
    <row r="272">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c r="AA272" s="98"/>
      <c r="AB272" s="98"/>
      <c r="AC272" s="98"/>
      <c r="AD272" s="98"/>
      <c r="AE272" s="98"/>
    </row>
    <row r="273">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c r="AA273" s="98"/>
      <c r="AB273" s="98"/>
      <c r="AC273" s="98"/>
      <c r="AD273" s="98"/>
      <c r="AE273" s="98"/>
    </row>
    <row r="274">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c r="AA274" s="98"/>
      <c r="AB274" s="98"/>
      <c r="AC274" s="98"/>
      <c r="AD274" s="98"/>
      <c r="AE274" s="98"/>
    </row>
    <row r="275">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c r="AA275" s="98"/>
      <c r="AB275" s="98"/>
      <c r="AC275" s="98"/>
      <c r="AD275" s="98"/>
      <c r="AE275" s="98"/>
    </row>
    <row r="276">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c r="AA276" s="98"/>
      <c r="AB276" s="98"/>
      <c r="AC276" s="98"/>
      <c r="AD276" s="98"/>
      <c r="AE276" s="98"/>
    </row>
    <row r="277">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c r="AA277" s="98"/>
      <c r="AB277" s="98"/>
      <c r="AC277" s="98"/>
      <c r="AD277" s="98"/>
      <c r="AE277" s="98"/>
    </row>
    <row r="278">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c r="AA278" s="98"/>
      <c r="AB278" s="98"/>
      <c r="AC278" s="98"/>
      <c r="AD278" s="98"/>
      <c r="AE278" s="98"/>
    </row>
    <row r="279">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c r="AA279" s="98"/>
      <c r="AB279" s="98"/>
      <c r="AC279" s="98"/>
      <c r="AD279" s="98"/>
      <c r="AE279" s="98"/>
    </row>
    <row r="280">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c r="AA280" s="98"/>
      <c r="AB280" s="98"/>
      <c r="AC280" s="98"/>
      <c r="AD280" s="98"/>
      <c r="AE280" s="98"/>
    </row>
    <row r="28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c r="AA281" s="98"/>
      <c r="AB281" s="98"/>
      <c r="AC281" s="98"/>
      <c r="AD281" s="98"/>
      <c r="AE281" s="98"/>
    </row>
    <row r="282">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c r="AA282" s="98"/>
      <c r="AB282" s="98"/>
      <c r="AC282" s="98"/>
      <c r="AD282" s="98"/>
      <c r="AE282" s="98"/>
    </row>
    <row r="283">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c r="AA283" s="98"/>
      <c r="AB283" s="98"/>
      <c r="AC283" s="98"/>
      <c r="AD283" s="98"/>
      <c r="AE283" s="98"/>
    </row>
    <row r="284">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c r="AA284" s="98"/>
      <c r="AB284" s="98"/>
      <c r="AC284" s="98"/>
      <c r="AD284" s="98"/>
      <c r="AE284" s="98"/>
    </row>
    <row r="285">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c r="AA285" s="98"/>
      <c r="AB285" s="98"/>
      <c r="AC285" s="98"/>
      <c r="AD285" s="98"/>
      <c r="AE285" s="98"/>
    </row>
    <row r="286">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c r="AA286" s="98"/>
      <c r="AB286" s="98"/>
      <c r="AC286" s="98"/>
      <c r="AD286" s="98"/>
      <c r="AE286" s="98"/>
    </row>
    <row r="287">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c r="AA287" s="98"/>
      <c r="AB287" s="98"/>
      <c r="AC287" s="98"/>
      <c r="AD287" s="98"/>
      <c r="AE287" s="98"/>
    </row>
    <row r="288">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c r="AA288" s="98"/>
      <c r="AB288" s="98"/>
      <c r="AC288" s="98"/>
      <c r="AD288" s="98"/>
      <c r="AE288" s="98"/>
    </row>
    <row r="289">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c r="AA289" s="98"/>
      <c r="AB289" s="98"/>
      <c r="AC289" s="98"/>
      <c r="AD289" s="98"/>
      <c r="AE289" s="98"/>
    </row>
    <row r="290">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c r="AA290" s="98"/>
      <c r="AB290" s="98"/>
      <c r="AC290" s="98"/>
      <c r="AD290" s="98"/>
      <c r="AE290" s="98"/>
    </row>
    <row r="29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c r="AA291" s="98"/>
      <c r="AB291" s="98"/>
      <c r="AC291" s="98"/>
      <c r="AD291" s="98"/>
      <c r="AE291" s="98"/>
    </row>
    <row r="292">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c r="AA292" s="98"/>
      <c r="AB292" s="98"/>
      <c r="AC292" s="98"/>
      <c r="AD292" s="98"/>
      <c r="AE292" s="98"/>
    </row>
    <row r="293">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c r="AA293" s="98"/>
      <c r="AB293" s="98"/>
      <c r="AC293" s="98"/>
      <c r="AD293" s="98"/>
      <c r="AE293" s="98"/>
    </row>
    <row r="294">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c r="AA294" s="98"/>
      <c r="AB294" s="98"/>
      <c r="AC294" s="98"/>
      <c r="AD294" s="98"/>
      <c r="AE294" s="98"/>
    </row>
    <row r="295">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c r="AA295" s="98"/>
      <c r="AB295" s="98"/>
      <c r="AC295" s="98"/>
      <c r="AD295" s="98"/>
      <c r="AE295" s="98"/>
    </row>
    <row r="296">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c r="AA296" s="98"/>
      <c r="AB296" s="98"/>
      <c r="AC296" s="98"/>
      <c r="AD296" s="98"/>
      <c r="AE296" s="98"/>
    </row>
    <row r="297">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c r="AA297" s="98"/>
      <c r="AB297" s="98"/>
      <c r="AC297" s="98"/>
      <c r="AD297" s="98"/>
      <c r="AE297" s="98"/>
    </row>
    <row r="298">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c r="AA298" s="98"/>
      <c r="AB298" s="98"/>
      <c r="AC298" s="98"/>
      <c r="AD298" s="98"/>
      <c r="AE298" s="98"/>
    </row>
    <row r="299">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c r="AA299" s="98"/>
      <c r="AB299" s="98"/>
      <c r="AC299" s="98"/>
      <c r="AD299" s="98"/>
      <c r="AE299" s="98"/>
    </row>
    <row r="300">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c r="AA300" s="98"/>
      <c r="AB300" s="98"/>
      <c r="AC300" s="98"/>
      <c r="AD300" s="98"/>
      <c r="AE300" s="98"/>
    </row>
    <row r="30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c r="AA301" s="98"/>
      <c r="AB301" s="98"/>
      <c r="AC301" s="98"/>
      <c r="AD301" s="98"/>
      <c r="AE301" s="98"/>
    </row>
    <row r="302">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c r="AA302" s="98"/>
      <c r="AB302" s="98"/>
      <c r="AC302" s="98"/>
      <c r="AD302" s="98"/>
      <c r="AE302" s="98"/>
    </row>
    <row r="303">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c r="AA303" s="98"/>
      <c r="AB303" s="98"/>
      <c r="AC303" s="98"/>
      <c r="AD303" s="98"/>
      <c r="AE303" s="98"/>
    </row>
    <row r="304">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c r="AA304" s="98"/>
      <c r="AB304" s="98"/>
      <c r="AC304" s="98"/>
      <c r="AD304" s="98"/>
      <c r="AE304" s="98"/>
    </row>
    <row r="305">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c r="AA305" s="98"/>
      <c r="AB305" s="98"/>
      <c r="AC305" s="98"/>
      <c r="AD305" s="98"/>
      <c r="AE305" s="98"/>
    </row>
    <row r="306">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c r="AA306" s="98"/>
      <c r="AB306" s="98"/>
      <c r="AC306" s="98"/>
      <c r="AD306" s="98"/>
      <c r="AE306" s="98"/>
    </row>
    <row r="307">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c r="AA307" s="98"/>
      <c r="AB307" s="98"/>
      <c r="AC307" s="98"/>
      <c r="AD307" s="98"/>
      <c r="AE307" s="98"/>
    </row>
    <row r="308">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c r="AA308" s="98"/>
      <c r="AB308" s="98"/>
      <c r="AC308" s="98"/>
      <c r="AD308" s="98"/>
      <c r="AE308" s="98"/>
    </row>
    <row r="309">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c r="AA309" s="98"/>
      <c r="AB309" s="98"/>
      <c r="AC309" s="98"/>
      <c r="AD309" s="98"/>
      <c r="AE309" s="98"/>
    </row>
    <row r="310">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c r="AA310" s="98"/>
      <c r="AB310" s="98"/>
      <c r="AC310" s="98"/>
      <c r="AD310" s="98"/>
      <c r="AE310" s="98"/>
    </row>
    <row r="31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c r="AA311" s="98"/>
      <c r="AB311" s="98"/>
      <c r="AC311" s="98"/>
      <c r="AD311" s="98"/>
      <c r="AE311" s="98"/>
    </row>
    <row r="312">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c r="AA312" s="98"/>
      <c r="AB312" s="98"/>
      <c r="AC312" s="98"/>
      <c r="AD312" s="98"/>
      <c r="AE312" s="98"/>
    </row>
    <row r="313">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c r="AA313" s="98"/>
      <c r="AB313" s="98"/>
      <c r="AC313" s="98"/>
      <c r="AD313" s="98"/>
      <c r="AE313" s="98"/>
    </row>
    <row r="314">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c r="AA314" s="98"/>
      <c r="AB314" s="98"/>
      <c r="AC314" s="98"/>
      <c r="AD314" s="98"/>
      <c r="AE314" s="98"/>
    </row>
    <row r="315">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c r="AA315" s="98"/>
      <c r="AB315" s="98"/>
      <c r="AC315" s="98"/>
      <c r="AD315" s="98"/>
      <c r="AE315" s="98"/>
    </row>
    <row r="316">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c r="AA316" s="98"/>
      <c r="AB316" s="98"/>
      <c r="AC316" s="98"/>
      <c r="AD316" s="98"/>
      <c r="AE316" s="98"/>
    </row>
    <row r="317">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c r="AA317" s="98"/>
      <c r="AB317" s="98"/>
      <c r="AC317" s="98"/>
      <c r="AD317" s="98"/>
      <c r="AE317" s="98"/>
    </row>
    <row r="318">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c r="AA318" s="98"/>
      <c r="AB318" s="98"/>
      <c r="AC318" s="98"/>
      <c r="AD318" s="98"/>
      <c r="AE318" s="98"/>
    </row>
    <row r="319">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c r="AA319" s="98"/>
      <c r="AB319" s="98"/>
      <c r="AC319" s="98"/>
      <c r="AD319" s="98"/>
      <c r="AE319" s="98"/>
    </row>
    <row r="320">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c r="AA320" s="98"/>
      <c r="AB320" s="98"/>
      <c r="AC320" s="98"/>
      <c r="AD320" s="98"/>
      <c r="AE320" s="98"/>
    </row>
    <row r="32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c r="AA321" s="98"/>
      <c r="AB321" s="98"/>
      <c r="AC321" s="98"/>
      <c r="AD321" s="98"/>
      <c r="AE321" s="98"/>
    </row>
    <row r="322">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c r="AA322" s="98"/>
      <c r="AB322" s="98"/>
      <c r="AC322" s="98"/>
      <c r="AD322" s="98"/>
      <c r="AE322" s="98"/>
    </row>
    <row r="323">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c r="AA323" s="98"/>
      <c r="AB323" s="98"/>
      <c r="AC323" s="98"/>
      <c r="AD323" s="98"/>
      <c r="AE323" s="98"/>
    </row>
    <row r="324">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c r="AA324" s="98"/>
      <c r="AB324" s="98"/>
      <c r="AC324" s="98"/>
      <c r="AD324" s="98"/>
      <c r="AE324" s="98"/>
    </row>
    <row r="325">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c r="AA325" s="98"/>
      <c r="AB325" s="98"/>
      <c r="AC325" s="98"/>
      <c r="AD325" s="98"/>
      <c r="AE325" s="98"/>
    </row>
    <row r="326">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c r="AA326" s="98"/>
      <c r="AB326" s="98"/>
      <c r="AC326" s="98"/>
      <c r="AD326" s="98"/>
      <c r="AE326" s="98"/>
    </row>
    <row r="327">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c r="AA327" s="98"/>
      <c r="AB327" s="98"/>
      <c r="AC327" s="98"/>
      <c r="AD327" s="98"/>
      <c r="AE327" s="98"/>
    </row>
    <row r="328">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c r="AA328" s="98"/>
      <c r="AB328" s="98"/>
      <c r="AC328" s="98"/>
      <c r="AD328" s="98"/>
      <c r="AE328" s="98"/>
    </row>
    <row r="329">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c r="AA329" s="98"/>
      <c r="AB329" s="98"/>
      <c r="AC329" s="98"/>
      <c r="AD329" s="98"/>
      <c r="AE329" s="98"/>
    </row>
    <row r="330">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c r="AA330" s="98"/>
      <c r="AB330" s="98"/>
      <c r="AC330" s="98"/>
      <c r="AD330" s="98"/>
      <c r="AE330" s="98"/>
    </row>
    <row r="33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c r="AA331" s="98"/>
      <c r="AB331" s="98"/>
      <c r="AC331" s="98"/>
      <c r="AD331" s="98"/>
      <c r="AE331" s="98"/>
    </row>
    <row r="332">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c r="AA332" s="98"/>
      <c r="AB332" s="98"/>
      <c r="AC332" s="98"/>
      <c r="AD332" s="98"/>
      <c r="AE332" s="98"/>
    </row>
    <row r="333">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c r="AA333" s="98"/>
      <c r="AB333" s="98"/>
      <c r="AC333" s="98"/>
      <c r="AD333" s="98"/>
      <c r="AE333" s="98"/>
    </row>
    <row r="334">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c r="AA334" s="98"/>
      <c r="AB334" s="98"/>
      <c r="AC334" s="98"/>
      <c r="AD334" s="98"/>
      <c r="AE334" s="98"/>
    </row>
    <row r="335">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c r="AA335" s="98"/>
      <c r="AB335" s="98"/>
      <c r="AC335" s="98"/>
      <c r="AD335" s="98"/>
      <c r="AE335" s="98"/>
    </row>
    <row r="336">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c r="AA336" s="98"/>
      <c r="AB336" s="98"/>
      <c r="AC336" s="98"/>
      <c r="AD336" s="98"/>
      <c r="AE336" s="98"/>
    </row>
    <row r="337">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c r="AA337" s="98"/>
      <c r="AB337" s="98"/>
      <c r="AC337" s="98"/>
      <c r="AD337" s="98"/>
      <c r="AE337" s="98"/>
    </row>
    <row r="338">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c r="AA338" s="98"/>
      <c r="AB338" s="98"/>
      <c r="AC338" s="98"/>
      <c r="AD338" s="98"/>
      <c r="AE338" s="98"/>
    </row>
    <row r="339">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c r="AA339" s="98"/>
      <c r="AB339" s="98"/>
      <c r="AC339" s="98"/>
      <c r="AD339" s="98"/>
      <c r="AE339" s="98"/>
    </row>
    <row r="340">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c r="AA340" s="98"/>
      <c r="AB340" s="98"/>
      <c r="AC340" s="98"/>
      <c r="AD340" s="98"/>
      <c r="AE340" s="98"/>
    </row>
    <row r="34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c r="AA341" s="98"/>
      <c r="AB341" s="98"/>
      <c r="AC341" s="98"/>
      <c r="AD341" s="98"/>
      <c r="AE341" s="98"/>
    </row>
    <row r="342">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c r="AA342" s="98"/>
      <c r="AB342" s="98"/>
      <c r="AC342" s="98"/>
      <c r="AD342" s="98"/>
      <c r="AE342" s="98"/>
    </row>
    <row r="343">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c r="AA343" s="98"/>
      <c r="AB343" s="98"/>
      <c r="AC343" s="98"/>
      <c r="AD343" s="98"/>
      <c r="AE343" s="98"/>
    </row>
    <row r="344">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c r="AA344" s="98"/>
      <c r="AB344" s="98"/>
      <c r="AC344" s="98"/>
      <c r="AD344" s="98"/>
      <c r="AE344" s="98"/>
    </row>
    <row r="345">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c r="AA345" s="98"/>
      <c r="AB345" s="98"/>
      <c r="AC345" s="98"/>
      <c r="AD345" s="98"/>
      <c r="AE345" s="98"/>
    </row>
    <row r="346">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c r="AA346" s="98"/>
      <c r="AB346" s="98"/>
      <c r="AC346" s="98"/>
      <c r="AD346" s="98"/>
      <c r="AE346" s="98"/>
    </row>
    <row r="347">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c r="AA347" s="98"/>
      <c r="AB347" s="98"/>
      <c r="AC347" s="98"/>
      <c r="AD347" s="98"/>
      <c r="AE347" s="98"/>
    </row>
    <row r="348">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c r="AA348" s="98"/>
      <c r="AB348" s="98"/>
      <c r="AC348" s="98"/>
      <c r="AD348" s="98"/>
      <c r="AE348" s="98"/>
    </row>
    <row r="349">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c r="AA349" s="98"/>
      <c r="AB349" s="98"/>
      <c r="AC349" s="98"/>
      <c r="AD349" s="98"/>
      <c r="AE349" s="98"/>
    </row>
    <row r="350">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c r="AA350" s="98"/>
      <c r="AB350" s="98"/>
      <c r="AC350" s="98"/>
      <c r="AD350" s="98"/>
      <c r="AE350" s="98"/>
    </row>
    <row r="35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c r="AA351" s="98"/>
      <c r="AB351" s="98"/>
      <c r="AC351" s="98"/>
      <c r="AD351" s="98"/>
      <c r="AE351" s="98"/>
    </row>
    <row r="352">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c r="AA352" s="98"/>
      <c r="AB352" s="98"/>
      <c r="AC352" s="98"/>
      <c r="AD352" s="98"/>
      <c r="AE352" s="98"/>
    </row>
    <row r="353">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c r="AA353" s="98"/>
      <c r="AB353" s="98"/>
      <c r="AC353" s="98"/>
      <c r="AD353" s="98"/>
      <c r="AE353" s="98"/>
    </row>
    <row r="354">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c r="AA354" s="98"/>
      <c r="AB354" s="98"/>
      <c r="AC354" s="98"/>
      <c r="AD354" s="98"/>
      <c r="AE354" s="98"/>
    </row>
    <row r="355">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c r="AA355" s="98"/>
      <c r="AB355" s="98"/>
      <c r="AC355" s="98"/>
      <c r="AD355" s="98"/>
      <c r="AE355" s="98"/>
    </row>
    <row r="356">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c r="AA356" s="98"/>
      <c r="AB356" s="98"/>
      <c r="AC356" s="98"/>
      <c r="AD356" s="98"/>
      <c r="AE356" s="98"/>
    </row>
    <row r="357">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c r="AA357" s="98"/>
      <c r="AB357" s="98"/>
      <c r="AC357" s="98"/>
      <c r="AD357" s="98"/>
      <c r="AE357" s="98"/>
    </row>
    <row r="358">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c r="AA358" s="98"/>
      <c r="AB358" s="98"/>
      <c r="AC358" s="98"/>
      <c r="AD358" s="98"/>
      <c r="AE358" s="98"/>
    </row>
    <row r="359">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c r="AA359" s="98"/>
      <c r="AB359" s="98"/>
      <c r="AC359" s="98"/>
      <c r="AD359" s="98"/>
      <c r="AE359" s="98"/>
    </row>
    <row r="360">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c r="AA360" s="98"/>
      <c r="AB360" s="98"/>
      <c r="AC360" s="98"/>
      <c r="AD360" s="98"/>
      <c r="AE360" s="98"/>
    </row>
    <row r="36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c r="AA361" s="98"/>
      <c r="AB361" s="98"/>
      <c r="AC361" s="98"/>
      <c r="AD361" s="98"/>
      <c r="AE361" s="98"/>
    </row>
    <row r="362">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c r="AA362" s="98"/>
      <c r="AB362" s="98"/>
      <c r="AC362" s="98"/>
      <c r="AD362" s="98"/>
      <c r="AE362" s="98"/>
    </row>
    <row r="363">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c r="AA363" s="98"/>
      <c r="AB363" s="98"/>
      <c r="AC363" s="98"/>
      <c r="AD363" s="98"/>
      <c r="AE363" s="98"/>
    </row>
    <row r="364">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c r="AA364" s="98"/>
      <c r="AB364" s="98"/>
      <c r="AC364" s="98"/>
      <c r="AD364" s="98"/>
      <c r="AE364" s="98"/>
    </row>
    <row r="365">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c r="AA365" s="98"/>
      <c r="AB365" s="98"/>
      <c r="AC365" s="98"/>
      <c r="AD365" s="98"/>
      <c r="AE365" s="98"/>
    </row>
    <row r="366">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c r="AA366" s="98"/>
      <c r="AB366" s="98"/>
      <c r="AC366" s="98"/>
      <c r="AD366" s="98"/>
      <c r="AE366" s="98"/>
    </row>
    <row r="367">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c r="AA367" s="98"/>
      <c r="AB367" s="98"/>
      <c r="AC367" s="98"/>
      <c r="AD367" s="98"/>
      <c r="AE367" s="98"/>
    </row>
    <row r="368">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c r="AA368" s="98"/>
      <c r="AB368" s="98"/>
      <c r="AC368" s="98"/>
      <c r="AD368" s="98"/>
      <c r="AE368" s="98"/>
    </row>
    <row r="369">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c r="AA369" s="98"/>
      <c r="AB369" s="98"/>
      <c r="AC369" s="98"/>
      <c r="AD369" s="98"/>
      <c r="AE369" s="98"/>
    </row>
    <row r="370">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c r="AA370" s="98"/>
      <c r="AB370" s="98"/>
      <c r="AC370" s="98"/>
      <c r="AD370" s="98"/>
      <c r="AE370" s="98"/>
    </row>
    <row r="37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c r="AA371" s="98"/>
      <c r="AB371" s="98"/>
      <c r="AC371" s="98"/>
      <c r="AD371" s="98"/>
      <c r="AE371" s="98"/>
    </row>
    <row r="372">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c r="AA372" s="98"/>
      <c r="AB372" s="98"/>
      <c r="AC372" s="98"/>
      <c r="AD372" s="98"/>
      <c r="AE372" s="98"/>
    </row>
    <row r="373">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c r="AA373" s="98"/>
      <c r="AB373" s="98"/>
      <c r="AC373" s="98"/>
      <c r="AD373" s="98"/>
      <c r="AE373" s="98"/>
    </row>
    <row r="374">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c r="AA374" s="98"/>
      <c r="AB374" s="98"/>
      <c r="AC374" s="98"/>
      <c r="AD374" s="98"/>
      <c r="AE374" s="98"/>
    </row>
    <row r="375">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c r="AA375" s="98"/>
      <c r="AB375" s="98"/>
      <c r="AC375" s="98"/>
      <c r="AD375" s="98"/>
      <c r="AE375" s="98"/>
    </row>
    <row r="376">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c r="AA376" s="98"/>
      <c r="AB376" s="98"/>
      <c r="AC376" s="98"/>
      <c r="AD376" s="98"/>
      <c r="AE376" s="98"/>
    </row>
    <row r="377">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c r="AA377" s="98"/>
      <c r="AB377" s="98"/>
      <c r="AC377" s="98"/>
      <c r="AD377" s="98"/>
      <c r="AE377" s="98"/>
    </row>
    <row r="378">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c r="AA378" s="98"/>
      <c r="AB378" s="98"/>
      <c r="AC378" s="98"/>
      <c r="AD378" s="98"/>
      <c r="AE378" s="98"/>
    </row>
    <row r="379">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c r="AA379" s="98"/>
      <c r="AB379" s="98"/>
      <c r="AC379" s="98"/>
      <c r="AD379" s="98"/>
      <c r="AE379" s="98"/>
    </row>
    <row r="380">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c r="AA380" s="98"/>
      <c r="AB380" s="98"/>
      <c r="AC380" s="98"/>
      <c r="AD380" s="98"/>
      <c r="AE380" s="98"/>
    </row>
    <row r="38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c r="AA381" s="98"/>
      <c r="AB381" s="98"/>
      <c r="AC381" s="98"/>
      <c r="AD381" s="98"/>
      <c r="AE381" s="98"/>
    </row>
    <row r="382">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c r="AA382" s="98"/>
      <c r="AB382" s="98"/>
      <c r="AC382" s="98"/>
      <c r="AD382" s="98"/>
      <c r="AE382" s="98"/>
    </row>
    <row r="383">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c r="AA383" s="98"/>
      <c r="AB383" s="98"/>
      <c r="AC383" s="98"/>
      <c r="AD383" s="98"/>
      <c r="AE383" s="98"/>
    </row>
    <row r="384">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c r="AA384" s="98"/>
      <c r="AB384" s="98"/>
      <c r="AC384" s="98"/>
      <c r="AD384" s="98"/>
      <c r="AE384" s="98"/>
    </row>
    <row r="385">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c r="AA385" s="98"/>
      <c r="AB385" s="98"/>
      <c r="AC385" s="98"/>
      <c r="AD385" s="98"/>
      <c r="AE385" s="98"/>
    </row>
    <row r="386">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c r="AA386" s="98"/>
      <c r="AB386" s="98"/>
      <c r="AC386" s="98"/>
      <c r="AD386" s="98"/>
      <c r="AE386" s="98"/>
    </row>
    <row r="387">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c r="AA387" s="98"/>
      <c r="AB387" s="98"/>
      <c r="AC387" s="98"/>
      <c r="AD387" s="98"/>
      <c r="AE387" s="98"/>
    </row>
    <row r="388">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c r="AA388" s="98"/>
      <c r="AB388" s="98"/>
      <c r="AC388" s="98"/>
      <c r="AD388" s="98"/>
      <c r="AE388" s="98"/>
    </row>
    <row r="389">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c r="AA389" s="98"/>
      <c r="AB389" s="98"/>
      <c r="AC389" s="98"/>
      <c r="AD389" s="98"/>
      <c r="AE389" s="98"/>
    </row>
    <row r="390">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c r="AA390" s="98"/>
      <c r="AB390" s="98"/>
      <c r="AC390" s="98"/>
      <c r="AD390" s="98"/>
      <c r="AE390" s="98"/>
    </row>
    <row r="39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c r="AA391" s="98"/>
      <c r="AB391" s="98"/>
      <c r="AC391" s="98"/>
      <c r="AD391" s="98"/>
      <c r="AE391" s="98"/>
    </row>
    <row r="392">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c r="AA392" s="98"/>
      <c r="AB392" s="98"/>
      <c r="AC392" s="98"/>
      <c r="AD392" s="98"/>
      <c r="AE392" s="98"/>
    </row>
    <row r="393">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c r="AA393" s="98"/>
      <c r="AB393" s="98"/>
      <c r="AC393" s="98"/>
      <c r="AD393" s="98"/>
      <c r="AE393" s="98"/>
    </row>
    <row r="394">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c r="AA394" s="98"/>
      <c r="AB394" s="98"/>
      <c r="AC394" s="98"/>
      <c r="AD394" s="98"/>
      <c r="AE394" s="98"/>
    </row>
    <row r="395">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c r="AA395" s="98"/>
      <c r="AB395" s="98"/>
      <c r="AC395" s="98"/>
      <c r="AD395" s="98"/>
      <c r="AE395" s="98"/>
    </row>
    <row r="396">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c r="AA396" s="98"/>
      <c r="AB396" s="98"/>
      <c r="AC396" s="98"/>
      <c r="AD396" s="98"/>
      <c r="AE396" s="98"/>
    </row>
    <row r="397">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c r="AA397" s="98"/>
      <c r="AB397" s="98"/>
      <c r="AC397" s="98"/>
      <c r="AD397" s="98"/>
      <c r="AE397" s="98"/>
    </row>
    <row r="398">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c r="AA398" s="98"/>
      <c r="AB398" s="98"/>
      <c r="AC398" s="98"/>
      <c r="AD398" s="98"/>
      <c r="AE398" s="98"/>
    </row>
    <row r="399">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c r="AA399" s="98"/>
      <c r="AB399" s="98"/>
      <c r="AC399" s="98"/>
      <c r="AD399" s="98"/>
      <c r="AE399" s="98"/>
    </row>
    <row r="400">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c r="AA400" s="98"/>
      <c r="AB400" s="98"/>
      <c r="AC400" s="98"/>
      <c r="AD400" s="98"/>
      <c r="AE400" s="98"/>
    </row>
    <row r="40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c r="AA401" s="98"/>
      <c r="AB401" s="98"/>
      <c r="AC401" s="98"/>
      <c r="AD401" s="98"/>
      <c r="AE401" s="98"/>
    </row>
    <row r="402">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c r="AA402" s="98"/>
      <c r="AB402" s="98"/>
      <c r="AC402" s="98"/>
      <c r="AD402" s="98"/>
      <c r="AE402" s="98"/>
    </row>
    <row r="403">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c r="AA403" s="98"/>
      <c r="AB403" s="98"/>
      <c r="AC403" s="98"/>
      <c r="AD403" s="98"/>
      <c r="AE403" s="98"/>
    </row>
    <row r="404">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c r="AA404" s="98"/>
      <c r="AB404" s="98"/>
      <c r="AC404" s="98"/>
      <c r="AD404" s="98"/>
      <c r="AE404" s="98"/>
    </row>
    <row r="405">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c r="AA405" s="98"/>
      <c r="AB405" s="98"/>
      <c r="AC405" s="98"/>
      <c r="AD405" s="98"/>
      <c r="AE405" s="98"/>
    </row>
    <row r="406">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c r="AA406" s="98"/>
      <c r="AB406" s="98"/>
      <c r="AC406" s="98"/>
      <c r="AD406" s="98"/>
      <c r="AE406" s="98"/>
    </row>
    <row r="407">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c r="AA407" s="98"/>
      <c r="AB407" s="98"/>
      <c r="AC407" s="98"/>
      <c r="AD407" s="98"/>
      <c r="AE407" s="98"/>
    </row>
    <row r="408">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c r="AA408" s="98"/>
      <c r="AB408" s="98"/>
      <c r="AC408" s="98"/>
      <c r="AD408" s="98"/>
      <c r="AE408" s="98"/>
    </row>
    <row r="409">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c r="AA409" s="98"/>
      <c r="AB409" s="98"/>
      <c r="AC409" s="98"/>
      <c r="AD409" s="98"/>
      <c r="AE409" s="98"/>
    </row>
    <row r="410">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c r="AA410" s="98"/>
      <c r="AB410" s="98"/>
      <c r="AC410" s="98"/>
      <c r="AD410" s="98"/>
      <c r="AE410" s="98"/>
    </row>
    <row r="41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c r="AA411" s="98"/>
      <c r="AB411" s="98"/>
      <c r="AC411" s="98"/>
      <c r="AD411" s="98"/>
      <c r="AE411" s="98"/>
    </row>
    <row r="412">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c r="AA412" s="98"/>
      <c r="AB412" s="98"/>
      <c r="AC412" s="98"/>
      <c r="AD412" s="98"/>
      <c r="AE412" s="98"/>
    </row>
    <row r="413">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c r="AA413" s="98"/>
      <c r="AB413" s="98"/>
      <c r="AC413" s="98"/>
      <c r="AD413" s="98"/>
      <c r="AE413" s="98"/>
    </row>
    <row r="414">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c r="AA414" s="98"/>
      <c r="AB414" s="98"/>
      <c r="AC414" s="98"/>
      <c r="AD414" s="98"/>
      <c r="AE414" s="98"/>
    </row>
    <row r="415">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c r="AA415" s="98"/>
      <c r="AB415" s="98"/>
      <c r="AC415" s="98"/>
      <c r="AD415" s="98"/>
      <c r="AE415" s="98"/>
    </row>
    <row r="416">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c r="AA416" s="98"/>
      <c r="AB416" s="98"/>
      <c r="AC416" s="98"/>
      <c r="AD416" s="98"/>
      <c r="AE416" s="98"/>
    </row>
    <row r="417">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c r="AA417" s="98"/>
      <c r="AB417" s="98"/>
      <c r="AC417" s="98"/>
      <c r="AD417" s="98"/>
      <c r="AE417" s="98"/>
    </row>
    <row r="418">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c r="AA418" s="98"/>
      <c r="AB418" s="98"/>
      <c r="AC418" s="98"/>
      <c r="AD418" s="98"/>
      <c r="AE418" s="98"/>
    </row>
    <row r="419">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c r="AA419" s="98"/>
      <c r="AB419" s="98"/>
      <c r="AC419" s="98"/>
      <c r="AD419" s="98"/>
      <c r="AE419" s="98"/>
    </row>
    <row r="420">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c r="AA420" s="98"/>
      <c r="AB420" s="98"/>
      <c r="AC420" s="98"/>
      <c r="AD420" s="98"/>
      <c r="AE420" s="98"/>
    </row>
    <row r="42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c r="AA421" s="98"/>
      <c r="AB421" s="98"/>
      <c r="AC421" s="98"/>
      <c r="AD421" s="98"/>
      <c r="AE421" s="98"/>
    </row>
    <row r="422">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c r="AA422" s="98"/>
      <c r="AB422" s="98"/>
      <c r="AC422" s="98"/>
      <c r="AD422" s="98"/>
      <c r="AE422" s="98"/>
    </row>
    <row r="423">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c r="AA423" s="98"/>
      <c r="AB423" s="98"/>
      <c r="AC423" s="98"/>
      <c r="AD423" s="98"/>
      <c r="AE423" s="98"/>
    </row>
    <row r="424">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c r="AA424" s="98"/>
      <c r="AB424" s="98"/>
      <c r="AC424" s="98"/>
      <c r="AD424" s="98"/>
      <c r="AE424" s="98"/>
    </row>
    <row r="425">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c r="AA425" s="98"/>
      <c r="AB425" s="98"/>
      <c r="AC425" s="98"/>
      <c r="AD425" s="98"/>
      <c r="AE425" s="98"/>
    </row>
    <row r="426">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c r="AA426" s="98"/>
      <c r="AB426" s="98"/>
      <c r="AC426" s="98"/>
      <c r="AD426" s="98"/>
      <c r="AE426" s="98"/>
    </row>
    <row r="427">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c r="AA427" s="98"/>
      <c r="AB427" s="98"/>
      <c r="AC427" s="98"/>
      <c r="AD427" s="98"/>
      <c r="AE427" s="98"/>
    </row>
    <row r="428">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c r="AA428" s="98"/>
      <c r="AB428" s="98"/>
      <c r="AC428" s="98"/>
      <c r="AD428" s="98"/>
      <c r="AE428" s="98"/>
    </row>
    <row r="429">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c r="AA429" s="98"/>
      <c r="AB429" s="98"/>
      <c r="AC429" s="98"/>
      <c r="AD429" s="98"/>
      <c r="AE429" s="98"/>
    </row>
    <row r="430">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c r="AA430" s="98"/>
      <c r="AB430" s="98"/>
      <c r="AC430" s="98"/>
      <c r="AD430" s="98"/>
      <c r="AE430" s="98"/>
    </row>
    <row r="43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c r="AA431" s="98"/>
      <c r="AB431" s="98"/>
      <c r="AC431" s="98"/>
      <c r="AD431" s="98"/>
      <c r="AE431" s="98"/>
    </row>
    <row r="432">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c r="AA432" s="98"/>
      <c r="AB432" s="98"/>
      <c r="AC432" s="98"/>
      <c r="AD432" s="98"/>
      <c r="AE432" s="98"/>
    </row>
    <row r="433">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c r="AA433" s="98"/>
      <c r="AB433" s="98"/>
      <c r="AC433" s="98"/>
      <c r="AD433" s="98"/>
      <c r="AE433" s="98"/>
    </row>
    <row r="434">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c r="AA434" s="98"/>
      <c r="AB434" s="98"/>
      <c r="AC434" s="98"/>
      <c r="AD434" s="98"/>
      <c r="AE434" s="98"/>
    </row>
    <row r="435">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c r="AA435" s="98"/>
      <c r="AB435" s="98"/>
      <c r="AC435" s="98"/>
      <c r="AD435" s="98"/>
      <c r="AE435" s="98"/>
    </row>
    <row r="436">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c r="AA436" s="98"/>
      <c r="AB436" s="98"/>
      <c r="AC436" s="98"/>
      <c r="AD436" s="98"/>
      <c r="AE436" s="98"/>
    </row>
    <row r="437">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c r="AA437" s="98"/>
      <c r="AB437" s="98"/>
      <c r="AC437" s="98"/>
      <c r="AD437" s="98"/>
      <c r="AE437" s="98"/>
    </row>
    <row r="438">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c r="AA438" s="98"/>
      <c r="AB438" s="98"/>
      <c r="AC438" s="98"/>
      <c r="AD438" s="98"/>
      <c r="AE438" s="98"/>
    </row>
    <row r="439">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c r="AA439" s="98"/>
      <c r="AB439" s="98"/>
      <c r="AC439" s="98"/>
      <c r="AD439" s="98"/>
      <c r="AE439" s="98"/>
    </row>
    <row r="440">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c r="AA440" s="98"/>
      <c r="AB440" s="98"/>
      <c r="AC440" s="98"/>
      <c r="AD440" s="98"/>
      <c r="AE440" s="98"/>
    </row>
    <row r="44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c r="AA441" s="98"/>
      <c r="AB441" s="98"/>
      <c r="AC441" s="98"/>
      <c r="AD441" s="98"/>
      <c r="AE441" s="98"/>
    </row>
    <row r="442">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c r="AA442" s="98"/>
      <c r="AB442" s="98"/>
      <c r="AC442" s="98"/>
      <c r="AD442" s="98"/>
      <c r="AE442" s="98"/>
    </row>
    <row r="443">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c r="AA443" s="98"/>
      <c r="AB443" s="98"/>
      <c r="AC443" s="98"/>
      <c r="AD443" s="98"/>
      <c r="AE443" s="98"/>
    </row>
    <row r="444">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c r="AA444" s="98"/>
      <c r="AB444" s="98"/>
      <c r="AC444" s="98"/>
      <c r="AD444" s="98"/>
      <c r="AE444" s="98"/>
    </row>
    <row r="445">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c r="AA445" s="98"/>
      <c r="AB445" s="98"/>
      <c r="AC445" s="98"/>
      <c r="AD445" s="98"/>
      <c r="AE445" s="98"/>
    </row>
    <row r="446">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c r="AA446" s="98"/>
      <c r="AB446" s="98"/>
      <c r="AC446" s="98"/>
      <c r="AD446" s="98"/>
      <c r="AE446" s="98"/>
    </row>
    <row r="447">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c r="AA447" s="98"/>
      <c r="AB447" s="98"/>
      <c r="AC447" s="98"/>
      <c r="AD447" s="98"/>
      <c r="AE447" s="98"/>
    </row>
    <row r="448">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c r="AA448" s="98"/>
      <c r="AB448" s="98"/>
      <c r="AC448" s="98"/>
      <c r="AD448" s="98"/>
      <c r="AE448" s="98"/>
    </row>
    <row r="449">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c r="AA449" s="98"/>
      <c r="AB449" s="98"/>
      <c r="AC449" s="98"/>
      <c r="AD449" s="98"/>
      <c r="AE449" s="98"/>
    </row>
    <row r="450">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c r="AA450" s="98"/>
      <c r="AB450" s="98"/>
      <c r="AC450" s="98"/>
      <c r="AD450" s="98"/>
      <c r="AE450" s="98"/>
    </row>
    <row r="45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c r="AA451" s="98"/>
      <c r="AB451" s="98"/>
      <c r="AC451" s="98"/>
      <c r="AD451" s="98"/>
      <c r="AE451" s="98"/>
    </row>
    <row r="452">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c r="AA452" s="98"/>
      <c r="AB452" s="98"/>
      <c r="AC452" s="98"/>
      <c r="AD452" s="98"/>
      <c r="AE452" s="98"/>
    </row>
    <row r="453">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c r="AA453" s="98"/>
      <c r="AB453" s="98"/>
      <c r="AC453" s="98"/>
      <c r="AD453" s="98"/>
      <c r="AE453" s="98"/>
    </row>
    <row r="454">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c r="AA454" s="98"/>
      <c r="AB454" s="98"/>
      <c r="AC454" s="98"/>
      <c r="AD454" s="98"/>
      <c r="AE454" s="98"/>
    </row>
    <row r="455">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c r="AA455" s="98"/>
      <c r="AB455" s="98"/>
      <c r="AC455" s="98"/>
      <c r="AD455" s="98"/>
      <c r="AE455" s="98"/>
    </row>
    <row r="456">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c r="AA456" s="98"/>
      <c r="AB456" s="98"/>
      <c r="AC456" s="98"/>
      <c r="AD456" s="98"/>
      <c r="AE456" s="98"/>
    </row>
    <row r="457">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c r="AA457" s="98"/>
      <c r="AB457" s="98"/>
      <c r="AC457" s="98"/>
      <c r="AD457" s="98"/>
      <c r="AE457" s="98"/>
    </row>
    <row r="458">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c r="AA458" s="98"/>
      <c r="AB458" s="98"/>
      <c r="AC458" s="98"/>
      <c r="AD458" s="98"/>
      <c r="AE458" s="98"/>
    </row>
    <row r="459">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c r="AA459" s="98"/>
      <c r="AB459" s="98"/>
      <c r="AC459" s="98"/>
      <c r="AD459" s="98"/>
      <c r="AE459" s="98"/>
    </row>
    <row r="460">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c r="AA460" s="98"/>
      <c r="AB460" s="98"/>
      <c r="AC460" s="98"/>
      <c r="AD460" s="98"/>
      <c r="AE460" s="98"/>
    </row>
    <row r="46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c r="AA461" s="98"/>
      <c r="AB461" s="98"/>
      <c r="AC461" s="98"/>
      <c r="AD461" s="98"/>
      <c r="AE461" s="98"/>
    </row>
    <row r="462">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c r="AA462" s="98"/>
      <c r="AB462" s="98"/>
      <c r="AC462" s="98"/>
      <c r="AD462" s="98"/>
      <c r="AE462" s="98"/>
    </row>
    <row r="463">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c r="AA463" s="98"/>
      <c r="AB463" s="98"/>
      <c r="AC463" s="98"/>
      <c r="AD463" s="98"/>
      <c r="AE463" s="98"/>
    </row>
    <row r="464">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c r="AA464" s="98"/>
      <c r="AB464" s="98"/>
      <c r="AC464" s="98"/>
      <c r="AD464" s="98"/>
      <c r="AE464" s="98"/>
    </row>
    <row r="465">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c r="AA465" s="98"/>
      <c r="AB465" s="98"/>
      <c r="AC465" s="98"/>
      <c r="AD465" s="98"/>
      <c r="AE465" s="98"/>
    </row>
    <row r="466">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c r="AA466" s="98"/>
      <c r="AB466" s="98"/>
      <c r="AC466" s="98"/>
      <c r="AD466" s="98"/>
      <c r="AE466" s="98"/>
    </row>
    <row r="467">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c r="AA467" s="98"/>
      <c r="AB467" s="98"/>
      <c r="AC467" s="98"/>
      <c r="AD467" s="98"/>
      <c r="AE467" s="98"/>
    </row>
    <row r="468">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c r="AA468" s="98"/>
      <c r="AB468" s="98"/>
      <c r="AC468" s="98"/>
      <c r="AD468" s="98"/>
      <c r="AE468" s="98"/>
    </row>
    <row r="469">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c r="AA469" s="98"/>
      <c r="AB469" s="98"/>
      <c r="AC469" s="98"/>
      <c r="AD469" s="98"/>
      <c r="AE469" s="98"/>
    </row>
    <row r="470">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c r="AA470" s="98"/>
      <c r="AB470" s="98"/>
      <c r="AC470" s="98"/>
      <c r="AD470" s="98"/>
      <c r="AE470" s="98"/>
    </row>
    <row r="47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c r="AA471" s="98"/>
      <c r="AB471" s="98"/>
      <c r="AC471" s="98"/>
      <c r="AD471" s="98"/>
      <c r="AE471" s="98"/>
    </row>
    <row r="472">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c r="AA472" s="98"/>
      <c r="AB472" s="98"/>
      <c r="AC472" s="98"/>
      <c r="AD472" s="98"/>
      <c r="AE472" s="98"/>
    </row>
    <row r="473">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c r="AA473" s="98"/>
      <c r="AB473" s="98"/>
      <c r="AC473" s="98"/>
      <c r="AD473" s="98"/>
      <c r="AE473" s="98"/>
    </row>
    <row r="474">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c r="AA474" s="98"/>
      <c r="AB474" s="98"/>
      <c r="AC474" s="98"/>
      <c r="AD474" s="98"/>
      <c r="AE474" s="98"/>
    </row>
    <row r="475">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c r="AA475" s="98"/>
      <c r="AB475" s="98"/>
      <c r="AC475" s="98"/>
      <c r="AD475" s="98"/>
      <c r="AE475" s="98"/>
    </row>
    <row r="476">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c r="AA476" s="98"/>
      <c r="AB476" s="98"/>
      <c r="AC476" s="98"/>
      <c r="AD476" s="98"/>
      <c r="AE476" s="98"/>
    </row>
    <row r="477">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c r="AA477" s="98"/>
      <c r="AB477" s="98"/>
      <c r="AC477" s="98"/>
      <c r="AD477" s="98"/>
      <c r="AE477" s="98"/>
    </row>
    <row r="478">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c r="AA478" s="98"/>
      <c r="AB478" s="98"/>
      <c r="AC478" s="98"/>
      <c r="AD478" s="98"/>
      <c r="AE478" s="98"/>
    </row>
    <row r="479">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c r="AA479" s="98"/>
      <c r="AB479" s="98"/>
      <c r="AC479" s="98"/>
      <c r="AD479" s="98"/>
      <c r="AE479" s="98"/>
    </row>
    <row r="480">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c r="AA480" s="98"/>
      <c r="AB480" s="98"/>
      <c r="AC480" s="98"/>
      <c r="AD480" s="98"/>
      <c r="AE480" s="98"/>
    </row>
    <row r="48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c r="AA481" s="98"/>
      <c r="AB481" s="98"/>
      <c r="AC481" s="98"/>
      <c r="AD481" s="98"/>
      <c r="AE481" s="98"/>
    </row>
    <row r="482">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c r="AA482" s="98"/>
      <c r="AB482" s="98"/>
      <c r="AC482" s="98"/>
      <c r="AD482" s="98"/>
      <c r="AE482" s="98"/>
    </row>
    <row r="483">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c r="AA483" s="98"/>
      <c r="AB483" s="98"/>
      <c r="AC483" s="98"/>
      <c r="AD483" s="98"/>
      <c r="AE483" s="98"/>
    </row>
    <row r="484">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c r="AA484" s="98"/>
      <c r="AB484" s="98"/>
      <c r="AC484" s="98"/>
      <c r="AD484" s="98"/>
      <c r="AE484" s="98"/>
    </row>
    <row r="485">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c r="AA485" s="98"/>
      <c r="AB485" s="98"/>
      <c r="AC485" s="98"/>
      <c r="AD485" s="98"/>
      <c r="AE485" s="98"/>
    </row>
    <row r="486">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c r="AA486" s="98"/>
      <c r="AB486" s="98"/>
      <c r="AC486" s="98"/>
      <c r="AD486" s="98"/>
      <c r="AE486" s="98"/>
    </row>
    <row r="487">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c r="AA487" s="98"/>
      <c r="AB487" s="98"/>
      <c r="AC487" s="98"/>
      <c r="AD487" s="98"/>
      <c r="AE487" s="98"/>
    </row>
    <row r="488">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c r="AA488" s="98"/>
      <c r="AB488" s="98"/>
      <c r="AC488" s="98"/>
      <c r="AD488" s="98"/>
      <c r="AE488" s="98"/>
    </row>
    <row r="489">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c r="AA489" s="98"/>
      <c r="AB489" s="98"/>
      <c r="AC489" s="98"/>
      <c r="AD489" s="98"/>
      <c r="AE489" s="98"/>
    </row>
    <row r="490">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c r="AA490" s="98"/>
      <c r="AB490" s="98"/>
      <c r="AC490" s="98"/>
      <c r="AD490" s="98"/>
      <c r="AE490" s="98"/>
    </row>
    <row r="49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c r="AA491" s="98"/>
      <c r="AB491" s="98"/>
      <c r="AC491" s="98"/>
      <c r="AD491" s="98"/>
      <c r="AE491" s="98"/>
    </row>
    <row r="492">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c r="AA492" s="98"/>
      <c r="AB492" s="98"/>
      <c r="AC492" s="98"/>
      <c r="AD492" s="98"/>
      <c r="AE492" s="98"/>
    </row>
    <row r="493">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c r="AA493" s="98"/>
      <c r="AB493" s="98"/>
      <c r="AC493" s="98"/>
      <c r="AD493" s="98"/>
      <c r="AE493" s="98"/>
    </row>
    <row r="494">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c r="AA494" s="98"/>
      <c r="AB494" s="98"/>
      <c r="AC494" s="98"/>
      <c r="AD494" s="98"/>
      <c r="AE494" s="98"/>
    </row>
    <row r="495">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c r="AA495" s="98"/>
      <c r="AB495" s="98"/>
      <c r="AC495" s="98"/>
      <c r="AD495" s="98"/>
      <c r="AE495" s="98"/>
    </row>
    <row r="496">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c r="AA496" s="98"/>
      <c r="AB496" s="98"/>
      <c r="AC496" s="98"/>
      <c r="AD496" s="98"/>
      <c r="AE496" s="98"/>
    </row>
    <row r="497">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c r="AA497" s="98"/>
      <c r="AB497" s="98"/>
      <c r="AC497" s="98"/>
      <c r="AD497" s="98"/>
      <c r="AE497" s="98"/>
    </row>
    <row r="498">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c r="AA498" s="98"/>
      <c r="AB498" s="98"/>
      <c r="AC498" s="98"/>
      <c r="AD498" s="98"/>
      <c r="AE498" s="98"/>
    </row>
    <row r="499">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c r="AA499" s="98"/>
      <c r="AB499" s="98"/>
      <c r="AC499" s="98"/>
      <c r="AD499" s="98"/>
      <c r="AE499" s="98"/>
    </row>
    <row r="500">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c r="AA500" s="98"/>
      <c r="AB500" s="98"/>
      <c r="AC500" s="98"/>
      <c r="AD500" s="98"/>
      <c r="AE500" s="98"/>
    </row>
    <row r="50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c r="AA501" s="98"/>
      <c r="AB501" s="98"/>
      <c r="AC501" s="98"/>
      <c r="AD501" s="98"/>
      <c r="AE501" s="98"/>
    </row>
    <row r="502">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c r="AA502" s="98"/>
      <c r="AB502" s="98"/>
      <c r="AC502" s="98"/>
      <c r="AD502" s="98"/>
      <c r="AE502" s="98"/>
    </row>
    <row r="503">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c r="AA503" s="98"/>
      <c r="AB503" s="98"/>
      <c r="AC503" s="98"/>
      <c r="AD503" s="98"/>
      <c r="AE503" s="98"/>
    </row>
    <row r="504">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c r="AA504" s="98"/>
      <c r="AB504" s="98"/>
      <c r="AC504" s="98"/>
      <c r="AD504" s="98"/>
      <c r="AE504" s="98"/>
    </row>
    <row r="505">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c r="AA505" s="98"/>
      <c r="AB505" s="98"/>
      <c r="AC505" s="98"/>
      <c r="AD505" s="98"/>
      <c r="AE505" s="98"/>
    </row>
    <row r="506">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c r="AA506" s="98"/>
      <c r="AB506" s="98"/>
      <c r="AC506" s="98"/>
      <c r="AD506" s="98"/>
      <c r="AE506" s="98"/>
    </row>
    <row r="507">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c r="AA507" s="98"/>
      <c r="AB507" s="98"/>
      <c r="AC507" s="98"/>
      <c r="AD507" s="98"/>
      <c r="AE507" s="98"/>
    </row>
    <row r="508">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c r="AA508" s="98"/>
      <c r="AB508" s="98"/>
      <c r="AC508" s="98"/>
      <c r="AD508" s="98"/>
      <c r="AE508" s="98"/>
    </row>
    <row r="509">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c r="AA509" s="98"/>
      <c r="AB509" s="98"/>
      <c r="AC509" s="98"/>
      <c r="AD509" s="98"/>
      <c r="AE509" s="98"/>
    </row>
    <row r="510">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c r="AA510" s="98"/>
      <c r="AB510" s="98"/>
      <c r="AC510" s="98"/>
      <c r="AD510" s="98"/>
      <c r="AE510" s="98"/>
    </row>
    <row r="51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c r="AA511" s="98"/>
      <c r="AB511" s="98"/>
      <c r="AC511" s="98"/>
      <c r="AD511" s="98"/>
      <c r="AE511" s="98"/>
    </row>
    <row r="512">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c r="AA512" s="98"/>
      <c r="AB512" s="98"/>
      <c r="AC512" s="98"/>
      <c r="AD512" s="98"/>
      <c r="AE512" s="98"/>
    </row>
    <row r="513">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c r="AA513" s="98"/>
      <c r="AB513" s="98"/>
      <c r="AC513" s="98"/>
      <c r="AD513" s="98"/>
      <c r="AE513" s="98"/>
    </row>
    <row r="514">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c r="AA514" s="98"/>
      <c r="AB514" s="98"/>
      <c r="AC514" s="98"/>
      <c r="AD514" s="98"/>
      <c r="AE514" s="98"/>
    </row>
    <row r="515">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c r="AA515" s="98"/>
      <c r="AB515" s="98"/>
      <c r="AC515" s="98"/>
      <c r="AD515" s="98"/>
      <c r="AE515" s="98"/>
    </row>
    <row r="516">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c r="AA516" s="98"/>
      <c r="AB516" s="98"/>
      <c r="AC516" s="98"/>
      <c r="AD516" s="98"/>
      <c r="AE516" s="98"/>
    </row>
    <row r="517">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c r="AA517" s="98"/>
      <c r="AB517" s="98"/>
      <c r="AC517" s="98"/>
      <c r="AD517" s="98"/>
      <c r="AE517" s="98"/>
    </row>
    <row r="518">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c r="AA518" s="98"/>
      <c r="AB518" s="98"/>
      <c r="AC518" s="98"/>
      <c r="AD518" s="98"/>
      <c r="AE518" s="98"/>
    </row>
    <row r="519">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c r="AA519" s="98"/>
      <c r="AB519" s="98"/>
      <c r="AC519" s="98"/>
      <c r="AD519" s="98"/>
      <c r="AE519" s="98"/>
    </row>
    <row r="520">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c r="AA520" s="98"/>
      <c r="AB520" s="98"/>
      <c r="AC520" s="98"/>
      <c r="AD520" s="98"/>
      <c r="AE520" s="98"/>
    </row>
    <row r="52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c r="AA521" s="98"/>
      <c r="AB521" s="98"/>
      <c r="AC521" s="98"/>
      <c r="AD521" s="98"/>
      <c r="AE521" s="98"/>
    </row>
    <row r="522">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c r="AA522" s="98"/>
      <c r="AB522" s="98"/>
      <c r="AC522" s="98"/>
      <c r="AD522" s="98"/>
      <c r="AE522" s="98"/>
    </row>
    <row r="523">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c r="AA523" s="98"/>
      <c r="AB523" s="98"/>
      <c r="AC523" s="98"/>
      <c r="AD523" s="98"/>
      <c r="AE523" s="98"/>
    </row>
    <row r="524">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c r="AA524" s="98"/>
      <c r="AB524" s="98"/>
      <c r="AC524" s="98"/>
      <c r="AD524" s="98"/>
      <c r="AE524" s="98"/>
    </row>
    <row r="525">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c r="AA525" s="98"/>
      <c r="AB525" s="98"/>
      <c r="AC525" s="98"/>
      <c r="AD525" s="98"/>
      <c r="AE525" s="98"/>
    </row>
    <row r="526">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c r="AA526" s="98"/>
      <c r="AB526" s="98"/>
      <c r="AC526" s="98"/>
      <c r="AD526" s="98"/>
      <c r="AE526" s="98"/>
    </row>
    <row r="527">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c r="AA527" s="98"/>
      <c r="AB527" s="98"/>
      <c r="AC527" s="98"/>
      <c r="AD527" s="98"/>
      <c r="AE527" s="98"/>
    </row>
    <row r="528">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c r="AA528" s="98"/>
      <c r="AB528" s="98"/>
      <c r="AC528" s="98"/>
      <c r="AD528" s="98"/>
      <c r="AE528" s="98"/>
    </row>
    <row r="529">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c r="AA529" s="98"/>
      <c r="AB529" s="98"/>
      <c r="AC529" s="98"/>
      <c r="AD529" s="98"/>
      <c r="AE529" s="98"/>
    </row>
    <row r="530">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c r="AA530" s="98"/>
      <c r="AB530" s="98"/>
      <c r="AC530" s="98"/>
      <c r="AD530" s="98"/>
      <c r="AE530" s="98"/>
    </row>
    <row r="53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c r="AA531" s="98"/>
      <c r="AB531" s="98"/>
      <c r="AC531" s="98"/>
      <c r="AD531" s="98"/>
      <c r="AE531" s="98"/>
    </row>
    <row r="532">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c r="AA532" s="98"/>
      <c r="AB532" s="98"/>
      <c r="AC532" s="98"/>
      <c r="AD532" s="98"/>
      <c r="AE532" s="98"/>
    </row>
    <row r="533">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c r="AA533" s="98"/>
      <c r="AB533" s="98"/>
      <c r="AC533" s="98"/>
      <c r="AD533" s="98"/>
      <c r="AE533" s="98"/>
    </row>
    <row r="534">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c r="AA534" s="98"/>
      <c r="AB534" s="98"/>
      <c r="AC534" s="98"/>
      <c r="AD534" s="98"/>
      <c r="AE534" s="98"/>
    </row>
    <row r="535">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c r="AA535" s="98"/>
      <c r="AB535" s="98"/>
      <c r="AC535" s="98"/>
      <c r="AD535" s="98"/>
      <c r="AE535" s="98"/>
    </row>
    <row r="536">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c r="AA536" s="98"/>
      <c r="AB536" s="98"/>
      <c r="AC536" s="98"/>
      <c r="AD536" s="98"/>
      <c r="AE536" s="98"/>
    </row>
    <row r="537">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c r="AA537" s="98"/>
      <c r="AB537" s="98"/>
      <c r="AC537" s="98"/>
      <c r="AD537" s="98"/>
      <c r="AE537" s="98"/>
    </row>
    <row r="538">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c r="AA538" s="98"/>
      <c r="AB538" s="98"/>
      <c r="AC538" s="98"/>
      <c r="AD538" s="98"/>
      <c r="AE538" s="98"/>
    </row>
    <row r="539">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c r="AA539" s="98"/>
      <c r="AB539" s="98"/>
      <c r="AC539" s="98"/>
      <c r="AD539" s="98"/>
      <c r="AE539" s="98"/>
    </row>
    <row r="540">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c r="AA540" s="98"/>
      <c r="AB540" s="98"/>
      <c r="AC540" s="98"/>
      <c r="AD540" s="98"/>
      <c r="AE540" s="98"/>
    </row>
    <row r="54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c r="AA541" s="98"/>
      <c r="AB541" s="98"/>
      <c r="AC541" s="98"/>
      <c r="AD541" s="98"/>
      <c r="AE541" s="98"/>
    </row>
    <row r="542">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c r="AA542" s="98"/>
      <c r="AB542" s="98"/>
      <c r="AC542" s="98"/>
      <c r="AD542" s="98"/>
      <c r="AE542" s="98"/>
    </row>
    <row r="543">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c r="AA543" s="98"/>
      <c r="AB543" s="98"/>
      <c r="AC543" s="98"/>
      <c r="AD543" s="98"/>
      <c r="AE543" s="98"/>
    </row>
    <row r="544">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c r="AA544" s="98"/>
      <c r="AB544" s="98"/>
      <c r="AC544" s="98"/>
      <c r="AD544" s="98"/>
      <c r="AE544" s="98"/>
    </row>
    <row r="545">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c r="AA545" s="98"/>
      <c r="AB545" s="98"/>
      <c r="AC545" s="98"/>
      <c r="AD545" s="98"/>
      <c r="AE545" s="98"/>
    </row>
    <row r="546">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c r="AA546" s="98"/>
      <c r="AB546" s="98"/>
      <c r="AC546" s="98"/>
      <c r="AD546" s="98"/>
      <c r="AE546" s="98"/>
    </row>
    <row r="547">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c r="AA547" s="98"/>
      <c r="AB547" s="98"/>
      <c r="AC547" s="98"/>
      <c r="AD547" s="98"/>
      <c r="AE547" s="98"/>
    </row>
    <row r="548">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c r="AA548" s="98"/>
      <c r="AB548" s="98"/>
      <c r="AC548" s="98"/>
      <c r="AD548" s="98"/>
      <c r="AE548" s="98"/>
    </row>
    <row r="549">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c r="AA549" s="98"/>
      <c r="AB549" s="98"/>
      <c r="AC549" s="98"/>
      <c r="AD549" s="98"/>
      <c r="AE549" s="98"/>
    </row>
    <row r="550">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c r="AA550" s="98"/>
      <c r="AB550" s="98"/>
      <c r="AC550" s="98"/>
      <c r="AD550" s="98"/>
      <c r="AE550" s="98"/>
    </row>
    <row r="55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c r="AA551" s="98"/>
      <c r="AB551" s="98"/>
      <c r="AC551" s="98"/>
      <c r="AD551" s="98"/>
      <c r="AE551" s="98"/>
    </row>
    <row r="552">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c r="AA552" s="98"/>
      <c r="AB552" s="98"/>
      <c r="AC552" s="98"/>
      <c r="AD552" s="98"/>
      <c r="AE552" s="98"/>
    </row>
    <row r="553">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c r="AA553" s="98"/>
      <c r="AB553" s="98"/>
      <c r="AC553" s="98"/>
      <c r="AD553" s="98"/>
      <c r="AE553" s="98"/>
    </row>
    <row r="554">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c r="AA554" s="98"/>
      <c r="AB554" s="98"/>
      <c r="AC554" s="98"/>
      <c r="AD554" s="98"/>
      <c r="AE554" s="98"/>
    </row>
    <row r="555">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c r="AA555" s="98"/>
      <c r="AB555" s="98"/>
      <c r="AC555" s="98"/>
      <c r="AD555" s="98"/>
      <c r="AE555" s="98"/>
    </row>
    <row r="556">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c r="AA556" s="98"/>
      <c r="AB556" s="98"/>
      <c r="AC556" s="98"/>
      <c r="AD556" s="98"/>
      <c r="AE556" s="98"/>
    </row>
    <row r="557">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c r="AA557" s="98"/>
      <c r="AB557" s="98"/>
      <c r="AC557" s="98"/>
      <c r="AD557" s="98"/>
      <c r="AE557" s="98"/>
    </row>
    <row r="558">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c r="AA558" s="98"/>
      <c r="AB558" s="98"/>
      <c r="AC558" s="98"/>
      <c r="AD558" s="98"/>
      <c r="AE558" s="98"/>
    </row>
    <row r="559">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c r="AA559" s="98"/>
      <c r="AB559" s="98"/>
      <c r="AC559" s="98"/>
      <c r="AD559" s="98"/>
      <c r="AE559" s="98"/>
    </row>
    <row r="560">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c r="AA560" s="98"/>
      <c r="AB560" s="98"/>
      <c r="AC560" s="98"/>
      <c r="AD560" s="98"/>
      <c r="AE560" s="98"/>
    </row>
    <row r="56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c r="AA561" s="98"/>
      <c r="AB561" s="98"/>
      <c r="AC561" s="98"/>
      <c r="AD561" s="98"/>
      <c r="AE561" s="98"/>
    </row>
    <row r="562">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c r="AA562" s="98"/>
      <c r="AB562" s="98"/>
      <c r="AC562" s="98"/>
      <c r="AD562" s="98"/>
      <c r="AE562" s="98"/>
    </row>
    <row r="563">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c r="AA563" s="98"/>
      <c r="AB563" s="98"/>
      <c r="AC563" s="98"/>
      <c r="AD563" s="98"/>
      <c r="AE563" s="98"/>
    </row>
    <row r="564">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c r="AA564" s="98"/>
      <c r="AB564" s="98"/>
      <c r="AC564" s="98"/>
      <c r="AD564" s="98"/>
      <c r="AE564" s="98"/>
    </row>
    <row r="565">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c r="AA565" s="98"/>
      <c r="AB565" s="98"/>
      <c r="AC565" s="98"/>
      <c r="AD565" s="98"/>
      <c r="AE565" s="98"/>
    </row>
    <row r="566">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c r="AA566" s="98"/>
      <c r="AB566" s="98"/>
      <c r="AC566" s="98"/>
      <c r="AD566" s="98"/>
      <c r="AE566" s="98"/>
    </row>
    <row r="567">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c r="AA567" s="98"/>
      <c r="AB567" s="98"/>
      <c r="AC567" s="98"/>
      <c r="AD567" s="98"/>
      <c r="AE567" s="98"/>
    </row>
    <row r="568">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c r="AA568" s="98"/>
      <c r="AB568" s="98"/>
      <c r="AC568" s="98"/>
      <c r="AD568" s="98"/>
      <c r="AE568" s="98"/>
    </row>
    <row r="569">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c r="AA569" s="98"/>
      <c r="AB569" s="98"/>
      <c r="AC569" s="98"/>
      <c r="AD569" s="98"/>
      <c r="AE569" s="98"/>
    </row>
    <row r="570">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c r="AA570" s="98"/>
      <c r="AB570" s="98"/>
      <c r="AC570" s="98"/>
      <c r="AD570" s="98"/>
      <c r="AE570" s="98"/>
    </row>
    <row r="57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c r="AA571" s="98"/>
      <c r="AB571" s="98"/>
      <c r="AC571" s="98"/>
      <c r="AD571" s="98"/>
      <c r="AE571" s="98"/>
    </row>
    <row r="572">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c r="AA572" s="98"/>
      <c r="AB572" s="98"/>
      <c r="AC572" s="98"/>
      <c r="AD572" s="98"/>
      <c r="AE572" s="98"/>
    </row>
    <row r="573">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c r="AA573" s="98"/>
      <c r="AB573" s="98"/>
      <c r="AC573" s="98"/>
      <c r="AD573" s="98"/>
      <c r="AE573" s="98"/>
    </row>
    <row r="574">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c r="AA574" s="98"/>
      <c r="AB574" s="98"/>
      <c r="AC574" s="98"/>
      <c r="AD574" s="98"/>
      <c r="AE574" s="98"/>
    </row>
    <row r="575">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c r="AA575" s="98"/>
      <c r="AB575" s="98"/>
      <c r="AC575" s="98"/>
      <c r="AD575" s="98"/>
      <c r="AE575" s="98"/>
    </row>
    <row r="576">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c r="AA576" s="98"/>
      <c r="AB576" s="98"/>
      <c r="AC576" s="98"/>
      <c r="AD576" s="98"/>
      <c r="AE576" s="98"/>
    </row>
    <row r="577">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c r="AA577" s="98"/>
      <c r="AB577" s="98"/>
      <c r="AC577" s="98"/>
      <c r="AD577" s="98"/>
      <c r="AE577" s="98"/>
    </row>
    <row r="578">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c r="AA578" s="98"/>
      <c r="AB578" s="98"/>
      <c r="AC578" s="98"/>
      <c r="AD578" s="98"/>
      <c r="AE578" s="98"/>
    </row>
    <row r="579">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c r="AA579" s="98"/>
      <c r="AB579" s="98"/>
      <c r="AC579" s="98"/>
      <c r="AD579" s="98"/>
      <c r="AE579" s="98"/>
    </row>
    <row r="580">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c r="AA580" s="98"/>
      <c r="AB580" s="98"/>
      <c r="AC580" s="98"/>
      <c r="AD580" s="98"/>
      <c r="AE580" s="98"/>
    </row>
    <row r="58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c r="AA581" s="98"/>
      <c r="AB581" s="98"/>
      <c r="AC581" s="98"/>
      <c r="AD581" s="98"/>
      <c r="AE581" s="98"/>
    </row>
    <row r="582">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c r="AA582" s="98"/>
      <c r="AB582" s="98"/>
      <c r="AC582" s="98"/>
      <c r="AD582" s="98"/>
      <c r="AE582" s="98"/>
    </row>
    <row r="583">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c r="AA583" s="98"/>
      <c r="AB583" s="98"/>
      <c r="AC583" s="98"/>
      <c r="AD583" s="98"/>
      <c r="AE583" s="98"/>
    </row>
    <row r="584">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c r="AA584" s="98"/>
      <c r="AB584" s="98"/>
      <c r="AC584" s="98"/>
      <c r="AD584" s="98"/>
      <c r="AE584" s="98"/>
    </row>
    <row r="585">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c r="AA585" s="98"/>
      <c r="AB585" s="98"/>
      <c r="AC585" s="98"/>
      <c r="AD585" s="98"/>
      <c r="AE585" s="98"/>
    </row>
    <row r="586">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c r="AA586" s="98"/>
      <c r="AB586" s="98"/>
      <c r="AC586" s="98"/>
      <c r="AD586" s="98"/>
      <c r="AE586" s="98"/>
    </row>
    <row r="587">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c r="AA587" s="98"/>
      <c r="AB587" s="98"/>
      <c r="AC587" s="98"/>
      <c r="AD587" s="98"/>
      <c r="AE587" s="98"/>
    </row>
    <row r="588">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c r="AA588" s="98"/>
      <c r="AB588" s="98"/>
      <c r="AC588" s="98"/>
      <c r="AD588" s="98"/>
      <c r="AE588" s="98"/>
    </row>
    <row r="589">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c r="AA589" s="98"/>
      <c r="AB589" s="98"/>
      <c r="AC589" s="98"/>
      <c r="AD589" s="98"/>
      <c r="AE589" s="98"/>
    </row>
    <row r="590">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c r="AA590" s="98"/>
      <c r="AB590" s="98"/>
      <c r="AC590" s="98"/>
      <c r="AD590" s="98"/>
      <c r="AE590" s="98"/>
    </row>
    <row r="59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c r="AA591" s="98"/>
      <c r="AB591" s="98"/>
      <c r="AC591" s="98"/>
      <c r="AD591" s="98"/>
      <c r="AE591" s="98"/>
    </row>
    <row r="592">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c r="AA592" s="98"/>
      <c r="AB592" s="98"/>
      <c r="AC592" s="98"/>
      <c r="AD592" s="98"/>
      <c r="AE592" s="98"/>
    </row>
    <row r="593">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c r="AA593" s="98"/>
      <c r="AB593" s="98"/>
      <c r="AC593" s="98"/>
      <c r="AD593" s="98"/>
      <c r="AE593" s="98"/>
    </row>
    <row r="594">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c r="AA594" s="98"/>
      <c r="AB594" s="98"/>
      <c r="AC594" s="98"/>
      <c r="AD594" s="98"/>
      <c r="AE594" s="98"/>
    </row>
    <row r="595">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c r="AA595" s="98"/>
      <c r="AB595" s="98"/>
      <c r="AC595" s="98"/>
      <c r="AD595" s="98"/>
      <c r="AE595" s="98"/>
    </row>
    <row r="596">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c r="AA596" s="98"/>
      <c r="AB596" s="98"/>
      <c r="AC596" s="98"/>
      <c r="AD596" s="98"/>
      <c r="AE596" s="98"/>
    </row>
    <row r="597">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c r="AA597" s="98"/>
      <c r="AB597" s="98"/>
      <c r="AC597" s="98"/>
      <c r="AD597" s="98"/>
      <c r="AE597" s="98"/>
    </row>
    <row r="598">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c r="AA598" s="98"/>
      <c r="AB598" s="98"/>
      <c r="AC598" s="98"/>
      <c r="AD598" s="98"/>
      <c r="AE598" s="98"/>
    </row>
    <row r="599">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c r="AA599" s="98"/>
      <c r="AB599" s="98"/>
      <c r="AC599" s="98"/>
      <c r="AD599" s="98"/>
      <c r="AE599" s="98"/>
    </row>
    <row r="600">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c r="AA600" s="98"/>
      <c r="AB600" s="98"/>
      <c r="AC600" s="98"/>
      <c r="AD600" s="98"/>
      <c r="AE600" s="98"/>
    </row>
    <row r="60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c r="AA601" s="98"/>
      <c r="AB601" s="98"/>
      <c r="AC601" s="98"/>
      <c r="AD601" s="98"/>
      <c r="AE601" s="98"/>
    </row>
    <row r="602">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c r="AA602" s="98"/>
      <c r="AB602" s="98"/>
      <c r="AC602" s="98"/>
      <c r="AD602" s="98"/>
      <c r="AE602" s="98"/>
    </row>
    <row r="603">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c r="AA603" s="98"/>
      <c r="AB603" s="98"/>
      <c r="AC603" s="98"/>
      <c r="AD603" s="98"/>
      <c r="AE603" s="98"/>
    </row>
    <row r="604">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c r="AA604" s="98"/>
      <c r="AB604" s="98"/>
      <c r="AC604" s="98"/>
      <c r="AD604" s="98"/>
      <c r="AE604" s="98"/>
    </row>
    <row r="605">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c r="AA605" s="98"/>
      <c r="AB605" s="98"/>
      <c r="AC605" s="98"/>
      <c r="AD605" s="98"/>
      <c r="AE605" s="98"/>
    </row>
    <row r="606">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c r="AA606" s="98"/>
      <c r="AB606" s="98"/>
      <c r="AC606" s="98"/>
      <c r="AD606" s="98"/>
      <c r="AE606" s="98"/>
    </row>
    <row r="607">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c r="AA607" s="98"/>
      <c r="AB607" s="98"/>
      <c r="AC607" s="98"/>
      <c r="AD607" s="98"/>
      <c r="AE607" s="98"/>
    </row>
    <row r="608">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c r="AA608" s="98"/>
      <c r="AB608" s="98"/>
      <c r="AC608" s="98"/>
      <c r="AD608" s="98"/>
      <c r="AE608" s="98"/>
    </row>
    <row r="609">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c r="AA609" s="98"/>
      <c r="AB609" s="98"/>
      <c r="AC609" s="98"/>
      <c r="AD609" s="98"/>
      <c r="AE609" s="98"/>
    </row>
    <row r="610">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c r="AA610" s="98"/>
      <c r="AB610" s="98"/>
      <c r="AC610" s="98"/>
      <c r="AD610" s="98"/>
      <c r="AE610" s="98"/>
    </row>
    <row r="61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c r="AA611" s="98"/>
      <c r="AB611" s="98"/>
      <c r="AC611" s="98"/>
      <c r="AD611" s="98"/>
      <c r="AE611" s="98"/>
    </row>
    <row r="612">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c r="AA612" s="98"/>
      <c r="AB612" s="98"/>
      <c r="AC612" s="98"/>
      <c r="AD612" s="98"/>
      <c r="AE612" s="98"/>
    </row>
    <row r="613">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c r="AA613" s="98"/>
      <c r="AB613" s="98"/>
      <c r="AC613" s="98"/>
      <c r="AD613" s="98"/>
      <c r="AE613" s="98"/>
    </row>
    <row r="614">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c r="AA614" s="98"/>
      <c r="AB614" s="98"/>
      <c r="AC614" s="98"/>
      <c r="AD614" s="98"/>
      <c r="AE614" s="98"/>
    </row>
    <row r="615">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c r="AA615" s="98"/>
      <c r="AB615" s="98"/>
      <c r="AC615" s="98"/>
      <c r="AD615" s="98"/>
      <c r="AE615" s="98"/>
    </row>
    <row r="616">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c r="AA616" s="98"/>
      <c r="AB616" s="98"/>
      <c r="AC616" s="98"/>
      <c r="AD616" s="98"/>
      <c r="AE616" s="98"/>
    </row>
    <row r="617">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c r="AA617" s="98"/>
      <c r="AB617" s="98"/>
      <c r="AC617" s="98"/>
      <c r="AD617" s="98"/>
      <c r="AE617" s="98"/>
    </row>
    <row r="618">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c r="AA618" s="98"/>
      <c r="AB618" s="98"/>
      <c r="AC618" s="98"/>
      <c r="AD618" s="98"/>
      <c r="AE618" s="98"/>
    </row>
    <row r="619">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c r="AA619" s="98"/>
      <c r="AB619" s="98"/>
      <c r="AC619" s="98"/>
      <c r="AD619" s="98"/>
      <c r="AE619" s="98"/>
    </row>
    <row r="620">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c r="AA620" s="98"/>
      <c r="AB620" s="98"/>
      <c r="AC620" s="98"/>
      <c r="AD620" s="98"/>
      <c r="AE620" s="98"/>
    </row>
    <row r="62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c r="AA621" s="98"/>
      <c r="AB621" s="98"/>
      <c r="AC621" s="98"/>
      <c r="AD621" s="98"/>
      <c r="AE621" s="98"/>
    </row>
    <row r="622">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c r="AA622" s="98"/>
      <c r="AB622" s="98"/>
      <c r="AC622" s="98"/>
      <c r="AD622" s="98"/>
      <c r="AE622" s="98"/>
    </row>
    <row r="623">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c r="AA623" s="98"/>
      <c r="AB623" s="98"/>
      <c r="AC623" s="98"/>
      <c r="AD623" s="98"/>
      <c r="AE623" s="98"/>
    </row>
    <row r="624">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c r="AA624" s="98"/>
      <c r="AB624" s="98"/>
      <c r="AC624" s="98"/>
      <c r="AD624" s="98"/>
      <c r="AE624" s="98"/>
    </row>
    <row r="625">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c r="AA625" s="98"/>
      <c r="AB625" s="98"/>
      <c r="AC625" s="98"/>
      <c r="AD625" s="98"/>
      <c r="AE625" s="98"/>
    </row>
    <row r="626">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c r="AA626" s="98"/>
      <c r="AB626" s="98"/>
      <c r="AC626" s="98"/>
      <c r="AD626" s="98"/>
      <c r="AE626" s="98"/>
    </row>
    <row r="627">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c r="AA627" s="98"/>
      <c r="AB627" s="98"/>
      <c r="AC627" s="98"/>
      <c r="AD627" s="98"/>
      <c r="AE627" s="98"/>
    </row>
    <row r="628">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c r="AA628" s="98"/>
      <c r="AB628" s="98"/>
      <c r="AC628" s="98"/>
      <c r="AD628" s="98"/>
      <c r="AE628" s="98"/>
    </row>
    <row r="629">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c r="AA629" s="98"/>
      <c r="AB629" s="98"/>
      <c r="AC629" s="98"/>
      <c r="AD629" s="98"/>
      <c r="AE629" s="98"/>
    </row>
    <row r="630">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c r="AA630" s="98"/>
      <c r="AB630" s="98"/>
      <c r="AC630" s="98"/>
      <c r="AD630" s="98"/>
      <c r="AE630" s="98"/>
    </row>
    <row r="63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c r="AA631" s="98"/>
      <c r="AB631" s="98"/>
      <c r="AC631" s="98"/>
      <c r="AD631" s="98"/>
      <c r="AE631" s="98"/>
    </row>
    <row r="632">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c r="AA632" s="98"/>
      <c r="AB632" s="98"/>
      <c r="AC632" s="98"/>
      <c r="AD632" s="98"/>
      <c r="AE632" s="98"/>
    </row>
    <row r="633">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c r="AA633" s="98"/>
      <c r="AB633" s="98"/>
      <c r="AC633" s="98"/>
      <c r="AD633" s="98"/>
      <c r="AE633" s="98"/>
    </row>
    <row r="634">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c r="AA634" s="98"/>
      <c r="AB634" s="98"/>
      <c r="AC634" s="98"/>
      <c r="AD634" s="98"/>
      <c r="AE634" s="98"/>
    </row>
    <row r="635">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c r="AA635" s="98"/>
      <c r="AB635" s="98"/>
      <c r="AC635" s="98"/>
      <c r="AD635" s="98"/>
      <c r="AE635" s="98"/>
    </row>
    <row r="636">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c r="AA636" s="98"/>
      <c r="AB636" s="98"/>
      <c r="AC636" s="98"/>
      <c r="AD636" s="98"/>
      <c r="AE636" s="98"/>
    </row>
    <row r="637">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c r="AA637" s="98"/>
      <c r="AB637" s="98"/>
      <c r="AC637" s="98"/>
      <c r="AD637" s="98"/>
      <c r="AE637" s="98"/>
    </row>
    <row r="638">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c r="AA638" s="98"/>
      <c r="AB638" s="98"/>
      <c r="AC638" s="98"/>
      <c r="AD638" s="98"/>
      <c r="AE638" s="98"/>
    </row>
    <row r="639">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c r="AA639" s="98"/>
      <c r="AB639" s="98"/>
      <c r="AC639" s="98"/>
      <c r="AD639" s="98"/>
      <c r="AE639" s="98"/>
    </row>
    <row r="640">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c r="AA640" s="98"/>
      <c r="AB640" s="98"/>
      <c r="AC640" s="98"/>
      <c r="AD640" s="98"/>
      <c r="AE640" s="98"/>
    </row>
    <row r="64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c r="AA641" s="98"/>
      <c r="AB641" s="98"/>
      <c r="AC641" s="98"/>
      <c r="AD641" s="98"/>
      <c r="AE641" s="98"/>
    </row>
    <row r="642">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c r="AA642" s="98"/>
      <c r="AB642" s="98"/>
      <c r="AC642" s="98"/>
      <c r="AD642" s="98"/>
      <c r="AE642" s="98"/>
    </row>
    <row r="643">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c r="AA643" s="98"/>
      <c r="AB643" s="98"/>
      <c r="AC643" s="98"/>
      <c r="AD643" s="98"/>
      <c r="AE643" s="98"/>
    </row>
    <row r="644">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c r="AA644" s="98"/>
      <c r="AB644" s="98"/>
      <c r="AC644" s="98"/>
      <c r="AD644" s="98"/>
      <c r="AE644" s="98"/>
    </row>
    <row r="645">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c r="AA645" s="98"/>
      <c r="AB645" s="98"/>
      <c r="AC645" s="98"/>
      <c r="AD645" s="98"/>
      <c r="AE645" s="98"/>
    </row>
    <row r="646">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c r="AA646" s="98"/>
      <c r="AB646" s="98"/>
      <c r="AC646" s="98"/>
      <c r="AD646" s="98"/>
      <c r="AE646" s="98"/>
    </row>
    <row r="647">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c r="AA647" s="98"/>
      <c r="AB647" s="98"/>
      <c r="AC647" s="98"/>
      <c r="AD647" s="98"/>
      <c r="AE647" s="98"/>
    </row>
    <row r="648">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c r="AA648" s="98"/>
      <c r="AB648" s="98"/>
      <c r="AC648" s="98"/>
      <c r="AD648" s="98"/>
      <c r="AE648" s="98"/>
    </row>
    <row r="649">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c r="AA649" s="98"/>
      <c r="AB649" s="98"/>
      <c r="AC649" s="98"/>
      <c r="AD649" s="98"/>
      <c r="AE649" s="98"/>
    </row>
    <row r="650">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c r="AA650" s="98"/>
      <c r="AB650" s="98"/>
      <c r="AC650" s="98"/>
      <c r="AD650" s="98"/>
      <c r="AE650" s="98"/>
    </row>
    <row r="65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c r="AA651" s="98"/>
      <c r="AB651" s="98"/>
      <c r="AC651" s="98"/>
      <c r="AD651" s="98"/>
      <c r="AE651" s="98"/>
    </row>
    <row r="652">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c r="AA652" s="98"/>
      <c r="AB652" s="98"/>
      <c r="AC652" s="98"/>
      <c r="AD652" s="98"/>
      <c r="AE652" s="98"/>
    </row>
    <row r="653">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c r="AA653" s="98"/>
      <c r="AB653" s="98"/>
      <c r="AC653" s="98"/>
      <c r="AD653" s="98"/>
      <c r="AE653" s="98"/>
    </row>
    <row r="654">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c r="AA654" s="98"/>
      <c r="AB654" s="98"/>
      <c r="AC654" s="98"/>
      <c r="AD654" s="98"/>
      <c r="AE654" s="98"/>
    </row>
    <row r="655">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c r="AA655" s="98"/>
      <c r="AB655" s="98"/>
      <c r="AC655" s="98"/>
      <c r="AD655" s="98"/>
      <c r="AE655" s="98"/>
    </row>
    <row r="656">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c r="AA656" s="98"/>
      <c r="AB656" s="98"/>
      <c r="AC656" s="98"/>
      <c r="AD656" s="98"/>
      <c r="AE656" s="98"/>
    </row>
    <row r="657">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c r="AA657" s="98"/>
      <c r="AB657" s="98"/>
      <c r="AC657" s="98"/>
      <c r="AD657" s="98"/>
      <c r="AE657" s="98"/>
    </row>
    <row r="658">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c r="AA658" s="98"/>
      <c r="AB658" s="98"/>
      <c r="AC658" s="98"/>
      <c r="AD658" s="98"/>
      <c r="AE658" s="98"/>
    </row>
    <row r="659">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c r="AA659" s="98"/>
      <c r="AB659" s="98"/>
      <c r="AC659" s="98"/>
      <c r="AD659" s="98"/>
      <c r="AE659" s="98"/>
    </row>
    <row r="660">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c r="AA660" s="98"/>
      <c r="AB660" s="98"/>
      <c r="AC660" s="98"/>
      <c r="AD660" s="98"/>
      <c r="AE660" s="98"/>
    </row>
    <row r="66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c r="AA661" s="98"/>
      <c r="AB661" s="98"/>
      <c r="AC661" s="98"/>
      <c r="AD661" s="98"/>
      <c r="AE661" s="98"/>
    </row>
    <row r="662">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c r="AA662" s="98"/>
      <c r="AB662" s="98"/>
      <c r="AC662" s="98"/>
      <c r="AD662" s="98"/>
      <c r="AE662" s="98"/>
    </row>
    <row r="663">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c r="AA663" s="98"/>
      <c r="AB663" s="98"/>
      <c r="AC663" s="98"/>
      <c r="AD663" s="98"/>
      <c r="AE663" s="98"/>
    </row>
    <row r="664">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c r="AA664" s="98"/>
      <c r="AB664" s="98"/>
      <c r="AC664" s="98"/>
      <c r="AD664" s="98"/>
      <c r="AE664" s="98"/>
    </row>
    <row r="665">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c r="AA665" s="98"/>
      <c r="AB665" s="98"/>
      <c r="AC665" s="98"/>
      <c r="AD665" s="98"/>
      <c r="AE665" s="98"/>
    </row>
    <row r="666">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c r="AA666" s="98"/>
      <c r="AB666" s="98"/>
      <c r="AC666" s="98"/>
      <c r="AD666" s="98"/>
      <c r="AE666" s="98"/>
    </row>
    <row r="667">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c r="AA667" s="98"/>
      <c r="AB667" s="98"/>
      <c r="AC667" s="98"/>
      <c r="AD667" s="98"/>
      <c r="AE667" s="98"/>
    </row>
    <row r="668">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c r="AA668" s="98"/>
      <c r="AB668" s="98"/>
      <c r="AC668" s="98"/>
      <c r="AD668" s="98"/>
      <c r="AE668" s="98"/>
    </row>
    <row r="669">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c r="AA669" s="98"/>
      <c r="AB669" s="98"/>
      <c r="AC669" s="98"/>
      <c r="AD669" s="98"/>
      <c r="AE669" s="98"/>
    </row>
    <row r="670">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c r="AA670" s="98"/>
      <c r="AB670" s="98"/>
      <c r="AC670" s="98"/>
      <c r="AD670" s="98"/>
      <c r="AE670" s="98"/>
    </row>
    <row r="67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c r="AA671" s="98"/>
      <c r="AB671" s="98"/>
      <c r="AC671" s="98"/>
      <c r="AD671" s="98"/>
      <c r="AE671" s="98"/>
    </row>
    <row r="672">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c r="AA672" s="98"/>
      <c r="AB672" s="98"/>
      <c r="AC672" s="98"/>
      <c r="AD672" s="98"/>
      <c r="AE672" s="98"/>
    </row>
    <row r="673">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c r="AA673" s="98"/>
      <c r="AB673" s="98"/>
      <c r="AC673" s="98"/>
      <c r="AD673" s="98"/>
      <c r="AE673" s="98"/>
    </row>
    <row r="674">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c r="AA674" s="98"/>
      <c r="AB674" s="98"/>
      <c r="AC674" s="98"/>
      <c r="AD674" s="98"/>
      <c r="AE674" s="98"/>
    </row>
    <row r="675">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c r="AA675" s="98"/>
      <c r="AB675" s="98"/>
      <c r="AC675" s="98"/>
      <c r="AD675" s="98"/>
      <c r="AE675" s="98"/>
    </row>
    <row r="676">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c r="AA676" s="98"/>
      <c r="AB676" s="98"/>
      <c r="AC676" s="98"/>
      <c r="AD676" s="98"/>
      <c r="AE676" s="98"/>
    </row>
    <row r="677">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c r="AA677" s="98"/>
      <c r="AB677" s="98"/>
      <c r="AC677" s="98"/>
      <c r="AD677" s="98"/>
      <c r="AE677" s="98"/>
    </row>
    <row r="678">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c r="AA678" s="98"/>
      <c r="AB678" s="98"/>
      <c r="AC678" s="98"/>
      <c r="AD678" s="98"/>
      <c r="AE678" s="98"/>
    </row>
    <row r="679">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c r="AA679" s="98"/>
      <c r="AB679" s="98"/>
      <c r="AC679" s="98"/>
      <c r="AD679" s="98"/>
      <c r="AE679" s="98"/>
    </row>
    <row r="680">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c r="AA680" s="98"/>
      <c r="AB680" s="98"/>
      <c r="AC680" s="98"/>
      <c r="AD680" s="98"/>
      <c r="AE680" s="98"/>
    </row>
    <row r="68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c r="AA681" s="98"/>
      <c r="AB681" s="98"/>
      <c r="AC681" s="98"/>
      <c r="AD681" s="98"/>
      <c r="AE681" s="98"/>
    </row>
    <row r="682">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c r="AA682" s="98"/>
      <c r="AB682" s="98"/>
      <c r="AC682" s="98"/>
      <c r="AD682" s="98"/>
      <c r="AE682" s="98"/>
    </row>
    <row r="683">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c r="AA683" s="98"/>
      <c r="AB683" s="98"/>
      <c r="AC683" s="98"/>
      <c r="AD683" s="98"/>
      <c r="AE683" s="98"/>
    </row>
    <row r="684">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c r="AA684" s="98"/>
      <c r="AB684" s="98"/>
      <c r="AC684" s="98"/>
      <c r="AD684" s="98"/>
      <c r="AE684" s="98"/>
    </row>
    <row r="685">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c r="AA685" s="98"/>
      <c r="AB685" s="98"/>
      <c r="AC685" s="98"/>
      <c r="AD685" s="98"/>
      <c r="AE685" s="98"/>
    </row>
    <row r="686">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c r="AA686" s="98"/>
      <c r="AB686" s="98"/>
      <c r="AC686" s="98"/>
      <c r="AD686" s="98"/>
      <c r="AE686" s="98"/>
    </row>
    <row r="687">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c r="AA687" s="98"/>
      <c r="AB687" s="98"/>
      <c r="AC687" s="98"/>
      <c r="AD687" s="98"/>
      <c r="AE687" s="98"/>
    </row>
    <row r="688">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c r="AA688" s="98"/>
      <c r="AB688" s="98"/>
      <c r="AC688" s="98"/>
      <c r="AD688" s="98"/>
      <c r="AE688" s="98"/>
    </row>
    <row r="689">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c r="AA689" s="98"/>
      <c r="AB689" s="98"/>
      <c r="AC689" s="98"/>
      <c r="AD689" s="98"/>
      <c r="AE689" s="98"/>
    </row>
    <row r="690">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c r="AA690" s="98"/>
      <c r="AB690" s="98"/>
      <c r="AC690" s="98"/>
      <c r="AD690" s="98"/>
      <c r="AE690" s="98"/>
    </row>
    <row r="69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c r="AA691" s="98"/>
      <c r="AB691" s="98"/>
      <c r="AC691" s="98"/>
      <c r="AD691" s="98"/>
      <c r="AE691" s="98"/>
    </row>
    <row r="692">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c r="AA692" s="98"/>
      <c r="AB692" s="98"/>
      <c r="AC692" s="98"/>
      <c r="AD692" s="98"/>
      <c r="AE692" s="98"/>
    </row>
    <row r="693">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c r="AA693" s="98"/>
      <c r="AB693" s="98"/>
      <c r="AC693" s="98"/>
      <c r="AD693" s="98"/>
      <c r="AE693" s="98"/>
    </row>
    <row r="694">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c r="AA694" s="98"/>
      <c r="AB694" s="98"/>
      <c r="AC694" s="98"/>
      <c r="AD694" s="98"/>
      <c r="AE694" s="98"/>
    </row>
    <row r="695">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c r="AA695" s="98"/>
      <c r="AB695" s="98"/>
      <c r="AC695" s="98"/>
      <c r="AD695" s="98"/>
      <c r="AE695" s="98"/>
    </row>
    <row r="696">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c r="AA696" s="98"/>
      <c r="AB696" s="98"/>
      <c r="AC696" s="98"/>
      <c r="AD696" s="98"/>
      <c r="AE696" s="98"/>
    </row>
    <row r="697">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c r="AA697" s="98"/>
      <c r="AB697" s="98"/>
      <c r="AC697" s="98"/>
      <c r="AD697" s="98"/>
      <c r="AE697" s="98"/>
    </row>
    <row r="698">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c r="AA698" s="98"/>
      <c r="AB698" s="98"/>
      <c r="AC698" s="98"/>
      <c r="AD698" s="98"/>
      <c r="AE698" s="98"/>
    </row>
    <row r="699">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c r="AA699" s="98"/>
      <c r="AB699" s="98"/>
      <c r="AC699" s="98"/>
      <c r="AD699" s="98"/>
      <c r="AE699" s="98"/>
    </row>
    <row r="700">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c r="AA700" s="98"/>
      <c r="AB700" s="98"/>
      <c r="AC700" s="98"/>
      <c r="AD700" s="98"/>
      <c r="AE700" s="98"/>
    </row>
    <row r="70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c r="AA701" s="98"/>
      <c r="AB701" s="98"/>
      <c r="AC701" s="98"/>
      <c r="AD701" s="98"/>
      <c r="AE701" s="98"/>
    </row>
    <row r="702">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c r="AA702" s="98"/>
      <c r="AB702" s="98"/>
      <c r="AC702" s="98"/>
      <c r="AD702" s="98"/>
      <c r="AE702" s="98"/>
    </row>
    <row r="703">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c r="AA703" s="98"/>
      <c r="AB703" s="98"/>
      <c r="AC703" s="98"/>
      <c r="AD703" s="98"/>
      <c r="AE703" s="98"/>
    </row>
    <row r="704">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c r="AA704" s="98"/>
      <c r="AB704" s="98"/>
      <c r="AC704" s="98"/>
      <c r="AD704" s="98"/>
      <c r="AE704" s="98"/>
    </row>
    <row r="705">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c r="AA705" s="98"/>
      <c r="AB705" s="98"/>
      <c r="AC705" s="98"/>
      <c r="AD705" s="98"/>
      <c r="AE705" s="98"/>
    </row>
    <row r="706">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c r="AA706" s="98"/>
      <c r="AB706" s="98"/>
      <c r="AC706" s="98"/>
      <c r="AD706" s="98"/>
      <c r="AE706" s="98"/>
    </row>
    <row r="707">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c r="AA707" s="98"/>
      <c r="AB707" s="98"/>
      <c r="AC707" s="98"/>
      <c r="AD707" s="98"/>
      <c r="AE707" s="98"/>
    </row>
    <row r="708">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c r="AA708" s="98"/>
      <c r="AB708" s="98"/>
      <c r="AC708" s="98"/>
      <c r="AD708" s="98"/>
      <c r="AE708" s="98"/>
    </row>
    <row r="709">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c r="AA709" s="98"/>
      <c r="AB709" s="98"/>
      <c r="AC709" s="98"/>
      <c r="AD709" s="98"/>
      <c r="AE709" s="98"/>
    </row>
    <row r="710">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c r="AA710" s="98"/>
      <c r="AB710" s="98"/>
      <c r="AC710" s="98"/>
      <c r="AD710" s="98"/>
      <c r="AE710" s="98"/>
    </row>
    <row r="71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c r="AA711" s="98"/>
      <c r="AB711" s="98"/>
      <c r="AC711" s="98"/>
      <c r="AD711" s="98"/>
      <c r="AE711" s="98"/>
    </row>
    <row r="712">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c r="AA712" s="98"/>
      <c r="AB712" s="98"/>
      <c r="AC712" s="98"/>
      <c r="AD712" s="98"/>
      <c r="AE712" s="98"/>
    </row>
    <row r="713">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c r="AA713" s="98"/>
      <c r="AB713" s="98"/>
      <c r="AC713" s="98"/>
      <c r="AD713" s="98"/>
      <c r="AE713" s="98"/>
    </row>
    <row r="714">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c r="AA714" s="98"/>
      <c r="AB714" s="98"/>
      <c r="AC714" s="98"/>
      <c r="AD714" s="98"/>
      <c r="AE714" s="98"/>
    </row>
    <row r="715">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c r="AA715" s="98"/>
      <c r="AB715" s="98"/>
      <c r="AC715" s="98"/>
      <c r="AD715" s="98"/>
      <c r="AE715" s="98"/>
    </row>
    <row r="716">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c r="AA716" s="98"/>
      <c r="AB716" s="98"/>
      <c r="AC716" s="98"/>
      <c r="AD716" s="98"/>
      <c r="AE716" s="98"/>
    </row>
    <row r="717">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c r="AA717" s="98"/>
      <c r="AB717" s="98"/>
      <c r="AC717" s="98"/>
      <c r="AD717" s="98"/>
      <c r="AE717" s="98"/>
    </row>
    <row r="718">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c r="AA718" s="98"/>
      <c r="AB718" s="98"/>
      <c r="AC718" s="98"/>
      <c r="AD718" s="98"/>
      <c r="AE718" s="98"/>
    </row>
    <row r="719">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c r="AA719" s="98"/>
      <c r="AB719" s="98"/>
      <c r="AC719" s="98"/>
      <c r="AD719" s="98"/>
      <c r="AE719" s="98"/>
    </row>
    <row r="720">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c r="AA720" s="98"/>
      <c r="AB720" s="98"/>
      <c r="AC720" s="98"/>
      <c r="AD720" s="98"/>
      <c r="AE720" s="98"/>
    </row>
    <row r="72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c r="AA721" s="98"/>
      <c r="AB721" s="98"/>
      <c r="AC721" s="98"/>
      <c r="AD721" s="98"/>
      <c r="AE721" s="98"/>
    </row>
    <row r="722">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c r="AA722" s="98"/>
      <c r="AB722" s="98"/>
      <c r="AC722" s="98"/>
      <c r="AD722" s="98"/>
      <c r="AE722" s="98"/>
    </row>
    <row r="723">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c r="AA723" s="98"/>
      <c r="AB723" s="98"/>
      <c r="AC723" s="98"/>
      <c r="AD723" s="98"/>
      <c r="AE723" s="98"/>
    </row>
    <row r="724">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c r="AA724" s="98"/>
      <c r="AB724" s="98"/>
      <c r="AC724" s="98"/>
      <c r="AD724" s="98"/>
      <c r="AE724" s="98"/>
    </row>
    <row r="725">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c r="AA725" s="98"/>
      <c r="AB725" s="98"/>
      <c r="AC725" s="98"/>
      <c r="AD725" s="98"/>
      <c r="AE725" s="98"/>
    </row>
    <row r="726">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c r="AA726" s="98"/>
      <c r="AB726" s="98"/>
      <c r="AC726" s="98"/>
      <c r="AD726" s="98"/>
      <c r="AE726" s="98"/>
    </row>
    <row r="727">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c r="AA727" s="98"/>
      <c r="AB727" s="98"/>
      <c r="AC727" s="98"/>
      <c r="AD727" s="98"/>
      <c r="AE727" s="98"/>
    </row>
    <row r="728">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c r="AA728" s="98"/>
      <c r="AB728" s="98"/>
      <c r="AC728" s="98"/>
      <c r="AD728" s="98"/>
      <c r="AE728" s="98"/>
    </row>
    <row r="729">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c r="AA729" s="98"/>
      <c r="AB729" s="98"/>
      <c r="AC729" s="98"/>
      <c r="AD729" s="98"/>
      <c r="AE729" s="98"/>
    </row>
    <row r="730">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c r="AA730" s="98"/>
      <c r="AB730" s="98"/>
      <c r="AC730" s="98"/>
      <c r="AD730" s="98"/>
      <c r="AE730" s="98"/>
    </row>
    <row r="731">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c r="AA731" s="98"/>
      <c r="AB731" s="98"/>
      <c r="AC731" s="98"/>
      <c r="AD731" s="98"/>
      <c r="AE731" s="98"/>
    </row>
    <row r="732">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c r="AA732" s="98"/>
      <c r="AB732" s="98"/>
      <c r="AC732" s="98"/>
      <c r="AD732" s="98"/>
      <c r="AE732" s="98"/>
    </row>
    <row r="733">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c r="AA733" s="98"/>
      <c r="AB733" s="98"/>
      <c r="AC733" s="98"/>
      <c r="AD733" s="98"/>
      <c r="AE733" s="98"/>
    </row>
    <row r="734">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c r="AA734" s="98"/>
      <c r="AB734" s="98"/>
      <c r="AC734" s="98"/>
      <c r="AD734" s="98"/>
      <c r="AE734" s="98"/>
    </row>
    <row r="735">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c r="AA735" s="98"/>
      <c r="AB735" s="98"/>
      <c r="AC735" s="98"/>
      <c r="AD735" s="98"/>
      <c r="AE735" s="98"/>
    </row>
    <row r="736">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c r="AA736" s="98"/>
      <c r="AB736" s="98"/>
      <c r="AC736" s="98"/>
      <c r="AD736" s="98"/>
      <c r="AE736" s="98"/>
    </row>
    <row r="737">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c r="AA737" s="98"/>
      <c r="AB737" s="98"/>
      <c r="AC737" s="98"/>
      <c r="AD737" s="98"/>
      <c r="AE737" s="98"/>
    </row>
    <row r="738">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c r="AA738" s="98"/>
      <c r="AB738" s="98"/>
      <c r="AC738" s="98"/>
      <c r="AD738" s="98"/>
      <c r="AE738" s="98"/>
    </row>
    <row r="739">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c r="AA739" s="98"/>
      <c r="AB739" s="98"/>
      <c r="AC739" s="98"/>
      <c r="AD739" s="98"/>
      <c r="AE739" s="98"/>
    </row>
    <row r="740">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c r="AA740" s="98"/>
      <c r="AB740" s="98"/>
      <c r="AC740" s="98"/>
      <c r="AD740" s="98"/>
      <c r="AE740" s="98"/>
    </row>
    <row r="741">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c r="AA741" s="98"/>
      <c r="AB741" s="98"/>
      <c r="AC741" s="98"/>
      <c r="AD741" s="98"/>
      <c r="AE741" s="98"/>
    </row>
    <row r="742">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c r="AA742" s="98"/>
      <c r="AB742" s="98"/>
      <c r="AC742" s="98"/>
      <c r="AD742" s="98"/>
      <c r="AE742" s="98"/>
    </row>
    <row r="743">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c r="AA743" s="98"/>
      <c r="AB743" s="98"/>
      <c r="AC743" s="98"/>
      <c r="AD743" s="98"/>
      <c r="AE743" s="98"/>
    </row>
    <row r="744">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c r="AA744" s="98"/>
      <c r="AB744" s="98"/>
      <c r="AC744" s="98"/>
      <c r="AD744" s="98"/>
      <c r="AE744" s="98"/>
    </row>
    <row r="745">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c r="AA745" s="98"/>
      <c r="AB745" s="98"/>
      <c r="AC745" s="98"/>
      <c r="AD745" s="98"/>
      <c r="AE745" s="98"/>
    </row>
    <row r="746">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c r="AA746" s="98"/>
      <c r="AB746" s="98"/>
      <c r="AC746" s="98"/>
      <c r="AD746" s="98"/>
      <c r="AE746" s="98"/>
    </row>
    <row r="747">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c r="AA747" s="98"/>
      <c r="AB747" s="98"/>
      <c r="AC747" s="98"/>
      <c r="AD747" s="98"/>
      <c r="AE747" s="98"/>
    </row>
    <row r="748">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c r="AA748" s="98"/>
      <c r="AB748" s="98"/>
      <c r="AC748" s="98"/>
      <c r="AD748" s="98"/>
      <c r="AE748" s="98"/>
    </row>
    <row r="749">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c r="AA749" s="98"/>
      <c r="AB749" s="98"/>
      <c r="AC749" s="98"/>
      <c r="AD749" s="98"/>
      <c r="AE749" s="98"/>
    </row>
    <row r="750">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c r="AA750" s="98"/>
      <c r="AB750" s="98"/>
      <c r="AC750" s="98"/>
      <c r="AD750" s="98"/>
      <c r="AE750" s="98"/>
    </row>
    <row r="751">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c r="AA751" s="98"/>
      <c r="AB751" s="98"/>
      <c r="AC751" s="98"/>
      <c r="AD751" s="98"/>
      <c r="AE751" s="98"/>
    </row>
    <row r="752">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c r="AA752" s="98"/>
      <c r="AB752" s="98"/>
      <c r="AC752" s="98"/>
      <c r="AD752" s="98"/>
      <c r="AE752" s="98"/>
    </row>
    <row r="753">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c r="AA753" s="98"/>
      <c r="AB753" s="98"/>
      <c r="AC753" s="98"/>
      <c r="AD753" s="98"/>
      <c r="AE753" s="98"/>
    </row>
    <row r="754">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c r="AA754" s="98"/>
      <c r="AB754" s="98"/>
      <c r="AC754" s="98"/>
      <c r="AD754" s="98"/>
      <c r="AE754" s="98"/>
    </row>
    <row r="755">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c r="AA755" s="98"/>
      <c r="AB755" s="98"/>
      <c r="AC755" s="98"/>
      <c r="AD755" s="98"/>
      <c r="AE755" s="98"/>
    </row>
    <row r="756">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c r="AA756" s="98"/>
      <c r="AB756" s="98"/>
      <c r="AC756" s="98"/>
      <c r="AD756" s="98"/>
      <c r="AE756" s="98"/>
    </row>
    <row r="757">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c r="AA757" s="98"/>
      <c r="AB757" s="98"/>
      <c r="AC757" s="98"/>
      <c r="AD757" s="98"/>
      <c r="AE757" s="98"/>
    </row>
    <row r="758">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c r="AA758" s="98"/>
      <c r="AB758" s="98"/>
      <c r="AC758" s="98"/>
      <c r="AD758" s="98"/>
      <c r="AE758" s="98"/>
    </row>
    <row r="759">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c r="AA759" s="98"/>
      <c r="AB759" s="98"/>
      <c r="AC759" s="98"/>
      <c r="AD759" s="98"/>
      <c r="AE759" s="98"/>
    </row>
    <row r="760">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c r="AA760" s="98"/>
      <c r="AB760" s="98"/>
      <c r="AC760" s="98"/>
      <c r="AD760" s="98"/>
      <c r="AE760" s="98"/>
    </row>
    <row r="761">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c r="AA761" s="98"/>
      <c r="AB761" s="98"/>
      <c r="AC761" s="98"/>
      <c r="AD761" s="98"/>
      <c r="AE761" s="98"/>
    </row>
    <row r="762">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c r="AA762" s="98"/>
      <c r="AB762" s="98"/>
      <c r="AC762" s="98"/>
      <c r="AD762" s="98"/>
      <c r="AE762" s="98"/>
    </row>
    <row r="763">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c r="AA763" s="98"/>
      <c r="AB763" s="98"/>
      <c r="AC763" s="98"/>
      <c r="AD763" s="98"/>
      <c r="AE763" s="98"/>
    </row>
    <row r="764">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c r="AA764" s="98"/>
      <c r="AB764" s="98"/>
      <c r="AC764" s="98"/>
      <c r="AD764" s="98"/>
      <c r="AE764" s="98"/>
    </row>
    <row r="765">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c r="AA765" s="98"/>
      <c r="AB765" s="98"/>
      <c r="AC765" s="98"/>
      <c r="AD765" s="98"/>
      <c r="AE765" s="98"/>
    </row>
    <row r="766">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c r="AA766" s="98"/>
      <c r="AB766" s="98"/>
      <c r="AC766" s="98"/>
      <c r="AD766" s="98"/>
      <c r="AE766" s="98"/>
    </row>
    <row r="767">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c r="AA767" s="98"/>
      <c r="AB767" s="98"/>
      <c r="AC767" s="98"/>
      <c r="AD767" s="98"/>
      <c r="AE767" s="98"/>
    </row>
    <row r="768">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c r="AA768" s="98"/>
      <c r="AB768" s="98"/>
      <c r="AC768" s="98"/>
      <c r="AD768" s="98"/>
      <c r="AE768" s="98"/>
    </row>
    <row r="769">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c r="AA769" s="98"/>
      <c r="AB769" s="98"/>
      <c r="AC769" s="98"/>
      <c r="AD769" s="98"/>
      <c r="AE769" s="98"/>
    </row>
    <row r="770">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c r="AA770" s="98"/>
      <c r="AB770" s="98"/>
      <c r="AC770" s="98"/>
      <c r="AD770" s="98"/>
      <c r="AE770" s="98"/>
    </row>
    <row r="771">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c r="AA771" s="98"/>
      <c r="AB771" s="98"/>
      <c r="AC771" s="98"/>
      <c r="AD771" s="98"/>
      <c r="AE771" s="98"/>
    </row>
    <row r="772">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c r="AA772" s="98"/>
      <c r="AB772" s="98"/>
      <c r="AC772" s="98"/>
      <c r="AD772" s="98"/>
      <c r="AE772" s="98"/>
    </row>
    <row r="773">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c r="AA773" s="98"/>
      <c r="AB773" s="98"/>
      <c r="AC773" s="98"/>
      <c r="AD773" s="98"/>
      <c r="AE773" s="98"/>
    </row>
    <row r="774">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c r="AA774" s="98"/>
      <c r="AB774" s="98"/>
      <c r="AC774" s="98"/>
      <c r="AD774" s="98"/>
      <c r="AE774" s="98"/>
    </row>
    <row r="775">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c r="AA775" s="98"/>
      <c r="AB775" s="98"/>
      <c r="AC775" s="98"/>
      <c r="AD775" s="98"/>
      <c r="AE775" s="98"/>
    </row>
    <row r="776">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c r="AA776" s="98"/>
      <c r="AB776" s="98"/>
      <c r="AC776" s="98"/>
      <c r="AD776" s="98"/>
      <c r="AE776" s="98"/>
    </row>
    <row r="777">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c r="AA777" s="98"/>
      <c r="AB777" s="98"/>
      <c r="AC777" s="98"/>
      <c r="AD777" s="98"/>
      <c r="AE777" s="98"/>
    </row>
    <row r="778">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c r="AA778" s="98"/>
      <c r="AB778" s="98"/>
      <c r="AC778" s="98"/>
      <c r="AD778" s="98"/>
      <c r="AE778" s="98"/>
    </row>
    <row r="779">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c r="AA779" s="98"/>
      <c r="AB779" s="98"/>
      <c r="AC779" s="98"/>
      <c r="AD779" s="98"/>
      <c r="AE779" s="98"/>
    </row>
    <row r="780">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c r="AA780" s="98"/>
      <c r="AB780" s="98"/>
      <c r="AC780" s="98"/>
      <c r="AD780" s="98"/>
      <c r="AE780" s="98"/>
    </row>
    <row r="781">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c r="AA781" s="98"/>
      <c r="AB781" s="98"/>
      <c r="AC781" s="98"/>
      <c r="AD781" s="98"/>
      <c r="AE781" s="98"/>
    </row>
    <row r="782">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c r="AA782" s="98"/>
      <c r="AB782" s="98"/>
      <c r="AC782" s="98"/>
      <c r="AD782" s="98"/>
      <c r="AE782" s="98"/>
    </row>
    <row r="783">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c r="AA783" s="98"/>
      <c r="AB783" s="98"/>
      <c r="AC783" s="98"/>
      <c r="AD783" s="98"/>
      <c r="AE783" s="98"/>
    </row>
    <row r="784">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c r="AA784" s="98"/>
      <c r="AB784" s="98"/>
      <c r="AC784" s="98"/>
      <c r="AD784" s="98"/>
      <c r="AE784" s="98"/>
    </row>
    <row r="785">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c r="AA785" s="98"/>
      <c r="AB785" s="98"/>
      <c r="AC785" s="98"/>
      <c r="AD785" s="98"/>
      <c r="AE785" s="98"/>
    </row>
    <row r="786">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c r="AA786" s="98"/>
      <c r="AB786" s="98"/>
      <c r="AC786" s="98"/>
      <c r="AD786" s="98"/>
      <c r="AE786" s="98"/>
    </row>
    <row r="787">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c r="AA787" s="98"/>
      <c r="AB787" s="98"/>
      <c r="AC787" s="98"/>
      <c r="AD787" s="98"/>
      <c r="AE787" s="98"/>
    </row>
    <row r="788">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c r="AA788" s="98"/>
      <c r="AB788" s="98"/>
      <c r="AC788" s="98"/>
      <c r="AD788" s="98"/>
      <c r="AE788" s="98"/>
    </row>
    <row r="789">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c r="AA789" s="98"/>
      <c r="AB789" s="98"/>
      <c r="AC789" s="98"/>
      <c r="AD789" s="98"/>
      <c r="AE789" s="98"/>
    </row>
    <row r="790">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c r="AA790" s="98"/>
      <c r="AB790" s="98"/>
      <c r="AC790" s="98"/>
      <c r="AD790" s="98"/>
      <c r="AE790" s="98"/>
    </row>
    <row r="791">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c r="AA791" s="98"/>
      <c r="AB791" s="98"/>
      <c r="AC791" s="98"/>
      <c r="AD791" s="98"/>
      <c r="AE791" s="98"/>
    </row>
    <row r="792">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c r="AA792" s="98"/>
      <c r="AB792" s="98"/>
      <c r="AC792" s="98"/>
      <c r="AD792" s="98"/>
      <c r="AE792" s="98"/>
    </row>
    <row r="793">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c r="AA793" s="98"/>
      <c r="AB793" s="98"/>
      <c r="AC793" s="98"/>
      <c r="AD793" s="98"/>
      <c r="AE793" s="98"/>
    </row>
    <row r="794">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c r="AA794" s="98"/>
      <c r="AB794" s="98"/>
      <c r="AC794" s="98"/>
      <c r="AD794" s="98"/>
      <c r="AE794" s="98"/>
    </row>
    <row r="795">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c r="AA795" s="98"/>
      <c r="AB795" s="98"/>
      <c r="AC795" s="98"/>
      <c r="AD795" s="98"/>
      <c r="AE795" s="98"/>
    </row>
    <row r="796">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c r="AA796" s="98"/>
      <c r="AB796" s="98"/>
      <c r="AC796" s="98"/>
      <c r="AD796" s="98"/>
      <c r="AE796" s="98"/>
    </row>
    <row r="797">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c r="AA797" s="98"/>
      <c r="AB797" s="98"/>
      <c r="AC797" s="98"/>
      <c r="AD797" s="98"/>
      <c r="AE797" s="98"/>
    </row>
    <row r="798">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c r="AA798" s="98"/>
      <c r="AB798" s="98"/>
      <c r="AC798" s="98"/>
      <c r="AD798" s="98"/>
      <c r="AE798" s="98"/>
    </row>
    <row r="799">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c r="AA799" s="98"/>
      <c r="AB799" s="98"/>
      <c r="AC799" s="98"/>
      <c r="AD799" s="98"/>
      <c r="AE799" s="98"/>
    </row>
    <row r="800">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c r="AA800" s="98"/>
      <c r="AB800" s="98"/>
      <c r="AC800" s="98"/>
      <c r="AD800" s="98"/>
      <c r="AE800" s="98"/>
    </row>
    <row r="801">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c r="AA801" s="98"/>
      <c r="AB801" s="98"/>
      <c r="AC801" s="98"/>
      <c r="AD801" s="98"/>
      <c r="AE801" s="98"/>
    </row>
    <row r="802">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c r="AA802" s="98"/>
      <c r="AB802" s="98"/>
      <c r="AC802" s="98"/>
      <c r="AD802" s="98"/>
      <c r="AE802" s="98"/>
    </row>
    <row r="803">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c r="AA803" s="98"/>
      <c r="AB803" s="98"/>
      <c r="AC803" s="98"/>
      <c r="AD803" s="98"/>
      <c r="AE803" s="98"/>
    </row>
    <row r="804">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c r="AA804" s="98"/>
      <c r="AB804" s="98"/>
      <c r="AC804" s="98"/>
      <c r="AD804" s="98"/>
      <c r="AE804" s="98"/>
    </row>
    <row r="805">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c r="AA805" s="98"/>
      <c r="AB805" s="98"/>
      <c r="AC805" s="98"/>
      <c r="AD805" s="98"/>
      <c r="AE805" s="98"/>
    </row>
    <row r="806">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c r="AA806" s="98"/>
      <c r="AB806" s="98"/>
      <c r="AC806" s="98"/>
      <c r="AD806" s="98"/>
      <c r="AE806" s="98"/>
    </row>
    <row r="807">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c r="AA807" s="98"/>
      <c r="AB807" s="98"/>
      <c r="AC807" s="98"/>
      <c r="AD807" s="98"/>
      <c r="AE807" s="98"/>
    </row>
    <row r="808">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c r="AA808" s="98"/>
      <c r="AB808" s="98"/>
      <c r="AC808" s="98"/>
      <c r="AD808" s="98"/>
      <c r="AE808" s="98"/>
    </row>
    <row r="809">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c r="AA809" s="98"/>
      <c r="AB809" s="98"/>
      <c r="AC809" s="98"/>
      <c r="AD809" s="98"/>
      <c r="AE809" s="98"/>
    </row>
    <row r="810">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c r="AA810" s="98"/>
      <c r="AB810" s="98"/>
      <c r="AC810" s="98"/>
      <c r="AD810" s="98"/>
      <c r="AE810" s="98"/>
    </row>
    <row r="811">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c r="AA811" s="98"/>
      <c r="AB811" s="98"/>
      <c r="AC811" s="98"/>
      <c r="AD811" s="98"/>
      <c r="AE811" s="98"/>
    </row>
    <row r="812">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c r="AA812" s="98"/>
      <c r="AB812" s="98"/>
      <c r="AC812" s="98"/>
      <c r="AD812" s="98"/>
      <c r="AE812" s="98"/>
    </row>
    <row r="813">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c r="AA813" s="98"/>
      <c r="AB813" s="98"/>
      <c r="AC813" s="98"/>
      <c r="AD813" s="98"/>
      <c r="AE813" s="98"/>
    </row>
    <row r="814">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c r="AA814" s="98"/>
      <c r="AB814" s="98"/>
      <c r="AC814" s="98"/>
      <c r="AD814" s="98"/>
      <c r="AE814" s="98"/>
    </row>
    <row r="815">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c r="AA815" s="98"/>
      <c r="AB815" s="98"/>
      <c r="AC815" s="98"/>
      <c r="AD815" s="98"/>
      <c r="AE815" s="98"/>
    </row>
    <row r="816">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c r="AA816" s="98"/>
      <c r="AB816" s="98"/>
      <c r="AC816" s="98"/>
      <c r="AD816" s="98"/>
      <c r="AE816" s="98"/>
    </row>
    <row r="817">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c r="AA817" s="98"/>
      <c r="AB817" s="98"/>
      <c r="AC817" s="98"/>
      <c r="AD817" s="98"/>
      <c r="AE817" s="98"/>
    </row>
    <row r="818">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c r="AA818" s="98"/>
      <c r="AB818" s="98"/>
      <c r="AC818" s="98"/>
      <c r="AD818" s="98"/>
      <c r="AE818" s="98"/>
    </row>
    <row r="819">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c r="AA819" s="98"/>
      <c r="AB819" s="98"/>
      <c r="AC819" s="98"/>
      <c r="AD819" s="98"/>
      <c r="AE819" s="98"/>
    </row>
    <row r="820">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c r="AA820" s="98"/>
      <c r="AB820" s="98"/>
      <c r="AC820" s="98"/>
      <c r="AD820" s="98"/>
      <c r="AE820" s="98"/>
    </row>
    <row r="821">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c r="AA821" s="98"/>
      <c r="AB821" s="98"/>
      <c r="AC821" s="98"/>
      <c r="AD821" s="98"/>
      <c r="AE821" s="98"/>
    </row>
    <row r="822">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c r="AA822" s="98"/>
      <c r="AB822" s="98"/>
      <c r="AC822" s="98"/>
      <c r="AD822" s="98"/>
      <c r="AE822" s="98"/>
    </row>
    <row r="823">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c r="AA823" s="98"/>
      <c r="AB823" s="98"/>
      <c r="AC823" s="98"/>
      <c r="AD823" s="98"/>
      <c r="AE823" s="98"/>
    </row>
    <row r="824">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c r="AA824" s="98"/>
      <c r="AB824" s="98"/>
      <c r="AC824" s="98"/>
      <c r="AD824" s="98"/>
      <c r="AE824" s="98"/>
    </row>
    <row r="825">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c r="AA825" s="98"/>
      <c r="AB825" s="98"/>
      <c r="AC825" s="98"/>
      <c r="AD825" s="98"/>
      <c r="AE825" s="98"/>
    </row>
    <row r="826">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c r="AA826" s="98"/>
      <c r="AB826" s="98"/>
      <c r="AC826" s="98"/>
      <c r="AD826" s="98"/>
      <c r="AE826" s="98"/>
    </row>
    <row r="827">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c r="AA827" s="98"/>
      <c r="AB827" s="98"/>
      <c r="AC827" s="98"/>
      <c r="AD827" s="98"/>
      <c r="AE827" s="98"/>
    </row>
    <row r="828">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c r="AA828" s="98"/>
      <c r="AB828" s="98"/>
      <c r="AC828" s="98"/>
      <c r="AD828" s="98"/>
      <c r="AE828" s="98"/>
    </row>
    <row r="829">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c r="AA829" s="98"/>
      <c r="AB829" s="98"/>
      <c r="AC829" s="98"/>
      <c r="AD829" s="98"/>
      <c r="AE829" s="98"/>
    </row>
    <row r="830">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c r="AA830" s="98"/>
      <c r="AB830" s="98"/>
      <c r="AC830" s="98"/>
      <c r="AD830" s="98"/>
      <c r="AE830" s="98"/>
    </row>
    <row r="831">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c r="AA831" s="98"/>
      <c r="AB831" s="98"/>
      <c r="AC831" s="98"/>
      <c r="AD831" s="98"/>
      <c r="AE831" s="98"/>
    </row>
    <row r="832">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c r="AA832" s="98"/>
      <c r="AB832" s="98"/>
      <c r="AC832" s="98"/>
      <c r="AD832" s="98"/>
      <c r="AE832" s="98"/>
    </row>
    <row r="833">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c r="AA833" s="98"/>
      <c r="AB833" s="98"/>
      <c r="AC833" s="98"/>
      <c r="AD833" s="98"/>
      <c r="AE833" s="98"/>
    </row>
    <row r="834">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c r="AA834" s="98"/>
      <c r="AB834" s="98"/>
      <c r="AC834" s="98"/>
      <c r="AD834" s="98"/>
      <c r="AE834" s="98"/>
    </row>
    <row r="835">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c r="AA835" s="98"/>
      <c r="AB835" s="98"/>
      <c r="AC835" s="98"/>
      <c r="AD835" s="98"/>
      <c r="AE835" s="98"/>
    </row>
    <row r="836">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c r="AA836" s="98"/>
      <c r="AB836" s="98"/>
      <c r="AC836" s="98"/>
      <c r="AD836" s="98"/>
      <c r="AE836" s="98"/>
    </row>
    <row r="837">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c r="AA837" s="98"/>
      <c r="AB837" s="98"/>
      <c r="AC837" s="98"/>
      <c r="AD837" s="98"/>
      <c r="AE837" s="98"/>
    </row>
    <row r="838">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c r="AA838" s="98"/>
      <c r="AB838" s="98"/>
      <c r="AC838" s="98"/>
      <c r="AD838" s="98"/>
      <c r="AE838" s="98"/>
    </row>
    <row r="839">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c r="AA839" s="98"/>
      <c r="AB839" s="98"/>
      <c r="AC839" s="98"/>
      <c r="AD839" s="98"/>
      <c r="AE839" s="98"/>
    </row>
    <row r="840">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c r="AA840" s="98"/>
      <c r="AB840" s="98"/>
      <c r="AC840" s="98"/>
      <c r="AD840" s="98"/>
      <c r="AE840" s="98"/>
    </row>
    <row r="841">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c r="AA841" s="98"/>
      <c r="AB841" s="98"/>
      <c r="AC841" s="98"/>
      <c r="AD841" s="98"/>
      <c r="AE841" s="98"/>
    </row>
    <row r="842">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c r="AA842" s="98"/>
      <c r="AB842" s="98"/>
      <c r="AC842" s="98"/>
      <c r="AD842" s="98"/>
      <c r="AE842" s="98"/>
    </row>
    <row r="843">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c r="AA843" s="98"/>
      <c r="AB843" s="98"/>
      <c r="AC843" s="98"/>
      <c r="AD843" s="98"/>
      <c r="AE843" s="98"/>
    </row>
    <row r="844">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c r="AA844" s="98"/>
      <c r="AB844" s="98"/>
      <c r="AC844" s="98"/>
      <c r="AD844" s="98"/>
      <c r="AE844" s="98"/>
    </row>
    <row r="845">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c r="AA845" s="98"/>
      <c r="AB845" s="98"/>
      <c r="AC845" s="98"/>
      <c r="AD845" s="98"/>
      <c r="AE845" s="98"/>
    </row>
    <row r="846">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c r="AA846" s="98"/>
      <c r="AB846" s="98"/>
      <c r="AC846" s="98"/>
      <c r="AD846" s="98"/>
      <c r="AE846" s="98"/>
    </row>
    <row r="847">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c r="AA847" s="98"/>
      <c r="AB847" s="98"/>
      <c r="AC847" s="98"/>
      <c r="AD847" s="98"/>
      <c r="AE847" s="98"/>
    </row>
    <row r="848">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c r="AA848" s="98"/>
      <c r="AB848" s="98"/>
      <c r="AC848" s="98"/>
      <c r="AD848" s="98"/>
      <c r="AE848" s="98"/>
    </row>
    <row r="849">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c r="AA849" s="98"/>
      <c r="AB849" s="98"/>
      <c r="AC849" s="98"/>
      <c r="AD849" s="98"/>
      <c r="AE849" s="98"/>
    </row>
    <row r="850">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c r="AA850" s="98"/>
      <c r="AB850" s="98"/>
      <c r="AC850" s="98"/>
      <c r="AD850" s="98"/>
      <c r="AE850" s="98"/>
    </row>
    <row r="851">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c r="AA851" s="98"/>
      <c r="AB851" s="98"/>
      <c r="AC851" s="98"/>
      <c r="AD851" s="98"/>
      <c r="AE851" s="98"/>
    </row>
    <row r="852">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c r="AA852" s="98"/>
      <c r="AB852" s="98"/>
      <c r="AC852" s="98"/>
      <c r="AD852" s="98"/>
      <c r="AE852" s="98"/>
    </row>
    <row r="853">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c r="AA853" s="98"/>
      <c r="AB853" s="98"/>
      <c r="AC853" s="98"/>
      <c r="AD853" s="98"/>
      <c r="AE853" s="98"/>
    </row>
    <row r="854">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c r="AA854" s="98"/>
      <c r="AB854" s="98"/>
      <c r="AC854" s="98"/>
      <c r="AD854" s="98"/>
      <c r="AE854" s="98"/>
    </row>
    <row r="855">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c r="AA855" s="98"/>
      <c r="AB855" s="98"/>
      <c r="AC855" s="98"/>
      <c r="AD855" s="98"/>
      <c r="AE855" s="98"/>
    </row>
    <row r="856">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c r="AA856" s="98"/>
      <c r="AB856" s="98"/>
      <c r="AC856" s="98"/>
      <c r="AD856" s="98"/>
      <c r="AE856" s="98"/>
    </row>
    <row r="857">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c r="AA857" s="98"/>
      <c r="AB857" s="98"/>
      <c r="AC857" s="98"/>
      <c r="AD857" s="98"/>
      <c r="AE857" s="98"/>
    </row>
    <row r="858">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c r="AA858" s="98"/>
      <c r="AB858" s="98"/>
      <c r="AC858" s="98"/>
      <c r="AD858" s="98"/>
      <c r="AE858" s="98"/>
    </row>
    <row r="859">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c r="AA859" s="98"/>
      <c r="AB859" s="98"/>
      <c r="AC859" s="98"/>
      <c r="AD859" s="98"/>
      <c r="AE859" s="98"/>
    </row>
    <row r="860">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c r="AA860" s="98"/>
      <c r="AB860" s="98"/>
      <c r="AC860" s="98"/>
      <c r="AD860" s="98"/>
      <c r="AE860" s="98"/>
    </row>
    <row r="861">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c r="AA861" s="98"/>
      <c r="AB861" s="98"/>
      <c r="AC861" s="98"/>
      <c r="AD861" s="98"/>
      <c r="AE861" s="98"/>
    </row>
    <row r="862">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c r="AA862" s="98"/>
      <c r="AB862" s="98"/>
      <c r="AC862" s="98"/>
      <c r="AD862" s="98"/>
      <c r="AE862" s="98"/>
    </row>
    <row r="863">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c r="AA863" s="98"/>
      <c r="AB863" s="98"/>
      <c r="AC863" s="98"/>
      <c r="AD863" s="98"/>
      <c r="AE863" s="98"/>
    </row>
    <row r="864">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c r="AA864" s="98"/>
      <c r="AB864" s="98"/>
      <c r="AC864" s="98"/>
      <c r="AD864" s="98"/>
      <c r="AE864" s="98"/>
    </row>
    <row r="865">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c r="AA865" s="98"/>
      <c r="AB865" s="98"/>
      <c r="AC865" s="98"/>
      <c r="AD865" s="98"/>
      <c r="AE865" s="98"/>
    </row>
    <row r="866">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c r="AA866" s="98"/>
      <c r="AB866" s="98"/>
      <c r="AC866" s="98"/>
      <c r="AD866" s="98"/>
      <c r="AE866" s="98"/>
    </row>
    <row r="867">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c r="AA867" s="98"/>
      <c r="AB867" s="98"/>
      <c r="AC867" s="98"/>
      <c r="AD867" s="98"/>
      <c r="AE867" s="98"/>
    </row>
    <row r="868">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c r="AA868" s="98"/>
      <c r="AB868" s="98"/>
      <c r="AC868" s="98"/>
      <c r="AD868" s="98"/>
      <c r="AE868" s="98"/>
    </row>
    <row r="869">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c r="AA869" s="98"/>
      <c r="AB869" s="98"/>
      <c r="AC869" s="98"/>
      <c r="AD869" s="98"/>
      <c r="AE869" s="98"/>
    </row>
    <row r="870">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c r="AA870" s="98"/>
      <c r="AB870" s="98"/>
      <c r="AC870" s="98"/>
      <c r="AD870" s="98"/>
      <c r="AE870" s="98"/>
    </row>
    <row r="871">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c r="AA871" s="98"/>
      <c r="AB871" s="98"/>
      <c r="AC871" s="98"/>
      <c r="AD871" s="98"/>
      <c r="AE871" s="98"/>
    </row>
    <row r="872">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c r="AA872" s="98"/>
      <c r="AB872" s="98"/>
      <c r="AC872" s="98"/>
      <c r="AD872" s="98"/>
      <c r="AE872" s="98"/>
    </row>
    <row r="873">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c r="AA873" s="98"/>
      <c r="AB873" s="98"/>
      <c r="AC873" s="98"/>
      <c r="AD873" s="98"/>
      <c r="AE873" s="98"/>
    </row>
    <row r="874">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c r="AA874" s="98"/>
      <c r="AB874" s="98"/>
      <c r="AC874" s="98"/>
      <c r="AD874" s="98"/>
      <c r="AE874" s="98"/>
    </row>
    <row r="875">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c r="AA875" s="98"/>
      <c r="AB875" s="98"/>
      <c r="AC875" s="98"/>
      <c r="AD875" s="98"/>
      <c r="AE875" s="98"/>
    </row>
    <row r="876">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c r="AA876" s="98"/>
      <c r="AB876" s="98"/>
      <c r="AC876" s="98"/>
      <c r="AD876" s="98"/>
      <c r="AE876" s="98"/>
    </row>
    <row r="877">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c r="AA877" s="98"/>
      <c r="AB877" s="98"/>
      <c r="AC877" s="98"/>
      <c r="AD877" s="98"/>
      <c r="AE877" s="98"/>
    </row>
    <row r="878">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c r="AA878" s="98"/>
      <c r="AB878" s="98"/>
      <c r="AC878" s="98"/>
      <c r="AD878" s="98"/>
      <c r="AE878" s="98"/>
    </row>
    <row r="879">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c r="AA879" s="98"/>
      <c r="AB879" s="98"/>
      <c r="AC879" s="98"/>
      <c r="AD879" s="98"/>
      <c r="AE879" s="98"/>
    </row>
    <row r="880">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c r="AA880" s="98"/>
      <c r="AB880" s="98"/>
      <c r="AC880" s="98"/>
      <c r="AD880" s="98"/>
      <c r="AE880" s="98"/>
    </row>
    <row r="881">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c r="AA881" s="98"/>
      <c r="AB881" s="98"/>
      <c r="AC881" s="98"/>
      <c r="AD881" s="98"/>
      <c r="AE881" s="98"/>
    </row>
    <row r="882">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c r="AA882" s="98"/>
      <c r="AB882" s="98"/>
      <c r="AC882" s="98"/>
      <c r="AD882" s="98"/>
      <c r="AE882" s="98"/>
    </row>
    <row r="883">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c r="AA883" s="98"/>
      <c r="AB883" s="98"/>
      <c r="AC883" s="98"/>
      <c r="AD883" s="98"/>
      <c r="AE883" s="98"/>
    </row>
    <row r="884">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c r="AA884" s="98"/>
      <c r="AB884" s="98"/>
      <c r="AC884" s="98"/>
      <c r="AD884" s="98"/>
      <c r="AE884" s="98"/>
    </row>
    <row r="885">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c r="AA885" s="98"/>
      <c r="AB885" s="98"/>
      <c r="AC885" s="98"/>
      <c r="AD885" s="98"/>
      <c r="AE885" s="98"/>
    </row>
    <row r="886">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c r="AA886" s="98"/>
      <c r="AB886" s="98"/>
      <c r="AC886" s="98"/>
      <c r="AD886" s="98"/>
      <c r="AE886" s="98"/>
    </row>
    <row r="887">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c r="AA887" s="98"/>
      <c r="AB887" s="98"/>
      <c r="AC887" s="98"/>
      <c r="AD887" s="98"/>
      <c r="AE887" s="98"/>
    </row>
    <row r="888">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c r="AA888" s="98"/>
      <c r="AB888" s="98"/>
      <c r="AC888" s="98"/>
      <c r="AD888" s="98"/>
      <c r="AE888" s="98"/>
    </row>
    <row r="889">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c r="AA889" s="98"/>
      <c r="AB889" s="98"/>
      <c r="AC889" s="98"/>
      <c r="AD889" s="98"/>
      <c r="AE889" s="98"/>
    </row>
    <row r="890">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c r="AA890" s="98"/>
      <c r="AB890" s="98"/>
      <c r="AC890" s="98"/>
      <c r="AD890" s="98"/>
      <c r="AE890" s="98"/>
    </row>
    <row r="891">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c r="AA891" s="98"/>
      <c r="AB891" s="98"/>
      <c r="AC891" s="98"/>
      <c r="AD891" s="98"/>
      <c r="AE891" s="98"/>
    </row>
    <row r="892">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c r="AA892" s="98"/>
      <c r="AB892" s="98"/>
      <c r="AC892" s="98"/>
      <c r="AD892" s="98"/>
      <c r="AE892" s="98"/>
    </row>
    <row r="893">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c r="AA893" s="98"/>
      <c r="AB893" s="98"/>
      <c r="AC893" s="98"/>
      <c r="AD893" s="98"/>
      <c r="AE893" s="98"/>
    </row>
    <row r="894">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c r="AA894" s="98"/>
      <c r="AB894" s="98"/>
      <c r="AC894" s="98"/>
      <c r="AD894" s="98"/>
      <c r="AE894" s="98"/>
    </row>
    <row r="895">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c r="AA895" s="98"/>
      <c r="AB895" s="98"/>
      <c r="AC895" s="98"/>
      <c r="AD895" s="98"/>
      <c r="AE895" s="98"/>
    </row>
    <row r="896">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c r="AA896" s="98"/>
      <c r="AB896" s="98"/>
      <c r="AC896" s="98"/>
      <c r="AD896" s="98"/>
      <c r="AE896" s="98"/>
    </row>
    <row r="897">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c r="AA897" s="98"/>
      <c r="AB897" s="98"/>
      <c r="AC897" s="98"/>
      <c r="AD897" s="98"/>
      <c r="AE897" s="98"/>
    </row>
    <row r="898">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c r="AA898" s="98"/>
      <c r="AB898" s="98"/>
      <c r="AC898" s="98"/>
      <c r="AD898" s="98"/>
      <c r="AE898" s="98"/>
    </row>
    <row r="899">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c r="AA899" s="98"/>
      <c r="AB899" s="98"/>
      <c r="AC899" s="98"/>
      <c r="AD899" s="98"/>
      <c r="AE899" s="98"/>
    </row>
    <row r="900">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c r="AA900" s="98"/>
      <c r="AB900" s="98"/>
      <c r="AC900" s="98"/>
      <c r="AD900" s="98"/>
      <c r="AE900" s="98"/>
    </row>
    <row r="901">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c r="AA901" s="98"/>
      <c r="AB901" s="98"/>
      <c r="AC901" s="98"/>
      <c r="AD901" s="98"/>
      <c r="AE901" s="98"/>
    </row>
    <row r="902">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c r="AA902" s="98"/>
      <c r="AB902" s="98"/>
      <c r="AC902" s="98"/>
      <c r="AD902" s="98"/>
      <c r="AE902" s="98"/>
    </row>
    <row r="903">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c r="AA903" s="98"/>
      <c r="AB903" s="98"/>
      <c r="AC903" s="98"/>
      <c r="AD903" s="98"/>
      <c r="AE903" s="98"/>
    </row>
    <row r="904">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c r="AA904" s="98"/>
      <c r="AB904" s="98"/>
      <c r="AC904" s="98"/>
      <c r="AD904" s="98"/>
      <c r="AE904" s="98"/>
    </row>
    <row r="905">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c r="AA905" s="98"/>
      <c r="AB905" s="98"/>
      <c r="AC905" s="98"/>
      <c r="AD905" s="98"/>
      <c r="AE905" s="98"/>
    </row>
    <row r="906">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c r="AA906" s="98"/>
      <c r="AB906" s="98"/>
      <c r="AC906" s="98"/>
      <c r="AD906" s="98"/>
      <c r="AE906" s="98"/>
    </row>
    <row r="907">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c r="AA907" s="98"/>
      <c r="AB907" s="98"/>
      <c r="AC907" s="98"/>
      <c r="AD907" s="98"/>
      <c r="AE907" s="98"/>
    </row>
    <row r="908">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c r="AA908" s="98"/>
      <c r="AB908" s="98"/>
      <c r="AC908" s="98"/>
      <c r="AD908" s="98"/>
      <c r="AE908" s="98"/>
    </row>
    <row r="909">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c r="AA909" s="98"/>
      <c r="AB909" s="98"/>
      <c r="AC909" s="98"/>
      <c r="AD909" s="98"/>
      <c r="AE909" s="98"/>
    </row>
    <row r="910">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c r="AA910" s="98"/>
      <c r="AB910" s="98"/>
      <c r="AC910" s="98"/>
      <c r="AD910" s="98"/>
      <c r="AE910" s="98"/>
    </row>
    <row r="911">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c r="AA911" s="98"/>
      <c r="AB911" s="98"/>
      <c r="AC911" s="98"/>
      <c r="AD911" s="98"/>
      <c r="AE911" s="98"/>
    </row>
    <row r="912">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c r="AA912" s="98"/>
      <c r="AB912" s="98"/>
      <c r="AC912" s="98"/>
      <c r="AD912" s="98"/>
      <c r="AE912" s="98"/>
    </row>
    <row r="913">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c r="AA913" s="98"/>
      <c r="AB913" s="98"/>
      <c r="AC913" s="98"/>
      <c r="AD913" s="98"/>
      <c r="AE913" s="98"/>
    </row>
    <row r="914">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c r="AA914" s="98"/>
      <c r="AB914" s="98"/>
      <c r="AC914" s="98"/>
      <c r="AD914" s="98"/>
      <c r="AE914" s="98"/>
    </row>
    <row r="915">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c r="AA915" s="98"/>
      <c r="AB915" s="98"/>
      <c r="AC915" s="98"/>
      <c r="AD915" s="98"/>
      <c r="AE915" s="98"/>
    </row>
    <row r="916">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c r="AA916" s="98"/>
      <c r="AB916" s="98"/>
      <c r="AC916" s="98"/>
      <c r="AD916" s="98"/>
      <c r="AE916" s="98"/>
    </row>
    <row r="917">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c r="AA917" s="98"/>
      <c r="AB917" s="98"/>
      <c r="AC917" s="98"/>
      <c r="AD917" s="98"/>
      <c r="AE917" s="98"/>
    </row>
    <row r="918">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c r="AA918" s="98"/>
      <c r="AB918" s="98"/>
      <c r="AC918" s="98"/>
      <c r="AD918" s="98"/>
      <c r="AE918" s="98"/>
    </row>
    <row r="919">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c r="AA919" s="98"/>
      <c r="AB919" s="98"/>
      <c r="AC919" s="98"/>
      <c r="AD919" s="98"/>
      <c r="AE919" s="98"/>
    </row>
    <row r="920">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c r="AA920" s="98"/>
      <c r="AB920" s="98"/>
      <c r="AC920" s="98"/>
      <c r="AD920" s="98"/>
      <c r="AE920" s="98"/>
    </row>
    <row r="921">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c r="AA921" s="98"/>
      <c r="AB921" s="98"/>
      <c r="AC921" s="98"/>
      <c r="AD921" s="98"/>
      <c r="AE921" s="98"/>
    </row>
    <row r="922">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c r="AA922" s="98"/>
      <c r="AB922" s="98"/>
      <c r="AC922" s="98"/>
      <c r="AD922" s="98"/>
      <c r="AE922" s="98"/>
    </row>
    <row r="923">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c r="AA923" s="98"/>
      <c r="AB923" s="98"/>
      <c r="AC923" s="98"/>
      <c r="AD923" s="98"/>
      <c r="AE923" s="98"/>
    </row>
    <row r="924">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c r="AA924" s="98"/>
      <c r="AB924" s="98"/>
      <c r="AC924" s="98"/>
      <c r="AD924" s="98"/>
      <c r="AE924" s="98"/>
    </row>
    <row r="925">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c r="AA925" s="98"/>
      <c r="AB925" s="98"/>
      <c r="AC925" s="98"/>
      <c r="AD925" s="98"/>
      <c r="AE925" s="98"/>
    </row>
    <row r="926">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c r="AA926" s="98"/>
      <c r="AB926" s="98"/>
      <c r="AC926" s="98"/>
      <c r="AD926" s="98"/>
      <c r="AE926" s="98"/>
    </row>
    <row r="927">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c r="AA927" s="98"/>
      <c r="AB927" s="98"/>
      <c r="AC927" s="98"/>
      <c r="AD927" s="98"/>
      <c r="AE927" s="98"/>
    </row>
    <row r="928">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c r="AA928" s="98"/>
      <c r="AB928" s="98"/>
      <c r="AC928" s="98"/>
      <c r="AD928" s="98"/>
      <c r="AE928" s="98"/>
    </row>
    <row r="929">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c r="AA929" s="98"/>
      <c r="AB929" s="98"/>
      <c r="AC929" s="98"/>
      <c r="AD929" s="98"/>
      <c r="AE929" s="98"/>
    </row>
    <row r="930">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c r="AA930" s="98"/>
      <c r="AB930" s="98"/>
      <c r="AC930" s="98"/>
      <c r="AD930" s="98"/>
      <c r="AE930" s="98"/>
    </row>
    <row r="931">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c r="AA931" s="98"/>
      <c r="AB931" s="98"/>
      <c r="AC931" s="98"/>
      <c r="AD931" s="98"/>
      <c r="AE931" s="98"/>
    </row>
    <row r="932">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c r="AA932" s="98"/>
      <c r="AB932" s="98"/>
      <c r="AC932" s="98"/>
      <c r="AD932" s="98"/>
      <c r="AE932" s="98"/>
    </row>
    <row r="933">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c r="AA933" s="98"/>
      <c r="AB933" s="98"/>
      <c r="AC933" s="98"/>
      <c r="AD933" s="98"/>
      <c r="AE933" s="98"/>
    </row>
    <row r="934">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c r="AA934" s="98"/>
      <c r="AB934" s="98"/>
      <c r="AC934" s="98"/>
      <c r="AD934" s="98"/>
      <c r="AE934" s="98"/>
    </row>
    <row r="935">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c r="AA935" s="98"/>
      <c r="AB935" s="98"/>
      <c r="AC935" s="98"/>
      <c r="AD935" s="98"/>
      <c r="AE935" s="98"/>
    </row>
    <row r="936">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c r="AA936" s="98"/>
      <c r="AB936" s="98"/>
      <c r="AC936" s="98"/>
      <c r="AD936" s="98"/>
      <c r="AE936" s="98"/>
    </row>
    <row r="937">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c r="AA937" s="98"/>
      <c r="AB937" s="98"/>
      <c r="AC937" s="98"/>
      <c r="AD937" s="98"/>
      <c r="AE937" s="98"/>
    </row>
    <row r="938">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c r="AA938" s="98"/>
      <c r="AB938" s="98"/>
      <c r="AC938" s="98"/>
      <c r="AD938" s="98"/>
      <c r="AE938" s="98"/>
    </row>
    <row r="939">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c r="AA939" s="98"/>
      <c r="AB939" s="98"/>
      <c r="AC939" s="98"/>
      <c r="AD939" s="98"/>
      <c r="AE939" s="98"/>
    </row>
    <row r="940">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c r="AA940" s="98"/>
      <c r="AB940" s="98"/>
      <c r="AC940" s="98"/>
      <c r="AD940" s="98"/>
      <c r="AE940" s="98"/>
    </row>
    <row r="941">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c r="AA941" s="98"/>
      <c r="AB941" s="98"/>
      <c r="AC941" s="98"/>
      <c r="AD941" s="98"/>
      <c r="AE941" s="98"/>
    </row>
    <row r="942">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c r="AA942" s="98"/>
      <c r="AB942" s="98"/>
      <c r="AC942" s="98"/>
      <c r="AD942" s="98"/>
      <c r="AE942" s="98"/>
    </row>
    <row r="943">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c r="AA943" s="98"/>
      <c r="AB943" s="98"/>
      <c r="AC943" s="98"/>
      <c r="AD943" s="98"/>
      <c r="AE943" s="98"/>
    </row>
    <row r="944">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c r="AA944" s="98"/>
      <c r="AB944" s="98"/>
      <c r="AC944" s="98"/>
      <c r="AD944" s="98"/>
      <c r="AE944" s="98"/>
    </row>
    <row r="945">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c r="AA945" s="98"/>
      <c r="AB945" s="98"/>
      <c r="AC945" s="98"/>
      <c r="AD945" s="98"/>
      <c r="AE945" s="98"/>
    </row>
    <row r="946">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c r="AA946" s="98"/>
      <c r="AB946" s="98"/>
      <c r="AC946" s="98"/>
      <c r="AD946" s="98"/>
      <c r="AE946" s="98"/>
    </row>
    <row r="947">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c r="AA947" s="98"/>
      <c r="AB947" s="98"/>
      <c r="AC947" s="98"/>
      <c r="AD947" s="98"/>
      <c r="AE947" s="98"/>
    </row>
    <row r="948">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c r="AA948" s="98"/>
      <c r="AB948" s="98"/>
      <c r="AC948" s="98"/>
      <c r="AD948" s="98"/>
      <c r="AE948" s="98"/>
    </row>
    <row r="949">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c r="AA949" s="98"/>
      <c r="AB949" s="98"/>
      <c r="AC949" s="98"/>
      <c r="AD949" s="98"/>
      <c r="AE949" s="98"/>
    </row>
    <row r="950">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c r="AA950" s="98"/>
      <c r="AB950" s="98"/>
      <c r="AC950" s="98"/>
      <c r="AD950" s="98"/>
      <c r="AE950" s="98"/>
    </row>
    <row r="951">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c r="AA951" s="98"/>
      <c r="AB951" s="98"/>
      <c r="AC951" s="98"/>
      <c r="AD951" s="98"/>
      <c r="AE951" s="98"/>
    </row>
    <row r="952">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c r="AA952" s="98"/>
      <c r="AB952" s="98"/>
      <c r="AC952" s="98"/>
      <c r="AD952" s="98"/>
      <c r="AE952" s="98"/>
    </row>
    <row r="953">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c r="AA953" s="98"/>
      <c r="AB953" s="98"/>
      <c r="AC953" s="98"/>
      <c r="AD953" s="98"/>
      <c r="AE953" s="98"/>
    </row>
    <row r="954">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c r="AA954" s="98"/>
      <c r="AB954" s="98"/>
      <c r="AC954" s="98"/>
      <c r="AD954" s="98"/>
      <c r="AE954" s="98"/>
    </row>
    <row r="955">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c r="AA955" s="98"/>
      <c r="AB955" s="98"/>
      <c r="AC955" s="98"/>
      <c r="AD955" s="98"/>
      <c r="AE955" s="98"/>
    </row>
    <row r="956">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c r="AA956" s="98"/>
      <c r="AB956" s="98"/>
      <c r="AC956" s="98"/>
      <c r="AD956" s="98"/>
      <c r="AE956" s="98"/>
    </row>
    <row r="957">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c r="AA957" s="98"/>
      <c r="AB957" s="98"/>
      <c r="AC957" s="98"/>
      <c r="AD957" s="98"/>
      <c r="AE957" s="98"/>
    </row>
    <row r="958">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c r="AA958" s="98"/>
      <c r="AB958" s="98"/>
      <c r="AC958" s="98"/>
      <c r="AD958" s="98"/>
      <c r="AE958" s="98"/>
    </row>
    <row r="959">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c r="AA959" s="98"/>
      <c r="AB959" s="98"/>
      <c r="AC959" s="98"/>
      <c r="AD959" s="98"/>
      <c r="AE959" s="98"/>
    </row>
    <row r="960">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c r="AA960" s="98"/>
      <c r="AB960" s="98"/>
      <c r="AC960" s="98"/>
      <c r="AD960" s="98"/>
      <c r="AE960" s="98"/>
    </row>
    <row r="961">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c r="AA961" s="98"/>
      <c r="AB961" s="98"/>
      <c r="AC961" s="98"/>
      <c r="AD961" s="98"/>
      <c r="AE961" s="98"/>
    </row>
    <row r="962">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c r="AA962" s="98"/>
      <c r="AB962" s="98"/>
      <c r="AC962" s="98"/>
      <c r="AD962" s="98"/>
      <c r="AE962" s="98"/>
    </row>
    <row r="963">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c r="AA963" s="98"/>
      <c r="AB963" s="98"/>
      <c r="AC963" s="98"/>
      <c r="AD963" s="98"/>
      <c r="AE963" s="98"/>
    </row>
    <row r="964">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c r="AA964" s="98"/>
      <c r="AB964" s="98"/>
      <c r="AC964" s="98"/>
      <c r="AD964" s="98"/>
      <c r="AE964" s="98"/>
    </row>
    <row r="965">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c r="AA965" s="98"/>
      <c r="AB965" s="98"/>
      <c r="AC965" s="98"/>
      <c r="AD965" s="98"/>
      <c r="AE965" s="98"/>
    </row>
    <row r="966">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c r="AA966" s="98"/>
      <c r="AB966" s="98"/>
      <c r="AC966" s="98"/>
      <c r="AD966" s="98"/>
      <c r="AE966" s="98"/>
    </row>
    <row r="967">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c r="AA967" s="98"/>
      <c r="AB967" s="98"/>
      <c r="AC967" s="98"/>
      <c r="AD967" s="98"/>
      <c r="AE967" s="98"/>
    </row>
    <row r="968">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c r="AA968" s="98"/>
      <c r="AB968" s="98"/>
      <c r="AC968" s="98"/>
      <c r="AD968" s="98"/>
      <c r="AE968" s="98"/>
    </row>
    <row r="969">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c r="AA969" s="98"/>
      <c r="AB969" s="98"/>
      <c r="AC969" s="98"/>
      <c r="AD969" s="98"/>
      <c r="AE969" s="98"/>
    </row>
    <row r="970">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c r="AA970" s="98"/>
      <c r="AB970" s="98"/>
      <c r="AC970" s="98"/>
      <c r="AD970" s="98"/>
      <c r="AE970" s="98"/>
    </row>
    <row r="971">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c r="AA971" s="98"/>
      <c r="AB971" s="98"/>
      <c r="AC971" s="98"/>
      <c r="AD971" s="98"/>
      <c r="AE971" s="98"/>
    </row>
    <row r="972">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c r="AA972" s="98"/>
      <c r="AB972" s="98"/>
      <c r="AC972" s="98"/>
      <c r="AD972" s="98"/>
      <c r="AE972" s="98"/>
    </row>
    <row r="973">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c r="AA973" s="98"/>
      <c r="AB973" s="98"/>
      <c r="AC973" s="98"/>
      <c r="AD973" s="98"/>
      <c r="AE973" s="98"/>
    </row>
    <row r="974">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c r="AA974" s="98"/>
      <c r="AB974" s="98"/>
      <c r="AC974" s="98"/>
      <c r="AD974" s="98"/>
      <c r="AE974" s="98"/>
    </row>
    <row r="975">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c r="AA975" s="98"/>
      <c r="AB975" s="98"/>
      <c r="AC975" s="98"/>
      <c r="AD975" s="98"/>
      <c r="AE975" s="98"/>
    </row>
    <row r="976">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c r="AA976" s="98"/>
      <c r="AB976" s="98"/>
      <c r="AC976" s="98"/>
      <c r="AD976" s="98"/>
      <c r="AE976" s="98"/>
    </row>
    <row r="977">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c r="AA977" s="98"/>
      <c r="AB977" s="98"/>
      <c r="AC977" s="98"/>
      <c r="AD977" s="98"/>
      <c r="AE977" s="98"/>
    </row>
    <row r="978">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c r="AA978" s="98"/>
      <c r="AB978" s="98"/>
      <c r="AC978" s="98"/>
      <c r="AD978" s="98"/>
      <c r="AE978" s="98"/>
    </row>
    <row r="979">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c r="AA979" s="98"/>
      <c r="AB979" s="98"/>
      <c r="AC979" s="98"/>
      <c r="AD979" s="98"/>
      <c r="AE979" s="98"/>
    </row>
    <row r="980">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c r="AA980" s="98"/>
      <c r="AB980" s="98"/>
      <c r="AC980" s="98"/>
      <c r="AD980" s="98"/>
      <c r="AE980" s="98"/>
    </row>
    <row r="981">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c r="AA981" s="98"/>
      <c r="AB981" s="98"/>
      <c r="AC981" s="98"/>
      <c r="AD981" s="98"/>
      <c r="AE981" s="98"/>
    </row>
    <row r="982">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c r="AA982" s="98"/>
      <c r="AB982" s="98"/>
      <c r="AC982" s="98"/>
      <c r="AD982" s="98"/>
      <c r="AE982" s="98"/>
    </row>
    <row r="983">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c r="AA983" s="98"/>
      <c r="AB983" s="98"/>
      <c r="AC983" s="98"/>
      <c r="AD983" s="98"/>
      <c r="AE983" s="98"/>
    </row>
    <row r="984">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c r="AA984" s="98"/>
      <c r="AB984" s="98"/>
      <c r="AC984" s="98"/>
      <c r="AD984" s="98"/>
      <c r="AE984" s="98"/>
    </row>
    <row r="985">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c r="AA985" s="98"/>
      <c r="AB985" s="98"/>
      <c r="AC985" s="98"/>
      <c r="AD985" s="98"/>
      <c r="AE985" s="98"/>
    </row>
    <row r="986">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c r="AA986" s="98"/>
      <c r="AB986" s="98"/>
      <c r="AC986" s="98"/>
      <c r="AD986" s="98"/>
      <c r="AE986" s="98"/>
    </row>
    <row r="987">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c r="AA987" s="98"/>
      <c r="AB987" s="98"/>
      <c r="AC987" s="98"/>
      <c r="AD987" s="98"/>
      <c r="AE987" s="98"/>
    </row>
    <row r="988">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c r="AA988" s="98"/>
      <c r="AB988" s="98"/>
      <c r="AC988" s="98"/>
      <c r="AD988" s="98"/>
      <c r="AE988" s="98"/>
    </row>
    <row r="989">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c r="AA989" s="98"/>
      <c r="AB989" s="98"/>
      <c r="AC989" s="98"/>
      <c r="AD989" s="98"/>
      <c r="AE989" s="98"/>
    </row>
    <row r="990">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c r="AA990" s="98"/>
      <c r="AB990" s="98"/>
      <c r="AC990" s="98"/>
      <c r="AD990" s="98"/>
      <c r="AE990" s="98"/>
    </row>
    <row r="991">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c r="AA991" s="98"/>
      <c r="AB991" s="98"/>
      <c r="AC991" s="98"/>
      <c r="AD991" s="98"/>
      <c r="AE991" s="98"/>
    </row>
    <row r="992">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c r="AA992" s="98"/>
      <c r="AB992" s="98"/>
      <c r="AC992" s="98"/>
      <c r="AD992" s="98"/>
      <c r="AE992" s="98"/>
    </row>
    <row r="993">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c r="AA993" s="98"/>
      <c r="AB993" s="98"/>
      <c r="AC993" s="98"/>
      <c r="AD993" s="98"/>
      <c r="AE993" s="98"/>
    </row>
    <row r="994">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c r="AA994" s="98"/>
      <c r="AB994" s="98"/>
      <c r="AC994" s="98"/>
      <c r="AD994" s="98"/>
      <c r="AE994" s="98"/>
    </row>
    <row r="995">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c r="AA995" s="98"/>
      <c r="AB995" s="98"/>
      <c r="AC995" s="98"/>
      <c r="AD995" s="98"/>
      <c r="AE995" s="98"/>
    </row>
    <row r="996">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c r="AA996" s="98"/>
      <c r="AB996" s="98"/>
      <c r="AC996" s="98"/>
      <c r="AD996" s="98"/>
      <c r="AE996" s="98"/>
    </row>
    <row r="997">
      <c r="A997" s="98"/>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c r="AA997" s="98"/>
      <c r="AB997" s="98"/>
      <c r="AC997" s="98"/>
      <c r="AD997" s="98"/>
      <c r="AE997" s="98"/>
    </row>
    <row r="998">
      <c r="A998" s="98"/>
      <c r="B998" s="98"/>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c r="AA998" s="98"/>
      <c r="AB998" s="98"/>
      <c r="AC998" s="98"/>
      <c r="AD998" s="98"/>
      <c r="AE998" s="98"/>
    </row>
    <row r="999">
      <c r="A999" s="98"/>
      <c r="B999" s="98"/>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c r="AA999" s="98"/>
      <c r="AB999" s="98"/>
      <c r="AC999" s="98"/>
      <c r="AD999" s="98"/>
      <c r="AE999" s="98"/>
    </row>
    <row r="1000">
      <c r="A1000" s="98"/>
      <c r="B1000" s="98"/>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c r="AA1000" s="98"/>
      <c r="AB1000" s="98"/>
      <c r="AC1000" s="98"/>
      <c r="AD1000" s="98"/>
      <c r="AE1000" s="9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1.29"/>
  </cols>
  <sheetData>
    <row r="1">
      <c r="A1" s="107" t="s">
        <v>0</v>
      </c>
      <c r="B1" s="107" t="s">
        <v>3</v>
      </c>
      <c r="C1" s="107" t="s">
        <v>5</v>
      </c>
      <c r="D1" s="108" t="s">
        <v>6</v>
      </c>
      <c r="E1" s="108" t="s">
        <v>7</v>
      </c>
      <c r="F1" s="108" t="s">
        <v>52</v>
      </c>
      <c r="G1" s="107" t="s">
        <v>9</v>
      </c>
      <c r="H1" s="109" t="s">
        <v>14</v>
      </c>
      <c r="I1" s="109" t="s">
        <v>12</v>
      </c>
      <c r="J1" s="109" t="s">
        <v>18</v>
      </c>
      <c r="K1" s="109" t="s">
        <v>19</v>
      </c>
      <c r="L1" s="109" t="s">
        <v>20</v>
      </c>
      <c r="M1" s="109" t="s">
        <v>21</v>
      </c>
      <c r="N1" s="109" t="s">
        <v>22</v>
      </c>
      <c r="O1" s="109" t="s">
        <v>23</v>
      </c>
      <c r="P1" s="109" t="s">
        <v>24</v>
      </c>
      <c r="Q1" s="109" t="s">
        <v>25</v>
      </c>
      <c r="R1" s="109" t="s">
        <v>26</v>
      </c>
      <c r="S1" s="109" t="s">
        <v>27</v>
      </c>
      <c r="T1" s="108" t="s">
        <v>28</v>
      </c>
      <c r="U1" s="107" t="s">
        <v>30</v>
      </c>
      <c r="V1" s="107" t="s">
        <v>34</v>
      </c>
      <c r="W1" s="107" t="s">
        <v>39</v>
      </c>
      <c r="X1" s="107" t="s">
        <v>40</v>
      </c>
      <c r="Y1" s="108" t="s">
        <v>44</v>
      </c>
      <c r="Z1" s="107" t="s">
        <v>2181</v>
      </c>
      <c r="AA1" s="107" t="s">
        <v>51</v>
      </c>
      <c r="AB1" s="107" t="s">
        <v>54</v>
      </c>
      <c r="AC1" s="107" t="s">
        <v>55</v>
      </c>
      <c r="AD1" s="107" t="s">
        <v>56</v>
      </c>
      <c r="AE1" s="107" t="s">
        <v>57</v>
      </c>
      <c r="AF1" s="108" t="s">
        <v>58</v>
      </c>
      <c r="AG1" s="108" t="s">
        <v>17</v>
      </c>
      <c r="AH1" s="107" t="s">
        <v>13</v>
      </c>
      <c r="AI1" s="107" t="s">
        <v>59</v>
      </c>
      <c r="AJ1" s="109" t="s">
        <v>10</v>
      </c>
    </row>
    <row r="2">
      <c r="A2" s="108" t="s">
        <v>2182</v>
      </c>
      <c r="B2" s="110" t="s">
        <v>253</v>
      </c>
      <c r="C2" s="108" t="s">
        <v>2183</v>
      </c>
      <c r="D2" s="108" t="s">
        <v>444</v>
      </c>
      <c r="E2" s="108" t="s">
        <v>85</v>
      </c>
      <c r="F2" s="108"/>
      <c r="G2" s="108" t="s">
        <v>2184</v>
      </c>
      <c r="H2" s="108"/>
      <c r="I2" s="108"/>
      <c r="J2" s="109" t="s">
        <v>2185</v>
      </c>
      <c r="K2" s="109" t="s">
        <v>74</v>
      </c>
      <c r="L2" s="109" t="s">
        <v>2186</v>
      </c>
      <c r="M2" s="108" t="s">
        <v>74</v>
      </c>
      <c r="N2" s="108" t="s">
        <v>74</v>
      </c>
      <c r="O2" s="108"/>
      <c r="P2" s="108"/>
      <c r="Q2" s="108" t="s">
        <v>74</v>
      </c>
      <c r="R2" s="108" t="s">
        <v>74</v>
      </c>
      <c r="S2" s="108" t="s">
        <v>74</v>
      </c>
      <c r="T2" s="108" t="b">
        <v>0</v>
      </c>
      <c r="U2" s="108" t="s">
        <v>69</v>
      </c>
      <c r="V2" s="108" t="s">
        <v>70</v>
      </c>
      <c r="W2" s="108" t="b">
        <v>0</v>
      </c>
      <c r="X2" s="108" t="s">
        <v>2187</v>
      </c>
      <c r="Z2" s="110" t="s">
        <v>2001</v>
      </c>
      <c r="AA2" s="108"/>
      <c r="AJ2" s="108"/>
    </row>
    <row r="3">
      <c r="A3" s="108" t="s">
        <v>2188</v>
      </c>
      <c r="B3" s="110" t="s">
        <v>253</v>
      </c>
      <c r="C3" s="108" t="s">
        <v>2189</v>
      </c>
      <c r="D3" s="108" t="s">
        <v>672</v>
      </c>
      <c r="E3" s="108" t="s">
        <v>103</v>
      </c>
      <c r="F3" s="108"/>
      <c r="G3" s="108" t="s">
        <v>2190</v>
      </c>
      <c r="H3" s="108"/>
      <c r="I3" s="108"/>
      <c r="J3" s="109" t="s">
        <v>2191</v>
      </c>
      <c r="K3" s="109" t="s">
        <v>74</v>
      </c>
      <c r="L3" s="109" t="s">
        <v>74</v>
      </c>
      <c r="M3" s="108" t="s">
        <v>74</v>
      </c>
      <c r="N3" s="108" t="s">
        <v>74</v>
      </c>
      <c r="O3" s="108"/>
      <c r="P3" s="108"/>
      <c r="Q3" s="108" t="s">
        <v>74</v>
      </c>
      <c r="R3" s="108" t="s">
        <v>74</v>
      </c>
      <c r="S3" s="108" t="s">
        <v>74</v>
      </c>
      <c r="T3" s="108" t="b">
        <v>0</v>
      </c>
      <c r="U3" s="108" t="s">
        <v>69</v>
      </c>
      <c r="V3" s="108" t="s">
        <v>70</v>
      </c>
      <c r="W3" s="108" t="b">
        <v>0</v>
      </c>
      <c r="X3" s="108" t="s">
        <v>2187</v>
      </c>
      <c r="Z3" s="110" t="s">
        <v>2192</v>
      </c>
      <c r="AA3" s="108"/>
      <c r="AJ3" s="108"/>
    </row>
    <row r="4">
      <c r="A4" s="108" t="s">
        <v>2193</v>
      </c>
      <c r="B4" s="110" t="s">
        <v>253</v>
      </c>
      <c r="C4" s="108" t="s">
        <v>548</v>
      </c>
      <c r="D4" s="108" t="s">
        <v>672</v>
      </c>
      <c r="E4" s="108" t="s">
        <v>85</v>
      </c>
      <c r="F4" s="108"/>
      <c r="G4" s="109" t="s">
        <v>2194</v>
      </c>
      <c r="H4" s="109"/>
      <c r="I4" s="109"/>
      <c r="J4" s="109" t="s">
        <v>74</v>
      </c>
      <c r="K4" s="109" t="s">
        <v>74</v>
      </c>
      <c r="L4" s="109" t="s">
        <v>74</v>
      </c>
      <c r="M4" s="108" t="s">
        <v>2062</v>
      </c>
      <c r="N4" s="108" t="s">
        <v>74</v>
      </c>
      <c r="O4" s="108"/>
      <c r="P4" s="108"/>
      <c r="Q4" s="108" t="s">
        <v>74</v>
      </c>
      <c r="R4" s="108" t="s">
        <v>74</v>
      </c>
      <c r="S4" s="108" t="s">
        <v>74</v>
      </c>
      <c r="T4" s="108" t="b">
        <v>0</v>
      </c>
      <c r="U4" s="108" t="s">
        <v>2195</v>
      </c>
      <c r="V4" s="108" t="s">
        <v>70</v>
      </c>
      <c r="W4" s="108" t="b">
        <v>0</v>
      </c>
      <c r="X4" s="108" t="s">
        <v>2187</v>
      </c>
      <c r="Y4" s="108" t="s">
        <v>859</v>
      </c>
      <c r="Z4" s="110" t="s">
        <v>2192</v>
      </c>
      <c r="AA4" s="108"/>
      <c r="AJ4" s="109" t="s">
        <v>2196</v>
      </c>
    </row>
    <row r="5">
      <c r="A5" s="108" t="s">
        <v>2197</v>
      </c>
      <c r="B5" s="110" t="s">
        <v>2198</v>
      </c>
      <c r="C5" s="108" t="s">
        <v>2199</v>
      </c>
      <c r="D5" s="108" t="s">
        <v>444</v>
      </c>
      <c r="E5" s="108" t="s">
        <v>85</v>
      </c>
      <c r="F5" s="108"/>
      <c r="G5" s="109" t="s">
        <v>2200</v>
      </c>
      <c r="H5" s="109"/>
      <c r="I5" s="109"/>
      <c r="J5" s="109" t="s">
        <v>2201</v>
      </c>
      <c r="K5" s="109" t="s">
        <v>2202</v>
      </c>
      <c r="L5" s="109" t="s">
        <v>74</v>
      </c>
      <c r="M5" s="108" t="s">
        <v>2116</v>
      </c>
      <c r="N5" s="108" t="s">
        <v>2203</v>
      </c>
      <c r="O5" s="108"/>
      <c r="P5" s="108"/>
      <c r="Q5" s="108" t="s">
        <v>2063</v>
      </c>
      <c r="R5" s="108" t="s">
        <v>74</v>
      </c>
      <c r="S5" s="108" t="s">
        <v>74</v>
      </c>
      <c r="T5" s="108" t="b">
        <v>0</v>
      </c>
      <c r="U5" s="108" t="s">
        <v>2195</v>
      </c>
      <c r="V5" s="108" t="s">
        <v>2204</v>
      </c>
      <c r="W5" s="108" t="b">
        <v>1</v>
      </c>
      <c r="X5" s="108" t="s">
        <v>71</v>
      </c>
      <c r="Z5" s="110" t="s">
        <v>2192</v>
      </c>
      <c r="AA5" s="108"/>
      <c r="AJ5" s="109"/>
    </row>
    <row r="6">
      <c r="A6" s="108" t="s">
        <v>2205</v>
      </c>
      <c r="B6" s="110" t="s">
        <v>253</v>
      </c>
      <c r="C6" s="108" t="s">
        <v>2206</v>
      </c>
      <c r="D6" s="108" t="s">
        <v>672</v>
      </c>
      <c r="E6" s="108" t="s">
        <v>183</v>
      </c>
      <c r="F6" s="108"/>
      <c r="G6" s="109" t="s">
        <v>2207</v>
      </c>
      <c r="H6" s="109"/>
      <c r="I6" s="109"/>
      <c r="J6" s="109" t="s">
        <v>74</v>
      </c>
      <c r="K6" s="109" t="s">
        <v>74</v>
      </c>
      <c r="L6" s="109" t="s">
        <v>74</v>
      </c>
      <c r="M6" s="108" t="s">
        <v>74</v>
      </c>
      <c r="N6" s="108" t="s">
        <v>74</v>
      </c>
      <c r="O6" s="108"/>
      <c r="P6" s="108"/>
      <c r="Q6" s="108" t="s">
        <v>74</v>
      </c>
      <c r="R6" s="108" t="s">
        <v>74</v>
      </c>
      <c r="S6" s="108" t="s">
        <v>74</v>
      </c>
      <c r="T6" s="108" t="b">
        <v>0</v>
      </c>
      <c r="U6" s="108" t="s">
        <v>69</v>
      </c>
      <c r="V6" s="108" t="s">
        <v>70</v>
      </c>
      <c r="W6" s="108" t="b">
        <v>0</v>
      </c>
      <c r="X6" s="108" t="s">
        <v>78</v>
      </c>
      <c r="Z6" s="110" t="s">
        <v>2192</v>
      </c>
      <c r="AA6" s="108"/>
      <c r="AJ6" s="109"/>
    </row>
    <row r="7">
      <c r="A7" s="108" t="s">
        <v>2208</v>
      </c>
      <c r="B7" s="110" t="s">
        <v>253</v>
      </c>
      <c r="C7" s="108" t="s">
        <v>443</v>
      </c>
      <c r="D7" s="108" t="s">
        <v>945</v>
      </c>
      <c r="E7" s="108" t="s">
        <v>85</v>
      </c>
      <c r="F7" s="108"/>
      <c r="G7" s="109" t="s">
        <v>2209</v>
      </c>
      <c r="H7" s="109"/>
      <c r="I7" s="109"/>
      <c r="J7" s="109" t="s">
        <v>74</v>
      </c>
      <c r="K7" s="109" t="s">
        <v>74</v>
      </c>
      <c r="L7" s="109" t="s">
        <v>74</v>
      </c>
      <c r="M7" s="108" t="s">
        <v>74</v>
      </c>
      <c r="N7" s="108" t="s">
        <v>74</v>
      </c>
      <c r="O7" s="108"/>
      <c r="P7" s="108"/>
      <c r="Q7" s="108" t="s">
        <v>74</v>
      </c>
      <c r="R7" s="108" t="s">
        <v>74</v>
      </c>
      <c r="S7" s="108" t="s">
        <v>74</v>
      </c>
      <c r="T7" s="108" t="b">
        <v>0</v>
      </c>
      <c r="U7" s="108" t="s">
        <v>69</v>
      </c>
      <c r="V7" s="108" t="s">
        <v>70</v>
      </c>
      <c r="W7" s="108" t="b">
        <v>0</v>
      </c>
      <c r="X7" s="108" t="s">
        <v>1174</v>
      </c>
      <c r="Z7" s="110" t="s">
        <v>2018</v>
      </c>
      <c r="AA7" s="108"/>
      <c r="AJ7" s="109"/>
    </row>
    <row r="8">
      <c r="A8" s="108" t="s">
        <v>2210</v>
      </c>
      <c r="B8" s="110" t="s">
        <v>253</v>
      </c>
      <c r="C8" s="108" t="s">
        <v>1012</v>
      </c>
      <c r="D8" s="109" t="s">
        <v>64</v>
      </c>
      <c r="E8" s="108" t="s">
        <v>85</v>
      </c>
      <c r="F8" s="108"/>
      <c r="G8" s="109" t="s">
        <v>2211</v>
      </c>
      <c r="H8" s="109"/>
      <c r="I8" s="109"/>
      <c r="J8" s="109" t="s">
        <v>74</v>
      </c>
      <c r="K8" s="109" t="s">
        <v>74</v>
      </c>
      <c r="L8" s="109" t="s">
        <v>74</v>
      </c>
      <c r="M8" s="108" t="s">
        <v>74</v>
      </c>
      <c r="N8" s="108" t="s">
        <v>74</v>
      </c>
      <c r="O8" s="108"/>
      <c r="P8" s="108"/>
      <c r="Q8" s="108" t="s">
        <v>74</v>
      </c>
      <c r="R8" s="108" t="s">
        <v>74</v>
      </c>
      <c r="S8" s="108" t="s">
        <v>74</v>
      </c>
      <c r="T8" s="108" t="b">
        <v>0</v>
      </c>
      <c r="U8" s="108" t="s">
        <v>69</v>
      </c>
      <c r="V8" s="108" t="s">
        <v>70</v>
      </c>
      <c r="W8" s="108" t="b">
        <v>0</v>
      </c>
      <c r="X8" s="108" t="s">
        <v>2187</v>
      </c>
      <c r="Z8" s="110" t="s">
        <v>2018</v>
      </c>
      <c r="AA8" s="108"/>
      <c r="AJ8" s="109"/>
    </row>
    <row r="9">
      <c r="A9" s="108" t="s">
        <v>107</v>
      </c>
      <c r="B9" s="110" t="s">
        <v>253</v>
      </c>
      <c r="C9" s="108" t="s">
        <v>108</v>
      </c>
      <c r="D9" s="109" t="s">
        <v>64</v>
      </c>
      <c r="E9" s="108" t="s">
        <v>85</v>
      </c>
      <c r="F9" s="108"/>
      <c r="G9" s="109" t="s">
        <v>2212</v>
      </c>
      <c r="H9" s="109"/>
      <c r="I9" s="109" t="s">
        <v>2213</v>
      </c>
      <c r="J9" s="109" t="s">
        <v>74</v>
      </c>
      <c r="K9" s="109" t="s">
        <v>74</v>
      </c>
      <c r="L9" s="109" t="s">
        <v>74</v>
      </c>
      <c r="M9" s="108" t="s">
        <v>74</v>
      </c>
      <c r="N9" s="108" t="s">
        <v>74</v>
      </c>
      <c r="O9" s="108"/>
      <c r="P9" s="108"/>
      <c r="Q9" s="108" t="s">
        <v>74</v>
      </c>
      <c r="R9" s="108" t="s">
        <v>74</v>
      </c>
      <c r="S9" s="108" t="s">
        <v>74</v>
      </c>
      <c r="T9" s="108" t="b">
        <v>0</v>
      </c>
      <c r="U9" s="108" t="s">
        <v>69</v>
      </c>
      <c r="V9" s="108" t="s">
        <v>70</v>
      </c>
      <c r="W9" s="108" t="b">
        <v>0</v>
      </c>
      <c r="X9" s="108" t="s">
        <v>2214</v>
      </c>
      <c r="Z9" s="110" t="s">
        <v>2192</v>
      </c>
      <c r="AA9" s="108"/>
      <c r="AJ9" s="109"/>
    </row>
    <row r="10">
      <c r="A10" s="108" t="s">
        <v>2215</v>
      </c>
      <c r="B10" s="110" t="s">
        <v>253</v>
      </c>
      <c r="C10" s="108" t="s">
        <v>2216</v>
      </c>
      <c r="D10" s="108" t="s">
        <v>672</v>
      </c>
      <c r="E10" s="108" t="s">
        <v>103</v>
      </c>
      <c r="F10" s="108"/>
      <c r="G10" s="109" t="s">
        <v>2217</v>
      </c>
      <c r="H10" s="109"/>
      <c r="I10" s="109"/>
      <c r="J10" s="109" t="s">
        <v>2185</v>
      </c>
      <c r="K10" s="109" t="s">
        <v>74</v>
      </c>
      <c r="L10" s="109" t="s">
        <v>74</v>
      </c>
      <c r="M10" s="108" t="s">
        <v>74</v>
      </c>
      <c r="N10" s="108" t="s">
        <v>2063</v>
      </c>
      <c r="O10" s="108"/>
      <c r="P10" s="108"/>
      <c r="Q10" s="108" t="s">
        <v>74</v>
      </c>
      <c r="R10" s="108" t="s">
        <v>74</v>
      </c>
      <c r="S10" s="108" t="s">
        <v>74</v>
      </c>
      <c r="T10" s="108" t="b">
        <v>0</v>
      </c>
      <c r="U10" s="108" t="s">
        <v>69</v>
      </c>
      <c r="V10" s="108" t="s">
        <v>134</v>
      </c>
      <c r="W10" s="108" t="b">
        <v>0</v>
      </c>
      <c r="X10" s="108" t="s">
        <v>1174</v>
      </c>
      <c r="Z10" s="110" t="s">
        <v>2192</v>
      </c>
      <c r="AA10" s="108"/>
      <c r="AJ10" s="109"/>
    </row>
    <row r="11">
      <c r="A11" s="108" t="s">
        <v>2218</v>
      </c>
      <c r="B11" s="110" t="s">
        <v>253</v>
      </c>
      <c r="C11" s="108" t="s">
        <v>2219</v>
      </c>
      <c r="D11" s="108" t="s">
        <v>945</v>
      </c>
      <c r="E11" s="108" t="s">
        <v>85</v>
      </c>
      <c r="F11" s="108"/>
      <c r="G11" s="109" t="s">
        <v>2220</v>
      </c>
      <c r="H11" s="109"/>
      <c r="I11" s="109"/>
      <c r="J11" s="109" t="s">
        <v>74</v>
      </c>
      <c r="K11" s="109" t="s">
        <v>74</v>
      </c>
      <c r="L11" s="109" t="s">
        <v>74</v>
      </c>
      <c r="M11" s="108" t="s">
        <v>2164</v>
      </c>
      <c r="N11" s="108" t="s">
        <v>2049</v>
      </c>
      <c r="O11" s="108"/>
      <c r="P11" s="108"/>
      <c r="Q11" s="108" t="s">
        <v>74</v>
      </c>
      <c r="R11" s="108" t="s">
        <v>74</v>
      </c>
      <c r="S11" s="108" t="s">
        <v>74</v>
      </c>
      <c r="T11" s="108" t="b">
        <v>0</v>
      </c>
      <c r="U11" s="108" t="s">
        <v>2221</v>
      </c>
      <c r="V11" s="108" t="s">
        <v>2222</v>
      </c>
      <c r="W11" s="108" t="b">
        <v>0</v>
      </c>
      <c r="X11" s="108" t="s">
        <v>2223</v>
      </c>
      <c r="Z11" s="110" t="s">
        <v>2018</v>
      </c>
      <c r="AA11" s="108"/>
      <c r="AJ11" s="109"/>
    </row>
    <row r="12">
      <c r="A12" s="108" t="s">
        <v>2224</v>
      </c>
      <c r="B12" s="110" t="s">
        <v>2225</v>
      </c>
      <c r="C12" s="108" t="s">
        <v>828</v>
      </c>
      <c r="D12" s="108" t="s">
        <v>945</v>
      </c>
      <c r="E12" s="108" t="s">
        <v>144</v>
      </c>
      <c r="F12" s="108"/>
      <c r="G12" s="109" t="s">
        <v>2226</v>
      </c>
      <c r="H12" s="109"/>
      <c r="I12" s="109"/>
      <c r="J12" s="109" t="s">
        <v>74</v>
      </c>
      <c r="K12" s="109" t="s">
        <v>74</v>
      </c>
      <c r="L12" s="109" t="s">
        <v>74</v>
      </c>
      <c r="M12" s="108" t="s">
        <v>74</v>
      </c>
      <c r="N12" s="108" t="s">
        <v>74</v>
      </c>
      <c r="O12" s="108"/>
      <c r="P12" s="108"/>
      <c r="Q12" s="108" t="s">
        <v>74</v>
      </c>
      <c r="R12" s="108" t="s">
        <v>74</v>
      </c>
      <c r="S12" s="108" t="s">
        <v>74</v>
      </c>
      <c r="T12" s="108" t="b">
        <v>0</v>
      </c>
      <c r="U12" s="108" t="s">
        <v>2227</v>
      </c>
      <c r="V12" s="108" t="s">
        <v>615</v>
      </c>
      <c r="W12" s="108" t="b">
        <v>0</v>
      </c>
      <c r="X12" s="108" t="s">
        <v>71</v>
      </c>
      <c r="Z12" s="110" t="s">
        <v>2192</v>
      </c>
      <c r="AA12" s="108"/>
      <c r="AJ12" s="109"/>
    </row>
    <row r="13">
      <c r="A13" s="108" t="s">
        <v>2228</v>
      </c>
      <c r="B13" s="110" t="s">
        <v>2225</v>
      </c>
      <c r="C13" s="108" t="s">
        <v>653</v>
      </c>
      <c r="D13" s="108" t="s">
        <v>672</v>
      </c>
      <c r="E13" s="108" t="s">
        <v>85</v>
      </c>
      <c r="F13" s="108"/>
      <c r="G13" s="109" t="s">
        <v>2229</v>
      </c>
      <c r="H13" s="109"/>
      <c r="I13" s="109"/>
      <c r="J13" s="109" t="s">
        <v>74</v>
      </c>
      <c r="K13" s="109" t="s">
        <v>74</v>
      </c>
      <c r="L13" s="109" t="s">
        <v>74</v>
      </c>
      <c r="M13" s="108" t="s">
        <v>2158</v>
      </c>
      <c r="N13" s="108" t="s">
        <v>74</v>
      </c>
      <c r="O13" s="108"/>
      <c r="P13" s="108"/>
      <c r="Q13" s="108" t="s">
        <v>74</v>
      </c>
      <c r="R13" s="108" t="s">
        <v>74</v>
      </c>
      <c r="S13" s="108" t="s">
        <v>74</v>
      </c>
      <c r="T13" s="108" t="b">
        <v>0</v>
      </c>
      <c r="U13" s="108" t="s">
        <v>69</v>
      </c>
      <c r="V13" s="108" t="s">
        <v>70</v>
      </c>
      <c r="W13" s="108" t="b">
        <v>0</v>
      </c>
      <c r="X13" s="108" t="s">
        <v>71</v>
      </c>
      <c r="Z13" s="110" t="s">
        <v>2192</v>
      </c>
      <c r="AA13" s="108"/>
      <c r="AJ13" s="109"/>
    </row>
    <row r="14">
      <c r="A14" s="108" t="s">
        <v>2230</v>
      </c>
      <c r="B14" s="110" t="s">
        <v>2225</v>
      </c>
      <c r="C14" s="108" t="s">
        <v>199</v>
      </c>
      <c r="D14" s="108" t="s">
        <v>444</v>
      </c>
      <c r="E14" s="108" t="s">
        <v>144</v>
      </c>
      <c r="F14" s="108"/>
      <c r="G14" s="109" t="s">
        <v>2231</v>
      </c>
      <c r="H14" s="109"/>
      <c r="I14" s="109"/>
      <c r="J14" s="109" t="s">
        <v>74</v>
      </c>
      <c r="K14" s="109" t="s">
        <v>74</v>
      </c>
      <c r="L14" s="109" t="s">
        <v>74</v>
      </c>
      <c r="M14" s="108" t="s">
        <v>74</v>
      </c>
      <c r="N14" s="108" t="s">
        <v>74</v>
      </c>
      <c r="O14" s="108"/>
      <c r="P14" s="108"/>
      <c r="Q14" s="108" t="s">
        <v>74</v>
      </c>
      <c r="R14" s="108" t="s">
        <v>74</v>
      </c>
      <c r="S14" s="108" t="s">
        <v>74</v>
      </c>
      <c r="T14" s="108" t="b">
        <v>0</v>
      </c>
      <c r="U14" s="108" t="s">
        <v>69</v>
      </c>
      <c r="V14" s="108" t="s">
        <v>2232</v>
      </c>
      <c r="W14" s="108" t="b">
        <v>0</v>
      </c>
      <c r="X14" s="108" t="s">
        <v>1174</v>
      </c>
      <c r="Z14" s="110" t="s">
        <v>2001</v>
      </c>
      <c r="AA14" s="108"/>
      <c r="AJ14" s="109"/>
    </row>
    <row r="15">
      <c r="A15" s="108" t="s">
        <v>121</v>
      </c>
      <c r="B15" s="110" t="s">
        <v>2233</v>
      </c>
      <c r="C15" s="108" t="s">
        <v>570</v>
      </c>
      <c r="D15" s="109" t="s">
        <v>64</v>
      </c>
      <c r="E15" s="108" t="s">
        <v>76</v>
      </c>
      <c r="F15" s="108"/>
      <c r="G15" s="109" t="s">
        <v>2234</v>
      </c>
      <c r="H15" s="109"/>
      <c r="I15" s="109"/>
      <c r="J15" s="109" t="s">
        <v>2235</v>
      </c>
      <c r="K15" s="109" t="s">
        <v>74</v>
      </c>
      <c r="L15" s="109" t="s">
        <v>74</v>
      </c>
      <c r="M15" s="108" t="s">
        <v>74</v>
      </c>
      <c r="N15" s="108" t="s">
        <v>2008</v>
      </c>
      <c r="O15" s="108"/>
      <c r="P15" s="108"/>
      <c r="Q15" s="108" t="s">
        <v>74</v>
      </c>
      <c r="R15" s="108" t="s">
        <v>74</v>
      </c>
      <c r="S15" s="108" t="s">
        <v>74</v>
      </c>
      <c r="T15" s="108" t="b">
        <v>0</v>
      </c>
      <c r="U15" s="108" t="s">
        <v>69</v>
      </c>
      <c r="V15" s="108" t="s">
        <v>70</v>
      </c>
      <c r="W15" s="108" t="b">
        <v>1</v>
      </c>
      <c r="X15" s="108" t="s">
        <v>2236</v>
      </c>
      <c r="Y15" s="108" t="s">
        <v>127</v>
      </c>
      <c r="Z15" s="110" t="s">
        <v>2192</v>
      </c>
      <c r="AA15" s="108"/>
      <c r="AJ15" s="109"/>
    </row>
    <row r="16">
      <c r="A16" s="108" t="s">
        <v>2237</v>
      </c>
      <c r="B16" s="110" t="s">
        <v>253</v>
      </c>
      <c r="C16" s="108" t="s">
        <v>2238</v>
      </c>
      <c r="D16" s="108" t="s">
        <v>672</v>
      </c>
      <c r="E16" s="108" t="s">
        <v>85</v>
      </c>
      <c r="F16" s="108"/>
      <c r="G16" s="109" t="s">
        <v>2239</v>
      </c>
      <c r="H16" s="109"/>
      <c r="I16" s="109"/>
      <c r="J16" s="109" t="s">
        <v>74</v>
      </c>
      <c r="K16" s="109" t="s">
        <v>74</v>
      </c>
      <c r="L16" s="109" t="s">
        <v>74</v>
      </c>
      <c r="M16" s="108" t="s">
        <v>74</v>
      </c>
      <c r="N16" s="108" t="s">
        <v>74</v>
      </c>
      <c r="O16" s="108"/>
      <c r="P16" s="108"/>
      <c r="Q16" s="108" t="s">
        <v>74</v>
      </c>
      <c r="R16" s="108" t="s">
        <v>74</v>
      </c>
      <c r="S16" s="108" t="s">
        <v>74</v>
      </c>
      <c r="T16" s="108" t="b">
        <v>0</v>
      </c>
      <c r="U16" s="108" t="s">
        <v>69</v>
      </c>
      <c r="V16" s="108" t="s">
        <v>70</v>
      </c>
      <c r="W16" s="108" t="b">
        <v>0</v>
      </c>
      <c r="X16" s="108" t="s">
        <v>2187</v>
      </c>
      <c r="Z16" s="110" t="s">
        <v>2018</v>
      </c>
      <c r="AA16" s="108"/>
      <c r="AJ16" s="109"/>
    </row>
    <row r="17">
      <c r="A17" s="108" t="s">
        <v>2240</v>
      </c>
      <c r="B17" s="110" t="s">
        <v>253</v>
      </c>
      <c r="C17" s="108" t="s">
        <v>2241</v>
      </c>
      <c r="D17" s="108" t="s">
        <v>444</v>
      </c>
      <c r="E17" s="108" t="s">
        <v>85</v>
      </c>
      <c r="F17" s="108"/>
      <c r="G17" s="109" t="s">
        <v>2242</v>
      </c>
      <c r="H17" s="109"/>
      <c r="I17" s="109"/>
      <c r="J17" s="109" t="s">
        <v>74</v>
      </c>
      <c r="K17" s="109" t="s">
        <v>74</v>
      </c>
      <c r="L17" s="109" t="s">
        <v>74</v>
      </c>
      <c r="M17" s="108" t="s">
        <v>74</v>
      </c>
      <c r="N17" s="108" t="s">
        <v>74</v>
      </c>
      <c r="O17" s="108"/>
      <c r="P17" s="108"/>
      <c r="Q17" s="108" t="s">
        <v>74</v>
      </c>
      <c r="R17" s="108" t="s">
        <v>74</v>
      </c>
      <c r="S17" s="108" t="s">
        <v>74</v>
      </c>
      <c r="T17" s="108" t="b">
        <v>1</v>
      </c>
      <c r="U17" s="108" t="s">
        <v>2222</v>
      </c>
      <c r="V17" s="108" t="s">
        <v>70</v>
      </c>
      <c r="W17" s="108" t="b">
        <v>0</v>
      </c>
      <c r="X17" s="108" t="s">
        <v>2223</v>
      </c>
      <c r="Z17" s="110" t="s">
        <v>2192</v>
      </c>
      <c r="AA17" s="108"/>
      <c r="AJ17" s="109"/>
    </row>
    <row r="18">
      <c r="A18" s="108" t="s">
        <v>733</v>
      </c>
      <c r="B18" s="110" t="s">
        <v>2243</v>
      </c>
      <c r="C18" s="108" t="s">
        <v>769</v>
      </c>
      <c r="D18" s="108" t="s">
        <v>672</v>
      </c>
      <c r="E18" s="108" t="s">
        <v>144</v>
      </c>
      <c r="F18" s="108"/>
      <c r="G18" s="109" t="s">
        <v>2244</v>
      </c>
      <c r="H18" s="109"/>
      <c r="I18" s="109"/>
      <c r="J18" s="109" t="s">
        <v>74</v>
      </c>
      <c r="K18" s="109" t="s">
        <v>74</v>
      </c>
      <c r="L18" s="109" t="s">
        <v>74</v>
      </c>
      <c r="M18" s="108" t="s">
        <v>74</v>
      </c>
      <c r="N18" s="108" t="s">
        <v>74</v>
      </c>
      <c r="O18" s="108"/>
      <c r="P18" s="108"/>
      <c r="Q18" s="108" t="s">
        <v>74</v>
      </c>
      <c r="R18" s="108" t="s">
        <v>74</v>
      </c>
      <c r="S18" s="108" t="s">
        <v>74</v>
      </c>
      <c r="T18" s="108" t="b">
        <v>0</v>
      </c>
      <c r="U18" s="108" t="s">
        <v>69</v>
      </c>
      <c r="V18" s="108" t="s">
        <v>70</v>
      </c>
      <c r="W18" s="108" t="b">
        <v>0</v>
      </c>
      <c r="X18" s="108" t="s">
        <v>1174</v>
      </c>
      <c r="Z18" s="110" t="s">
        <v>2018</v>
      </c>
      <c r="AA18" s="108"/>
      <c r="AJ18" s="109"/>
    </row>
    <row r="19">
      <c r="A19" s="108" t="s">
        <v>2245</v>
      </c>
      <c r="B19" s="110" t="s">
        <v>253</v>
      </c>
      <c r="C19" s="108" t="s">
        <v>2246</v>
      </c>
      <c r="D19" s="108" t="s">
        <v>945</v>
      </c>
      <c r="E19" s="108" t="s">
        <v>85</v>
      </c>
      <c r="F19" s="108"/>
      <c r="G19" s="109" t="s">
        <v>2247</v>
      </c>
      <c r="H19" s="109"/>
      <c r="I19" s="109"/>
      <c r="J19" s="109" t="s">
        <v>2191</v>
      </c>
      <c r="K19" s="109" t="s">
        <v>74</v>
      </c>
      <c r="L19" s="109" t="s">
        <v>74</v>
      </c>
      <c r="M19" s="108" t="s">
        <v>2095</v>
      </c>
      <c r="N19" s="108" t="s">
        <v>2203</v>
      </c>
      <c r="O19" s="108"/>
      <c r="P19" s="108"/>
      <c r="Q19" s="108" t="s">
        <v>74</v>
      </c>
      <c r="R19" s="108" t="s">
        <v>74</v>
      </c>
      <c r="S19" s="108" t="s">
        <v>74</v>
      </c>
      <c r="T19" s="108" t="b">
        <v>0</v>
      </c>
      <c r="U19" s="108" t="s">
        <v>69</v>
      </c>
      <c r="V19" s="108" t="s">
        <v>2222</v>
      </c>
      <c r="W19" s="108" t="b">
        <v>0</v>
      </c>
      <c r="X19" s="108" t="s">
        <v>1174</v>
      </c>
      <c r="Z19" s="110" t="s">
        <v>2192</v>
      </c>
      <c r="AA19" s="108"/>
      <c r="AJ19" s="109"/>
    </row>
    <row r="20">
      <c r="A20" s="108" t="s">
        <v>2248</v>
      </c>
      <c r="B20" s="110" t="s">
        <v>253</v>
      </c>
      <c r="C20" s="108" t="s">
        <v>199</v>
      </c>
      <c r="D20" s="108" t="s">
        <v>444</v>
      </c>
      <c r="E20" s="108" t="s">
        <v>85</v>
      </c>
      <c r="F20" s="108"/>
      <c r="G20" s="109" t="s">
        <v>2249</v>
      </c>
      <c r="H20" s="109"/>
      <c r="I20" s="109"/>
      <c r="J20" s="109" t="s">
        <v>74</v>
      </c>
      <c r="K20" s="109" t="s">
        <v>74</v>
      </c>
      <c r="L20" s="109" t="s">
        <v>74</v>
      </c>
      <c r="M20" s="108" t="s">
        <v>2048</v>
      </c>
      <c r="N20" s="108" t="s">
        <v>74</v>
      </c>
      <c r="O20" s="108"/>
      <c r="P20" s="108"/>
      <c r="Q20" s="108" t="s">
        <v>74</v>
      </c>
      <c r="R20" s="108" t="s">
        <v>74</v>
      </c>
      <c r="S20" s="108" t="s">
        <v>74</v>
      </c>
      <c r="T20" s="108" t="b">
        <v>0</v>
      </c>
      <c r="U20" s="108" t="s">
        <v>69</v>
      </c>
      <c r="V20" s="108" t="s">
        <v>70</v>
      </c>
      <c r="W20" s="108" t="b">
        <v>0</v>
      </c>
      <c r="X20" s="108" t="s">
        <v>71</v>
      </c>
      <c r="Z20" s="110" t="s">
        <v>2192</v>
      </c>
      <c r="AA20" s="108"/>
      <c r="AJ20" s="109"/>
    </row>
    <row r="21">
      <c r="A21" s="108" t="s">
        <v>2250</v>
      </c>
      <c r="B21" s="110" t="s">
        <v>253</v>
      </c>
      <c r="C21" s="108" t="s">
        <v>108</v>
      </c>
      <c r="D21" s="109" t="s">
        <v>64</v>
      </c>
      <c r="E21" s="108" t="s">
        <v>103</v>
      </c>
      <c r="F21" s="108"/>
      <c r="G21" s="109" t="s">
        <v>2251</v>
      </c>
      <c r="H21" s="109"/>
      <c r="I21" s="109"/>
      <c r="J21" s="109" t="s">
        <v>74</v>
      </c>
      <c r="K21" s="109" t="s">
        <v>74</v>
      </c>
      <c r="L21" s="109" t="s">
        <v>74</v>
      </c>
      <c r="M21" s="108" t="s">
        <v>74</v>
      </c>
      <c r="N21" s="108" t="s">
        <v>74</v>
      </c>
      <c r="O21" s="108"/>
      <c r="P21" s="108"/>
      <c r="Q21" s="108" t="s">
        <v>74</v>
      </c>
      <c r="R21" s="108" t="s">
        <v>74</v>
      </c>
      <c r="S21" s="108" t="s">
        <v>74</v>
      </c>
      <c r="T21" s="108" t="b">
        <v>0</v>
      </c>
      <c r="U21" s="108" t="s">
        <v>69</v>
      </c>
      <c r="V21" s="108" t="s">
        <v>70</v>
      </c>
      <c r="W21" s="108" t="b">
        <v>0</v>
      </c>
      <c r="X21" s="108" t="s">
        <v>78</v>
      </c>
      <c r="Y21" s="108" t="s">
        <v>2252</v>
      </c>
      <c r="Z21" s="110" t="s">
        <v>2253</v>
      </c>
      <c r="AA21" s="108" t="s">
        <v>2254</v>
      </c>
      <c r="AJ21" s="109"/>
    </row>
    <row r="22">
      <c r="A22" s="108" t="s">
        <v>2255</v>
      </c>
      <c r="B22" s="110" t="s">
        <v>253</v>
      </c>
      <c r="C22" s="108" t="s">
        <v>2256</v>
      </c>
      <c r="D22" s="108" t="s">
        <v>945</v>
      </c>
      <c r="E22" s="108" t="s">
        <v>140</v>
      </c>
      <c r="F22" s="108"/>
      <c r="G22" s="109" t="s">
        <v>2257</v>
      </c>
      <c r="H22" s="109"/>
      <c r="I22" s="109"/>
      <c r="J22" s="109" t="s">
        <v>74</v>
      </c>
      <c r="K22" s="109" t="s">
        <v>74</v>
      </c>
      <c r="L22" s="109" t="s">
        <v>74</v>
      </c>
      <c r="M22" s="108" t="s">
        <v>74</v>
      </c>
      <c r="N22" s="108" t="s">
        <v>2258</v>
      </c>
      <c r="O22" s="108"/>
      <c r="P22" s="108"/>
      <c r="Q22" s="108" t="s">
        <v>74</v>
      </c>
      <c r="R22" s="108" t="s">
        <v>74</v>
      </c>
      <c r="S22" s="108" t="s">
        <v>74</v>
      </c>
      <c r="T22" s="108" t="b">
        <v>0</v>
      </c>
      <c r="U22" s="108" t="s">
        <v>69</v>
      </c>
      <c r="V22" s="108" t="s">
        <v>2222</v>
      </c>
      <c r="W22" s="108" t="b">
        <v>0</v>
      </c>
      <c r="X22" s="108" t="s">
        <v>1174</v>
      </c>
      <c r="Z22" s="110" t="s">
        <v>2192</v>
      </c>
      <c r="AA22" s="108"/>
      <c r="AJ22" s="109"/>
    </row>
    <row r="23">
      <c r="A23" s="108" t="s">
        <v>2259</v>
      </c>
      <c r="B23" s="110" t="s">
        <v>253</v>
      </c>
      <c r="C23" s="108" t="s">
        <v>2260</v>
      </c>
      <c r="D23" s="108" t="s">
        <v>945</v>
      </c>
      <c r="E23" s="108" t="s">
        <v>85</v>
      </c>
      <c r="F23" s="108"/>
      <c r="G23" s="109" t="s">
        <v>2261</v>
      </c>
      <c r="H23" s="109"/>
      <c r="I23" s="109"/>
      <c r="J23" s="109" t="s">
        <v>74</v>
      </c>
      <c r="K23" s="109" t="s">
        <v>74</v>
      </c>
      <c r="L23" s="109" t="s">
        <v>74</v>
      </c>
      <c r="M23" s="108" t="s">
        <v>2073</v>
      </c>
      <c r="N23" s="108" t="s">
        <v>74</v>
      </c>
      <c r="O23" s="108"/>
      <c r="P23" s="108"/>
      <c r="Q23" s="108" t="s">
        <v>74</v>
      </c>
      <c r="R23" s="108" t="s">
        <v>74</v>
      </c>
      <c r="S23" s="108" t="s">
        <v>74</v>
      </c>
      <c r="T23" s="108" t="b">
        <v>0</v>
      </c>
      <c r="U23" s="108" t="s">
        <v>69</v>
      </c>
      <c r="V23" s="108" t="s">
        <v>70</v>
      </c>
      <c r="W23" s="108" t="b">
        <v>0</v>
      </c>
      <c r="X23" s="108" t="s">
        <v>2223</v>
      </c>
      <c r="Z23" s="110" t="s">
        <v>2018</v>
      </c>
      <c r="AA23" s="108"/>
      <c r="AJ23" s="109"/>
    </row>
    <row r="24">
      <c r="A24" s="108" t="s">
        <v>675</v>
      </c>
      <c r="B24" s="110" t="s">
        <v>2233</v>
      </c>
      <c r="C24" s="108" t="s">
        <v>2262</v>
      </c>
      <c r="D24" s="108" t="s">
        <v>444</v>
      </c>
      <c r="E24" s="108" t="s">
        <v>76</v>
      </c>
      <c r="G24" s="109" t="s">
        <v>2263</v>
      </c>
      <c r="H24" s="109"/>
      <c r="I24" s="109"/>
      <c r="J24" s="109" t="s">
        <v>2185</v>
      </c>
      <c r="K24" s="109" t="s">
        <v>2264</v>
      </c>
      <c r="L24" s="109" t="s">
        <v>74</v>
      </c>
      <c r="M24" s="108" t="s">
        <v>74</v>
      </c>
      <c r="N24" s="108" t="s">
        <v>2049</v>
      </c>
      <c r="O24" s="108"/>
      <c r="P24" s="108"/>
      <c r="Q24" s="108" t="s">
        <v>74</v>
      </c>
      <c r="R24" s="108" t="s">
        <v>74</v>
      </c>
      <c r="S24" s="108" t="s">
        <v>74</v>
      </c>
      <c r="T24" s="108" t="b">
        <v>0</v>
      </c>
      <c r="U24" s="108" t="s">
        <v>69</v>
      </c>
      <c r="V24" s="108" t="s">
        <v>134</v>
      </c>
      <c r="W24" s="108" t="b">
        <v>0</v>
      </c>
      <c r="X24" s="108" t="s">
        <v>78</v>
      </c>
      <c r="Z24" s="110" t="s">
        <v>2192</v>
      </c>
      <c r="AJ24" s="109"/>
    </row>
    <row r="25">
      <c r="A25" s="108" t="s">
        <v>2265</v>
      </c>
      <c r="B25" s="110" t="s">
        <v>253</v>
      </c>
      <c r="C25" s="108" t="s">
        <v>2266</v>
      </c>
      <c r="D25" s="108" t="s">
        <v>672</v>
      </c>
      <c r="E25" s="108" t="s">
        <v>85</v>
      </c>
      <c r="F25" s="108"/>
      <c r="G25" s="109" t="s">
        <v>2267</v>
      </c>
      <c r="H25" s="109"/>
      <c r="I25" s="109"/>
      <c r="J25" s="109" t="s">
        <v>74</v>
      </c>
      <c r="K25" s="109" t="s">
        <v>74</v>
      </c>
      <c r="L25" s="109" t="s">
        <v>74</v>
      </c>
      <c r="M25" s="108" t="s">
        <v>74</v>
      </c>
      <c r="N25" s="108" t="s">
        <v>74</v>
      </c>
      <c r="O25" s="108"/>
      <c r="P25" s="108"/>
      <c r="Q25" s="108" t="s">
        <v>74</v>
      </c>
      <c r="R25" s="108" t="s">
        <v>74</v>
      </c>
      <c r="S25" s="108" t="s">
        <v>74</v>
      </c>
      <c r="T25" s="108" t="b">
        <v>0</v>
      </c>
      <c r="U25" s="108" t="s">
        <v>69</v>
      </c>
      <c r="V25" s="108" t="s">
        <v>2268</v>
      </c>
      <c r="W25" s="108" t="b">
        <v>0</v>
      </c>
      <c r="X25" s="108" t="s">
        <v>78</v>
      </c>
      <c r="Z25" s="110" t="s">
        <v>2192</v>
      </c>
      <c r="AA25" s="108"/>
      <c r="AJ25" s="109"/>
    </row>
    <row r="26">
      <c r="A26" s="108" t="s">
        <v>2269</v>
      </c>
      <c r="B26" s="110" t="s">
        <v>2243</v>
      </c>
      <c r="C26" s="108" t="s">
        <v>102</v>
      </c>
      <c r="D26" s="108" t="s">
        <v>672</v>
      </c>
      <c r="E26" s="108" t="s">
        <v>85</v>
      </c>
      <c r="F26" s="108"/>
      <c r="G26" s="109" t="s">
        <v>2270</v>
      </c>
      <c r="H26" s="109"/>
      <c r="I26" s="109"/>
      <c r="J26" s="109" t="s">
        <v>74</v>
      </c>
      <c r="K26" s="109" t="s">
        <v>74</v>
      </c>
      <c r="L26" s="109" t="s">
        <v>74</v>
      </c>
      <c r="M26" s="108" t="s">
        <v>74</v>
      </c>
      <c r="N26" s="108" t="s">
        <v>74</v>
      </c>
      <c r="O26" s="108"/>
      <c r="P26" s="108"/>
      <c r="Q26" s="108" t="s">
        <v>74</v>
      </c>
      <c r="R26" s="108" t="s">
        <v>74</v>
      </c>
      <c r="S26" s="108" t="s">
        <v>74</v>
      </c>
      <c r="T26" s="108" t="b">
        <v>0</v>
      </c>
      <c r="U26" s="108" t="s">
        <v>69</v>
      </c>
      <c r="V26" s="108" t="s">
        <v>2232</v>
      </c>
      <c r="W26" s="108" t="b">
        <v>0</v>
      </c>
      <c r="X26" s="108" t="s">
        <v>2187</v>
      </c>
      <c r="Z26" s="110" t="s">
        <v>2192</v>
      </c>
      <c r="AA26" s="108"/>
      <c r="AJ26" s="109"/>
    </row>
    <row r="27">
      <c r="A27" s="108" t="s">
        <v>2271</v>
      </c>
      <c r="B27" s="110" t="s">
        <v>253</v>
      </c>
      <c r="C27" s="108" t="s">
        <v>2272</v>
      </c>
      <c r="D27" s="108" t="s">
        <v>1223</v>
      </c>
      <c r="E27" s="108" t="s">
        <v>140</v>
      </c>
      <c r="F27" s="108"/>
      <c r="G27" s="109" t="s">
        <v>2273</v>
      </c>
      <c r="H27" s="109"/>
      <c r="I27" s="109"/>
      <c r="J27" s="109" t="s">
        <v>74</v>
      </c>
      <c r="K27" s="109" t="s">
        <v>74</v>
      </c>
      <c r="L27" s="109" t="s">
        <v>74</v>
      </c>
      <c r="M27" s="108" t="s">
        <v>74</v>
      </c>
      <c r="N27" s="108" t="s">
        <v>2274</v>
      </c>
      <c r="O27" s="108"/>
      <c r="P27" s="108"/>
      <c r="Q27" s="108" t="s">
        <v>74</v>
      </c>
      <c r="R27" s="108" t="s">
        <v>74</v>
      </c>
      <c r="S27" s="108" t="s">
        <v>74</v>
      </c>
      <c r="T27" s="108" t="b">
        <v>0</v>
      </c>
      <c r="U27" s="108" t="s">
        <v>69</v>
      </c>
      <c r="V27" s="108" t="s">
        <v>70</v>
      </c>
      <c r="W27" s="108" t="b">
        <v>0</v>
      </c>
      <c r="X27" s="108" t="s">
        <v>2187</v>
      </c>
      <c r="Z27" s="110" t="s">
        <v>2192</v>
      </c>
      <c r="AA27" s="108"/>
      <c r="AJ27" s="109"/>
    </row>
    <row r="28">
      <c r="A28" s="108" t="s">
        <v>2275</v>
      </c>
      <c r="B28" s="110" t="s">
        <v>253</v>
      </c>
      <c r="C28" s="108" t="s">
        <v>139</v>
      </c>
      <c r="D28" s="108" t="s">
        <v>945</v>
      </c>
      <c r="E28" s="108" t="s">
        <v>85</v>
      </c>
      <c r="F28" s="108"/>
      <c r="G28" s="109" t="s">
        <v>2276</v>
      </c>
      <c r="H28" s="109"/>
      <c r="I28" s="109"/>
      <c r="J28" s="109" t="s">
        <v>74</v>
      </c>
      <c r="K28" s="109" t="s">
        <v>74</v>
      </c>
      <c r="L28" s="109" t="s">
        <v>74</v>
      </c>
      <c r="M28" s="108" t="s">
        <v>74</v>
      </c>
      <c r="N28" s="108" t="s">
        <v>74</v>
      </c>
      <c r="O28" s="108"/>
      <c r="P28" s="108"/>
      <c r="Q28" s="108" t="s">
        <v>74</v>
      </c>
      <c r="R28" s="108" t="s">
        <v>74</v>
      </c>
      <c r="S28" s="108" t="s">
        <v>74</v>
      </c>
      <c r="T28" s="108" t="b">
        <v>0</v>
      </c>
      <c r="U28" s="108" t="s">
        <v>69</v>
      </c>
      <c r="V28" s="108" t="s">
        <v>70</v>
      </c>
      <c r="W28" s="108" t="b">
        <v>0</v>
      </c>
      <c r="X28" s="108" t="s">
        <v>1174</v>
      </c>
      <c r="Z28" s="110" t="s">
        <v>2001</v>
      </c>
      <c r="AA28" s="108"/>
      <c r="AJ28" s="109"/>
    </row>
    <row r="29">
      <c r="A29" s="108" t="s">
        <v>518</v>
      </c>
      <c r="B29" s="110" t="s">
        <v>253</v>
      </c>
      <c r="C29" s="108" t="s">
        <v>2277</v>
      </c>
      <c r="D29" s="108" t="s">
        <v>672</v>
      </c>
      <c r="E29" s="108" t="s">
        <v>103</v>
      </c>
      <c r="F29" s="108"/>
      <c r="G29" s="109" t="s">
        <v>2278</v>
      </c>
      <c r="H29" s="109"/>
      <c r="I29" s="109"/>
      <c r="J29" s="109" t="s">
        <v>74</v>
      </c>
      <c r="K29" s="109" t="s">
        <v>74</v>
      </c>
      <c r="L29" s="109" t="s">
        <v>74</v>
      </c>
      <c r="M29" s="108" t="s">
        <v>74</v>
      </c>
      <c r="N29" s="108" t="s">
        <v>74</v>
      </c>
      <c r="O29" s="108"/>
      <c r="P29" s="108"/>
      <c r="Q29" s="108" t="s">
        <v>74</v>
      </c>
      <c r="R29" s="108" t="s">
        <v>74</v>
      </c>
      <c r="S29" s="108" t="s">
        <v>74</v>
      </c>
      <c r="T29" s="108" t="b">
        <v>0</v>
      </c>
      <c r="U29" s="108" t="s">
        <v>69</v>
      </c>
      <c r="V29" s="108" t="s">
        <v>70</v>
      </c>
      <c r="W29" s="108" t="b">
        <v>0</v>
      </c>
      <c r="X29" s="108" t="s">
        <v>71</v>
      </c>
      <c r="Z29" s="110" t="s">
        <v>2018</v>
      </c>
      <c r="AA29" s="108"/>
      <c r="AJ29" s="109"/>
    </row>
    <row r="30">
      <c r="A30" s="108" t="s">
        <v>2279</v>
      </c>
      <c r="B30" s="110" t="s">
        <v>253</v>
      </c>
      <c r="C30" s="108" t="s">
        <v>924</v>
      </c>
      <c r="D30" s="108" t="s">
        <v>672</v>
      </c>
      <c r="E30" s="108" t="s">
        <v>178</v>
      </c>
      <c r="F30" s="108"/>
      <c r="G30" s="109" t="s">
        <v>2280</v>
      </c>
      <c r="H30" s="109"/>
      <c r="I30" s="109"/>
      <c r="J30" s="109" t="s">
        <v>74</v>
      </c>
      <c r="K30" s="109" t="s">
        <v>74</v>
      </c>
      <c r="L30" s="109" t="s">
        <v>74</v>
      </c>
      <c r="M30" s="108" t="s">
        <v>74</v>
      </c>
      <c r="N30" s="108" t="s">
        <v>74</v>
      </c>
      <c r="O30" s="108"/>
      <c r="P30" s="108"/>
      <c r="Q30" s="108" t="s">
        <v>74</v>
      </c>
      <c r="R30" s="108" t="s">
        <v>74</v>
      </c>
      <c r="S30" s="108" t="s">
        <v>74</v>
      </c>
      <c r="T30" s="108" t="b">
        <v>0</v>
      </c>
      <c r="U30" s="108" t="s">
        <v>2281</v>
      </c>
      <c r="V30" s="108" t="s">
        <v>70</v>
      </c>
      <c r="W30" s="108" t="b">
        <v>0</v>
      </c>
      <c r="X30" s="108" t="s">
        <v>2214</v>
      </c>
      <c r="Z30" s="110" t="s">
        <v>2192</v>
      </c>
      <c r="AA30" s="108"/>
      <c r="AJ30" s="109"/>
    </row>
    <row r="31">
      <c r="A31" s="108" t="s">
        <v>2282</v>
      </c>
      <c r="B31" s="110" t="s">
        <v>253</v>
      </c>
      <c r="C31" s="108" t="s">
        <v>123</v>
      </c>
      <c r="D31" s="108" t="s">
        <v>945</v>
      </c>
      <c r="E31" s="108" t="s">
        <v>85</v>
      </c>
      <c r="F31" s="108"/>
      <c r="G31" s="109" t="s">
        <v>2283</v>
      </c>
      <c r="H31" s="109"/>
      <c r="I31" s="109"/>
      <c r="J31" s="109" t="s">
        <v>2191</v>
      </c>
      <c r="K31" s="109" t="s">
        <v>74</v>
      </c>
      <c r="L31" s="109" t="s">
        <v>2284</v>
      </c>
      <c r="M31" s="108" t="s">
        <v>74</v>
      </c>
      <c r="N31" s="108" t="s">
        <v>74</v>
      </c>
      <c r="O31" s="108"/>
      <c r="P31" s="108"/>
      <c r="Q31" s="108" t="s">
        <v>74</v>
      </c>
      <c r="R31" s="108" t="s">
        <v>74</v>
      </c>
      <c r="S31" s="108" t="s">
        <v>74</v>
      </c>
      <c r="T31" s="108" t="b">
        <v>0</v>
      </c>
      <c r="U31" s="108" t="s">
        <v>69</v>
      </c>
      <c r="V31" s="108" t="s">
        <v>70</v>
      </c>
      <c r="W31" s="108" t="b">
        <v>0</v>
      </c>
      <c r="X31" s="108" t="s">
        <v>2187</v>
      </c>
      <c r="Z31" s="110" t="s">
        <v>2192</v>
      </c>
      <c r="AA31" s="108"/>
      <c r="AJ31" s="109"/>
    </row>
    <row r="32">
      <c r="A32" s="108" t="s">
        <v>2285</v>
      </c>
      <c r="B32" s="110" t="s">
        <v>253</v>
      </c>
      <c r="C32" s="108" t="s">
        <v>2246</v>
      </c>
      <c r="D32" s="108" t="s">
        <v>672</v>
      </c>
      <c r="E32" s="108" t="s">
        <v>103</v>
      </c>
      <c r="F32" s="108"/>
      <c r="G32" s="109" t="s">
        <v>2286</v>
      </c>
      <c r="H32" s="109"/>
      <c r="I32" s="109"/>
      <c r="J32" s="109" t="s">
        <v>2191</v>
      </c>
      <c r="K32" s="109" t="s">
        <v>74</v>
      </c>
      <c r="L32" s="109" t="s">
        <v>2186</v>
      </c>
      <c r="M32" s="108" t="s">
        <v>74</v>
      </c>
      <c r="N32" s="108" t="s">
        <v>2063</v>
      </c>
      <c r="O32" s="108"/>
      <c r="P32" s="108"/>
      <c r="Q32" s="108" t="s">
        <v>74</v>
      </c>
      <c r="R32" s="108" t="s">
        <v>74</v>
      </c>
      <c r="S32" s="108" t="s">
        <v>74</v>
      </c>
      <c r="T32" s="108" t="b">
        <v>0</v>
      </c>
      <c r="U32" s="108" t="s">
        <v>69</v>
      </c>
      <c r="V32" s="108" t="s">
        <v>2204</v>
      </c>
      <c r="W32" s="108" t="b">
        <v>1</v>
      </c>
      <c r="X32" s="108" t="s">
        <v>1174</v>
      </c>
      <c r="Z32" s="110" t="s">
        <v>2192</v>
      </c>
      <c r="AA32" s="108"/>
      <c r="AJ32" s="109"/>
    </row>
    <row r="33">
      <c r="A33" s="108" t="s">
        <v>2287</v>
      </c>
      <c r="B33" s="110" t="s">
        <v>253</v>
      </c>
      <c r="C33" s="108" t="s">
        <v>2288</v>
      </c>
      <c r="D33" s="108" t="s">
        <v>945</v>
      </c>
      <c r="E33" s="108" t="s">
        <v>144</v>
      </c>
      <c r="F33" s="108"/>
      <c r="G33" s="109" t="s">
        <v>2289</v>
      </c>
      <c r="H33" s="109"/>
      <c r="I33" s="109"/>
      <c r="J33" s="109" t="s">
        <v>74</v>
      </c>
      <c r="K33" s="109" t="s">
        <v>74</v>
      </c>
      <c r="L33" s="109" t="s">
        <v>74</v>
      </c>
      <c r="M33" s="108" t="s">
        <v>74</v>
      </c>
      <c r="N33" s="108" t="s">
        <v>2063</v>
      </c>
      <c r="O33" s="108"/>
      <c r="P33" s="108"/>
      <c r="Q33" s="108" t="s">
        <v>74</v>
      </c>
      <c r="R33" s="108" t="s">
        <v>74</v>
      </c>
      <c r="S33" s="108" t="s">
        <v>74</v>
      </c>
      <c r="T33" s="108" t="b">
        <v>0</v>
      </c>
      <c r="U33" s="108" t="s">
        <v>69</v>
      </c>
      <c r="V33" s="108" t="s">
        <v>70</v>
      </c>
      <c r="W33" s="108" t="b">
        <v>0</v>
      </c>
      <c r="X33" s="108" t="s">
        <v>1174</v>
      </c>
      <c r="Z33" s="110" t="s">
        <v>2192</v>
      </c>
      <c r="AA33" s="108"/>
      <c r="AJ33" s="109"/>
    </row>
    <row r="34">
      <c r="A34" s="108" t="s">
        <v>2290</v>
      </c>
      <c r="B34" s="110" t="s">
        <v>253</v>
      </c>
      <c r="C34" s="108" t="s">
        <v>123</v>
      </c>
      <c r="D34" s="108" t="s">
        <v>444</v>
      </c>
      <c r="E34" s="108" t="s">
        <v>103</v>
      </c>
      <c r="F34" s="108"/>
      <c r="G34" s="109" t="s">
        <v>2291</v>
      </c>
      <c r="H34" s="109"/>
      <c r="I34" s="109"/>
      <c r="J34" s="109" t="s">
        <v>74</v>
      </c>
      <c r="K34" s="109" t="s">
        <v>74</v>
      </c>
      <c r="L34" s="109" t="s">
        <v>74</v>
      </c>
      <c r="M34" s="108" t="s">
        <v>74</v>
      </c>
      <c r="N34" s="108" t="s">
        <v>74</v>
      </c>
      <c r="O34" s="108"/>
      <c r="P34" s="108"/>
      <c r="Q34" s="108" t="s">
        <v>74</v>
      </c>
      <c r="R34" s="108" t="s">
        <v>74</v>
      </c>
      <c r="S34" s="108" t="s">
        <v>74</v>
      </c>
      <c r="T34" s="108" t="b">
        <v>0</v>
      </c>
      <c r="U34" s="108" t="s">
        <v>69</v>
      </c>
      <c r="V34" s="108" t="s">
        <v>70</v>
      </c>
      <c r="W34" s="108" t="b">
        <v>0</v>
      </c>
      <c r="X34" s="108" t="s">
        <v>1174</v>
      </c>
      <c r="Z34" s="110" t="s">
        <v>2192</v>
      </c>
      <c r="AA34" s="108"/>
      <c r="AJ34" s="109"/>
    </row>
    <row r="35">
      <c r="A35" s="108" t="s">
        <v>2292</v>
      </c>
      <c r="B35" s="110" t="s">
        <v>2233</v>
      </c>
      <c r="C35" s="108" t="s">
        <v>605</v>
      </c>
      <c r="D35" s="108" t="s">
        <v>444</v>
      </c>
      <c r="E35" s="108" t="s">
        <v>76</v>
      </c>
      <c r="F35" s="108"/>
      <c r="G35" s="109" t="s">
        <v>2293</v>
      </c>
      <c r="H35" s="109"/>
      <c r="I35" s="109"/>
      <c r="J35" s="109" t="s">
        <v>2201</v>
      </c>
      <c r="K35" s="109" t="s">
        <v>2294</v>
      </c>
      <c r="L35" s="109" t="s">
        <v>74</v>
      </c>
      <c r="M35" s="108" t="s">
        <v>74</v>
      </c>
      <c r="N35" s="108" t="s">
        <v>74</v>
      </c>
      <c r="O35" s="108"/>
      <c r="P35" s="108"/>
      <c r="Q35" s="108" t="s">
        <v>74</v>
      </c>
      <c r="R35" s="108" t="s">
        <v>74</v>
      </c>
      <c r="S35" s="108" t="s">
        <v>74</v>
      </c>
      <c r="T35" s="108" t="b">
        <v>0</v>
      </c>
      <c r="U35" s="108" t="s">
        <v>69</v>
      </c>
      <c r="V35" s="108" t="s">
        <v>70</v>
      </c>
      <c r="W35" s="108" t="b">
        <v>0</v>
      </c>
      <c r="X35" s="108" t="s">
        <v>2223</v>
      </c>
      <c r="Z35" s="110" t="s">
        <v>2018</v>
      </c>
      <c r="AA35" s="108"/>
      <c r="AJ35" s="109"/>
    </row>
    <row r="36">
      <c r="A36" s="108" t="s">
        <v>1074</v>
      </c>
      <c r="B36" s="110" t="s">
        <v>2225</v>
      </c>
      <c r="C36" s="108" t="s">
        <v>2246</v>
      </c>
      <c r="D36" s="108" t="s">
        <v>945</v>
      </c>
      <c r="E36" s="108" t="s">
        <v>85</v>
      </c>
      <c r="F36" s="108"/>
      <c r="G36" s="109" t="s">
        <v>2295</v>
      </c>
      <c r="H36" s="109"/>
      <c r="I36" s="109"/>
      <c r="J36" s="109" t="s">
        <v>74</v>
      </c>
      <c r="K36" s="109" t="s">
        <v>74</v>
      </c>
      <c r="L36" s="109" t="s">
        <v>74</v>
      </c>
      <c r="M36" s="108" t="s">
        <v>74</v>
      </c>
      <c r="N36" s="108" t="s">
        <v>74</v>
      </c>
      <c r="O36" s="108"/>
      <c r="P36" s="108"/>
      <c r="Q36" s="108" t="s">
        <v>74</v>
      </c>
      <c r="R36" s="108" t="s">
        <v>74</v>
      </c>
      <c r="S36" s="108" t="s">
        <v>74</v>
      </c>
      <c r="T36" s="108" t="b">
        <v>0</v>
      </c>
      <c r="U36" s="108" t="s">
        <v>69</v>
      </c>
      <c r="V36" s="108" t="s">
        <v>70</v>
      </c>
      <c r="W36" s="108" t="b">
        <v>0</v>
      </c>
      <c r="X36" s="108" t="s">
        <v>2223</v>
      </c>
      <c r="Z36" s="110" t="s">
        <v>2253</v>
      </c>
      <c r="AA36" s="108" t="s">
        <v>2296</v>
      </c>
      <c r="AJ36" s="109"/>
    </row>
    <row r="37">
      <c r="A37" s="108" t="s">
        <v>244</v>
      </c>
      <c r="B37" s="110" t="s">
        <v>253</v>
      </c>
      <c r="C37" s="108" t="s">
        <v>108</v>
      </c>
      <c r="D37" s="108" t="s">
        <v>444</v>
      </c>
      <c r="E37" s="108" t="s">
        <v>103</v>
      </c>
      <c r="F37" s="108"/>
      <c r="G37" s="109" t="s">
        <v>2297</v>
      </c>
      <c r="H37" s="109"/>
      <c r="I37" s="109"/>
      <c r="J37" s="109" t="s">
        <v>74</v>
      </c>
      <c r="K37" s="109" t="s">
        <v>74</v>
      </c>
      <c r="L37" s="109" t="s">
        <v>74</v>
      </c>
      <c r="M37" s="108" t="s">
        <v>74</v>
      </c>
      <c r="N37" s="108" t="s">
        <v>74</v>
      </c>
      <c r="O37" s="108"/>
      <c r="P37" s="108"/>
      <c r="Q37" s="108" t="s">
        <v>74</v>
      </c>
      <c r="R37" s="108" t="s">
        <v>74</v>
      </c>
      <c r="S37" s="108" t="s">
        <v>74</v>
      </c>
      <c r="T37" s="108" t="b">
        <v>0</v>
      </c>
      <c r="U37" s="108" t="s">
        <v>69</v>
      </c>
      <c r="V37" s="108" t="s">
        <v>70</v>
      </c>
      <c r="W37" s="108" t="b">
        <v>0</v>
      </c>
      <c r="X37" s="108" t="s">
        <v>2214</v>
      </c>
      <c r="Z37" s="110" t="s">
        <v>2001</v>
      </c>
      <c r="AA37" s="108"/>
      <c r="AJ37" s="109"/>
    </row>
    <row r="38">
      <c r="A38" s="108" t="s">
        <v>2298</v>
      </c>
      <c r="B38" s="110" t="s">
        <v>253</v>
      </c>
      <c r="C38" s="108" t="s">
        <v>130</v>
      </c>
      <c r="D38" s="108" t="s">
        <v>444</v>
      </c>
      <c r="E38" s="108" t="s">
        <v>144</v>
      </c>
      <c r="F38" s="108"/>
      <c r="G38" s="109" t="s">
        <v>2299</v>
      </c>
      <c r="H38" s="109"/>
      <c r="I38" s="109"/>
      <c r="J38" s="109" t="s">
        <v>74</v>
      </c>
      <c r="K38" s="109" t="s">
        <v>74</v>
      </c>
      <c r="L38" s="109" t="s">
        <v>74</v>
      </c>
      <c r="M38" s="108" t="s">
        <v>74</v>
      </c>
      <c r="N38" s="108" t="s">
        <v>74</v>
      </c>
      <c r="O38" s="108"/>
      <c r="P38" s="108"/>
      <c r="Q38" s="108" t="s">
        <v>74</v>
      </c>
      <c r="R38" s="108" t="s">
        <v>74</v>
      </c>
      <c r="S38" s="108" t="s">
        <v>74</v>
      </c>
      <c r="T38" s="108" t="b">
        <v>0</v>
      </c>
      <c r="U38" s="108" t="s">
        <v>69</v>
      </c>
      <c r="V38" s="108" t="s">
        <v>70</v>
      </c>
      <c r="W38" s="108" t="b">
        <v>0</v>
      </c>
      <c r="X38" s="108" t="s">
        <v>2214</v>
      </c>
      <c r="Z38" s="110" t="s">
        <v>2192</v>
      </c>
      <c r="AA38" s="108"/>
      <c r="AJ38" s="109"/>
    </row>
    <row r="39">
      <c r="A39" s="108" t="s">
        <v>252</v>
      </c>
      <c r="B39" s="110" t="s">
        <v>253</v>
      </c>
      <c r="C39" s="108" t="s">
        <v>108</v>
      </c>
      <c r="D39" s="109" t="s">
        <v>64</v>
      </c>
      <c r="E39" s="108" t="s">
        <v>103</v>
      </c>
      <c r="F39" s="108"/>
      <c r="G39" s="109" t="s">
        <v>254</v>
      </c>
      <c r="H39" s="109"/>
      <c r="I39" s="109"/>
      <c r="J39" s="109" t="s">
        <v>74</v>
      </c>
      <c r="K39" s="109" t="s">
        <v>74</v>
      </c>
      <c r="L39" s="109" t="s">
        <v>74</v>
      </c>
      <c r="M39" s="108" t="s">
        <v>74</v>
      </c>
      <c r="N39" s="108" t="s">
        <v>74</v>
      </c>
      <c r="O39" s="108"/>
      <c r="P39" s="108"/>
      <c r="Q39" s="108" t="s">
        <v>74</v>
      </c>
      <c r="R39" s="108" t="s">
        <v>74</v>
      </c>
      <c r="S39" s="108" t="s">
        <v>74</v>
      </c>
      <c r="T39" s="108" t="b">
        <v>0</v>
      </c>
      <c r="U39" s="108" t="s">
        <v>69</v>
      </c>
      <c r="V39" s="108" t="s">
        <v>255</v>
      </c>
      <c r="W39" s="108" t="b">
        <v>0</v>
      </c>
      <c r="X39" s="108" t="s">
        <v>78</v>
      </c>
      <c r="Z39" s="110" t="s">
        <v>2300</v>
      </c>
      <c r="AA39" s="108" t="s">
        <v>2301</v>
      </c>
      <c r="AJ39" s="109"/>
    </row>
    <row r="40">
      <c r="A40" s="108" t="s">
        <v>2302</v>
      </c>
      <c r="B40" s="110" t="s">
        <v>253</v>
      </c>
      <c r="C40" s="108" t="s">
        <v>2206</v>
      </c>
      <c r="D40" s="108" t="s">
        <v>672</v>
      </c>
      <c r="E40" s="108" t="s">
        <v>178</v>
      </c>
      <c r="F40" s="108"/>
      <c r="G40" s="109" t="s">
        <v>2303</v>
      </c>
      <c r="H40" s="109"/>
      <c r="I40" s="109"/>
      <c r="J40" s="109" t="s">
        <v>74</v>
      </c>
      <c r="K40" s="109" t="s">
        <v>74</v>
      </c>
      <c r="L40" s="109" t="s">
        <v>74</v>
      </c>
      <c r="M40" s="108" t="s">
        <v>2116</v>
      </c>
      <c r="N40" s="108" t="s">
        <v>74</v>
      </c>
      <c r="O40" s="108"/>
      <c r="P40" s="108"/>
      <c r="Q40" s="108" t="s">
        <v>74</v>
      </c>
      <c r="R40" s="108" t="s">
        <v>74</v>
      </c>
      <c r="S40" s="108" t="s">
        <v>74</v>
      </c>
      <c r="T40" s="108" t="b">
        <v>0</v>
      </c>
      <c r="U40" s="108" t="s">
        <v>69</v>
      </c>
      <c r="V40" s="108" t="s">
        <v>70</v>
      </c>
      <c r="W40" s="108" t="b">
        <v>0</v>
      </c>
      <c r="X40" s="108" t="s">
        <v>78</v>
      </c>
      <c r="Z40" s="110" t="s">
        <v>2192</v>
      </c>
      <c r="AA40" s="108"/>
      <c r="AJ40" s="109"/>
    </row>
    <row r="41">
      <c r="A41" s="108" t="s">
        <v>2304</v>
      </c>
      <c r="B41" s="110" t="s">
        <v>253</v>
      </c>
      <c r="C41" s="108" t="s">
        <v>250</v>
      </c>
      <c r="D41" s="109" t="s">
        <v>64</v>
      </c>
      <c r="E41" s="108" t="s">
        <v>103</v>
      </c>
      <c r="F41" s="108"/>
      <c r="G41" s="109" t="s">
        <v>2305</v>
      </c>
      <c r="H41" s="109"/>
      <c r="I41" s="109"/>
      <c r="J41" s="109" t="s">
        <v>74</v>
      </c>
      <c r="K41" s="109" t="s">
        <v>74</v>
      </c>
      <c r="L41" s="109" t="s">
        <v>74</v>
      </c>
      <c r="M41" s="108" t="s">
        <v>74</v>
      </c>
      <c r="N41" s="108" t="s">
        <v>2063</v>
      </c>
      <c r="O41" s="108"/>
      <c r="P41" s="108"/>
      <c r="Q41" s="108" t="s">
        <v>74</v>
      </c>
      <c r="R41" s="108" t="s">
        <v>74</v>
      </c>
      <c r="S41" s="108" t="s">
        <v>74</v>
      </c>
      <c r="T41" s="108" t="b">
        <v>0</v>
      </c>
      <c r="U41" s="108" t="s">
        <v>69</v>
      </c>
      <c r="V41" s="108" t="s">
        <v>70</v>
      </c>
      <c r="W41" s="108" t="b">
        <v>0</v>
      </c>
      <c r="X41" s="108" t="s">
        <v>71</v>
      </c>
      <c r="Z41" s="110" t="s">
        <v>2253</v>
      </c>
      <c r="AA41" s="108" t="s">
        <v>2301</v>
      </c>
      <c r="AJ41" s="109"/>
    </row>
    <row r="42">
      <c r="A42" s="108" t="s">
        <v>2306</v>
      </c>
      <c r="B42" s="110" t="s">
        <v>2233</v>
      </c>
      <c r="C42" s="108" t="s">
        <v>130</v>
      </c>
      <c r="D42" s="108" t="s">
        <v>444</v>
      </c>
      <c r="E42" s="108" t="s">
        <v>76</v>
      </c>
      <c r="F42" s="108"/>
      <c r="G42" s="109" t="s">
        <v>2307</v>
      </c>
      <c r="H42" s="109"/>
      <c r="I42" s="109"/>
      <c r="J42" s="109" t="s">
        <v>2191</v>
      </c>
      <c r="K42" s="109" t="s">
        <v>74</v>
      </c>
      <c r="L42" s="109" t="s">
        <v>74</v>
      </c>
      <c r="M42" s="108" t="s">
        <v>74</v>
      </c>
      <c r="N42" s="108" t="s">
        <v>2063</v>
      </c>
      <c r="O42" s="108"/>
      <c r="P42" s="108"/>
      <c r="Q42" s="108" t="s">
        <v>74</v>
      </c>
      <c r="R42" s="108" t="s">
        <v>74</v>
      </c>
      <c r="S42" s="108" t="s">
        <v>74</v>
      </c>
      <c r="T42" s="108" t="b">
        <v>0</v>
      </c>
      <c r="U42" s="108" t="s">
        <v>69</v>
      </c>
      <c r="V42" s="108" t="s">
        <v>70</v>
      </c>
      <c r="W42" s="108" t="b">
        <v>0</v>
      </c>
      <c r="X42" s="108" t="s">
        <v>71</v>
      </c>
      <c r="Z42" s="110" t="s">
        <v>2192</v>
      </c>
      <c r="AA42" s="108"/>
      <c r="AJ42" s="109"/>
    </row>
    <row r="43">
      <c r="A43" s="108" t="s">
        <v>2308</v>
      </c>
      <c r="B43" s="110" t="s">
        <v>2225</v>
      </c>
      <c r="C43" s="108" t="s">
        <v>2238</v>
      </c>
      <c r="D43" s="108" t="s">
        <v>945</v>
      </c>
      <c r="E43" s="108" t="s">
        <v>85</v>
      </c>
      <c r="F43" s="108"/>
      <c r="G43" s="109" t="s">
        <v>2309</v>
      </c>
      <c r="H43" s="109"/>
      <c r="I43" s="109"/>
      <c r="J43" s="109" t="s">
        <v>74</v>
      </c>
      <c r="K43" s="109" t="s">
        <v>74</v>
      </c>
      <c r="L43" s="109" t="s">
        <v>74</v>
      </c>
      <c r="M43" s="108" t="s">
        <v>74</v>
      </c>
      <c r="N43" s="108" t="s">
        <v>2063</v>
      </c>
      <c r="O43" s="108"/>
      <c r="P43" s="108"/>
      <c r="Q43" s="108" t="s">
        <v>74</v>
      </c>
      <c r="R43" s="108" t="s">
        <v>74</v>
      </c>
      <c r="S43" s="108" t="s">
        <v>74</v>
      </c>
      <c r="T43" s="108" t="b">
        <v>0</v>
      </c>
      <c r="U43" s="108" t="s">
        <v>69</v>
      </c>
      <c r="V43" s="108" t="s">
        <v>70</v>
      </c>
      <c r="W43" s="108" t="b">
        <v>0</v>
      </c>
      <c r="X43" s="108" t="s">
        <v>2187</v>
      </c>
      <c r="Z43" s="110" t="s">
        <v>2192</v>
      </c>
      <c r="AA43" s="108"/>
      <c r="AJ43" s="109"/>
    </row>
    <row r="44">
      <c r="A44" s="108" t="s">
        <v>804</v>
      </c>
      <c r="B44" s="110" t="s">
        <v>253</v>
      </c>
      <c r="C44" s="108" t="s">
        <v>2310</v>
      </c>
      <c r="D44" s="108" t="s">
        <v>672</v>
      </c>
      <c r="E44" s="108" t="s">
        <v>103</v>
      </c>
      <c r="F44" s="108"/>
      <c r="G44" s="109" t="s">
        <v>2311</v>
      </c>
      <c r="H44" s="109"/>
      <c r="I44" s="109"/>
      <c r="J44" s="109" t="s">
        <v>74</v>
      </c>
      <c r="K44" s="109" t="s">
        <v>74</v>
      </c>
      <c r="L44" s="109" t="s">
        <v>74</v>
      </c>
      <c r="M44" s="108" t="s">
        <v>74</v>
      </c>
      <c r="N44" s="108" t="s">
        <v>2063</v>
      </c>
      <c r="O44" s="108"/>
      <c r="P44" s="108"/>
      <c r="Q44" s="108" t="s">
        <v>74</v>
      </c>
      <c r="R44" s="108" t="s">
        <v>74</v>
      </c>
      <c r="S44" s="108" t="s">
        <v>74</v>
      </c>
      <c r="T44" s="108" t="b">
        <v>0</v>
      </c>
      <c r="U44" s="108" t="s">
        <v>69</v>
      </c>
      <c r="V44" s="108" t="s">
        <v>70</v>
      </c>
      <c r="W44" s="108" t="b">
        <v>0</v>
      </c>
      <c r="X44" s="108" t="s">
        <v>78</v>
      </c>
      <c r="Z44" s="110" t="s">
        <v>2312</v>
      </c>
      <c r="AA44" s="108" t="s">
        <v>2313</v>
      </c>
      <c r="AJ44" s="109"/>
    </row>
    <row r="45">
      <c r="A45" s="108" t="s">
        <v>2314</v>
      </c>
      <c r="B45" s="110" t="s">
        <v>253</v>
      </c>
      <c r="C45" s="108" t="s">
        <v>519</v>
      </c>
      <c r="D45" s="108" t="s">
        <v>444</v>
      </c>
      <c r="E45" s="108" t="s">
        <v>103</v>
      </c>
      <c r="F45" s="108"/>
      <c r="G45" s="109" t="s">
        <v>2315</v>
      </c>
      <c r="H45" s="109"/>
      <c r="I45" s="109"/>
      <c r="J45" s="109" t="s">
        <v>74</v>
      </c>
      <c r="K45" s="109" t="s">
        <v>74</v>
      </c>
      <c r="L45" s="109" t="s">
        <v>74</v>
      </c>
      <c r="M45" s="108" t="s">
        <v>74</v>
      </c>
      <c r="N45" s="108" t="s">
        <v>74</v>
      </c>
      <c r="O45" s="108"/>
      <c r="P45" s="108"/>
      <c r="Q45" s="108" t="s">
        <v>74</v>
      </c>
      <c r="R45" s="108" t="s">
        <v>74</v>
      </c>
      <c r="S45" s="108" t="s">
        <v>74</v>
      </c>
      <c r="T45" s="108" t="b">
        <v>0</v>
      </c>
      <c r="U45" s="108" t="s">
        <v>69</v>
      </c>
      <c r="V45" s="108" t="s">
        <v>70</v>
      </c>
      <c r="W45" s="108" t="b">
        <v>0</v>
      </c>
      <c r="X45" s="108" t="s">
        <v>78</v>
      </c>
      <c r="Z45" s="110" t="s">
        <v>2001</v>
      </c>
      <c r="AA45" s="108"/>
      <c r="AJ45" s="109"/>
    </row>
    <row r="46">
      <c r="A46" s="108" t="s">
        <v>2316</v>
      </c>
      <c r="B46" s="110" t="s">
        <v>253</v>
      </c>
      <c r="C46" s="108" t="s">
        <v>2272</v>
      </c>
      <c r="D46" s="108" t="s">
        <v>672</v>
      </c>
      <c r="E46" s="108" t="s">
        <v>85</v>
      </c>
      <c r="F46" s="108"/>
      <c r="G46" s="109" t="s">
        <v>2317</v>
      </c>
      <c r="H46" s="109"/>
      <c r="I46" s="109"/>
      <c r="J46" s="109" t="s">
        <v>74</v>
      </c>
      <c r="K46" s="109" t="s">
        <v>74</v>
      </c>
      <c r="L46" s="109" t="s">
        <v>74</v>
      </c>
      <c r="M46" s="108" t="s">
        <v>74</v>
      </c>
      <c r="N46" s="108" t="s">
        <v>74</v>
      </c>
      <c r="O46" s="108"/>
      <c r="P46" s="108"/>
      <c r="Q46" s="108" t="s">
        <v>74</v>
      </c>
      <c r="R46" s="108" t="s">
        <v>74</v>
      </c>
      <c r="S46" s="108" t="s">
        <v>74</v>
      </c>
      <c r="T46" s="108" t="b">
        <v>0</v>
      </c>
      <c r="U46" s="108" t="s">
        <v>69</v>
      </c>
      <c r="V46" s="108" t="s">
        <v>70</v>
      </c>
      <c r="W46" s="108" t="b">
        <v>0</v>
      </c>
      <c r="X46" s="108" t="s">
        <v>1174</v>
      </c>
      <c r="Z46" s="110" t="s">
        <v>2192</v>
      </c>
      <c r="AA46" s="108"/>
      <c r="AJ46" s="109"/>
    </row>
    <row r="47">
      <c r="A47" s="108" t="s">
        <v>2318</v>
      </c>
      <c r="B47" s="110" t="s">
        <v>253</v>
      </c>
      <c r="C47" s="108" t="s">
        <v>570</v>
      </c>
      <c r="D47" s="108" t="s">
        <v>672</v>
      </c>
      <c r="E47" s="108" t="s">
        <v>85</v>
      </c>
      <c r="F47" s="108"/>
      <c r="G47" s="109" t="s">
        <v>2319</v>
      </c>
      <c r="H47" s="109"/>
      <c r="I47" s="109"/>
      <c r="J47" s="109" t="s">
        <v>74</v>
      </c>
      <c r="K47" s="109" t="s">
        <v>74</v>
      </c>
      <c r="L47" s="109" t="s">
        <v>74</v>
      </c>
      <c r="M47" s="108" t="s">
        <v>74</v>
      </c>
      <c r="N47" s="108" t="s">
        <v>74</v>
      </c>
      <c r="O47" s="108"/>
      <c r="P47" s="108"/>
      <c r="Q47" s="108" t="s">
        <v>74</v>
      </c>
      <c r="R47" s="108" t="s">
        <v>74</v>
      </c>
      <c r="S47" s="108" t="s">
        <v>74</v>
      </c>
      <c r="T47" s="108" t="b">
        <v>0</v>
      </c>
      <c r="U47" s="108" t="s">
        <v>69</v>
      </c>
      <c r="V47" s="108" t="s">
        <v>70</v>
      </c>
      <c r="W47" s="108" t="b">
        <v>0</v>
      </c>
      <c r="X47" s="108" t="s">
        <v>2187</v>
      </c>
      <c r="Z47" s="110" t="s">
        <v>2253</v>
      </c>
      <c r="AA47" s="108" t="s">
        <v>2296</v>
      </c>
      <c r="AJ47" s="109"/>
    </row>
    <row r="48">
      <c r="A48" s="108" t="s">
        <v>2320</v>
      </c>
      <c r="B48" s="110" t="s">
        <v>2243</v>
      </c>
      <c r="C48" s="108" t="s">
        <v>123</v>
      </c>
      <c r="D48" s="108" t="s">
        <v>672</v>
      </c>
      <c r="E48" s="108" t="s">
        <v>103</v>
      </c>
      <c r="F48" s="108"/>
      <c r="G48" s="109" t="s">
        <v>2321</v>
      </c>
      <c r="H48" s="109"/>
      <c r="I48" s="109"/>
      <c r="J48" s="109" t="s">
        <v>74</v>
      </c>
      <c r="K48" s="109" t="s">
        <v>74</v>
      </c>
      <c r="L48" s="109" t="s">
        <v>74</v>
      </c>
      <c r="M48" s="108" t="s">
        <v>74</v>
      </c>
      <c r="N48" s="108" t="s">
        <v>74</v>
      </c>
      <c r="O48" s="108"/>
      <c r="P48" s="108"/>
      <c r="Q48" s="108" t="s">
        <v>74</v>
      </c>
      <c r="R48" s="108" t="s">
        <v>74</v>
      </c>
      <c r="S48" s="108" t="s">
        <v>74</v>
      </c>
      <c r="T48" s="108" t="b">
        <v>0</v>
      </c>
      <c r="U48" s="108" t="s">
        <v>69</v>
      </c>
      <c r="V48" s="108" t="s">
        <v>70</v>
      </c>
      <c r="W48" s="108" t="b">
        <v>0</v>
      </c>
      <c r="X48" s="108" t="s">
        <v>71</v>
      </c>
      <c r="Z48" s="110" t="s">
        <v>2001</v>
      </c>
      <c r="AA48" s="108"/>
      <c r="AJ48" s="109"/>
    </row>
    <row r="49">
      <c r="A49" s="108" t="s">
        <v>874</v>
      </c>
      <c r="B49" s="110" t="s">
        <v>253</v>
      </c>
      <c r="C49" s="108" t="s">
        <v>2322</v>
      </c>
      <c r="D49" s="108" t="s">
        <v>672</v>
      </c>
      <c r="E49" s="108" t="s">
        <v>65</v>
      </c>
      <c r="F49" s="108"/>
      <c r="G49" s="109" t="s">
        <v>2323</v>
      </c>
      <c r="H49" s="109"/>
      <c r="I49" s="109"/>
      <c r="J49" s="109" t="s">
        <v>74</v>
      </c>
      <c r="K49" s="109" t="s">
        <v>74</v>
      </c>
      <c r="L49" s="109" t="s">
        <v>74</v>
      </c>
      <c r="M49" s="108" t="s">
        <v>74</v>
      </c>
      <c r="N49" s="108" t="s">
        <v>74</v>
      </c>
      <c r="O49" s="108"/>
      <c r="P49" s="108"/>
      <c r="Q49" s="108" t="s">
        <v>74</v>
      </c>
      <c r="R49" s="108" t="s">
        <v>74</v>
      </c>
      <c r="S49" s="108" t="s">
        <v>74</v>
      </c>
      <c r="T49" s="108" t="b">
        <v>0</v>
      </c>
      <c r="U49" s="108" t="s">
        <v>69</v>
      </c>
      <c r="V49" s="108" t="s">
        <v>70</v>
      </c>
      <c r="W49" s="108" t="b">
        <v>0</v>
      </c>
      <c r="X49" s="108" t="s">
        <v>2223</v>
      </c>
      <c r="Z49" s="110" t="s">
        <v>2192</v>
      </c>
      <c r="AA49" s="108"/>
      <c r="AJ49" s="109"/>
    </row>
    <row r="50">
      <c r="A50" s="108" t="s">
        <v>2324</v>
      </c>
      <c r="B50" s="110" t="s">
        <v>253</v>
      </c>
      <c r="C50" s="108" t="s">
        <v>2325</v>
      </c>
      <c r="D50" s="108" t="s">
        <v>672</v>
      </c>
      <c r="E50" s="108" t="s">
        <v>85</v>
      </c>
      <c r="F50" s="108"/>
      <c r="G50" s="109" t="s">
        <v>2326</v>
      </c>
      <c r="H50" s="109"/>
      <c r="I50" s="109"/>
      <c r="J50" s="109" t="s">
        <v>74</v>
      </c>
      <c r="K50" s="109" t="s">
        <v>74</v>
      </c>
      <c r="L50" s="109" t="s">
        <v>74</v>
      </c>
      <c r="M50" s="108" t="s">
        <v>74</v>
      </c>
      <c r="N50" s="108" t="s">
        <v>74</v>
      </c>
      <c r="O50" s="108"/>
      <c r="P50" s="108"/>
      <c r="Q50" s="108" t="s">
        <v>74</v>
      </c>
      <c r="R50" s="108" t="s">
        <v>74</v>
      </c>
      <c r="S50" s="108" t="s">
        <v>74</v>
      </c>
      <c r="T50" s="108" t="b">
        <v>0</v>
      </c>
      <c r="U50" s="108" t="s">
        <v>69</v>
      </c>
      <c r="V50" s="108" t="s">
        <v>70</v>
      </c>
      <c r="W50" s="108" t="b">
        <v>0</v>
      </c>
      <c r="X50" s="108" t="s">
        <v>2187</v>
      </c>
      <c r="Z50" s="110" t="s">
        <v>2192</v>
      </c>
      <c r="AA50" s="108"/>
      <c r="AJ50" s="109"/>
    </row>
    <row r="51">
      <c r="A51" s="108" t="s">
        <v>2327</v>
      </c>
      <c r="B51" s="110" t="s">
        <v>253</v>
      </c>
      <c r="C51" s="108" t="s">
        <v>924</v>
      </c>
      <c r="D51" s="108" t="s">
        <v>672</v>
      </c>
      <c r="E51" s="108" t="s">
        <v>76</v>
      </c>
      <c r="F51" s="108"/>
      <c r="G51" s="109" t="s">
        <v>2328</v>
      </c>
      <c r="H51" s="109"/>
      <c r="I51" s="109"/>
      <c r="J51" s="109" t="s">
        <v>2235</v>
      </c>
      <c r="K51" s="109" t="s">
        <v>2294</v>
      </c>
      <c r="L51" s="109" t="s">
        <v>74</v>
      </c>
      <c r="M51" s="108" t="s">
        <v>74</v>
      </c>
      <c r="N51" s="108" t="s">
        <v>74</v>
      </c>
      <c r="O51" s="108"/>
      <c r="P51" s="108"/>
      <c r="Q51" s="108" t="s">
        <v>74</v>
      </c>
      <c r="R51" s="108" t="s">
        <v>74</v>
      </c>
      <c r="S51" s="108" t="s">
        <v>74</v>
      </c>
      <c r="T51" s="108" t="b">
        <v>0</v>
      </c>
      <c r="U51" s="108" t="s">
        <v>69</v>
      </c>
      <c r="V51" s="108" t="s">
        <v>70</v>
      </c>
      <c r="W51" s="108" t="b">
        <v>0</v>
      </c>
      <c r="X51" s="108" t="s">
        <v>78</v>
      </c>
      <c r="Z51" s="110" t="s">
        <v>2192</v>
      </c>
      <c r="AA51" s="108"/>
      <c r="AJ51" s="109"/>
    </row>
    <row r="52">
      <c r="A52" s="108" t="s">
        <v>2329</v>
      </c>
      <c r="B52" s="110" t="s">
        <v>253</v>
      </c>
      <c r="C52" s="108" t="s">
        <v>2330</v>
      </c>
      <c r="D52" s="108" t="s">
        <v>444</v>
      </c>
      <c r="E52" s="108" t="s">
        <v>85</v>
      </c>
      <c r="F52" s="108"/>
      <c r="G52" s="109" t="s">
        <v>2331</v>
      </c>
      <c r="H52" s="109"/>
      <c r="I52" s="109"/>
      <c r="J52" s="109" t="s">
        <v>74</v>
      </c>
      <c r="K52" s="109" t="s">
        <v>74</v>
      </c>
      <c r="L52" s="109" t="s">
        <v>74</v>
      </c>
      <c r="M52" s="108" t="s">
        <v>74</v>
      </c>
      <c r="N52" s="108" t="s">
        <v>74</v>
      </c>
      <c r="O52" s="108"/>
      <c r="P52" s="108"/>
      <c r="Q52" s="108" t="s">
        <v>74</v>
      </c>
      <c r="R52" s="108" t="s">
        <v>74</v>
      </c>
      <c r="S52" s="108" t="s">
        <v>74</v>
      </c>
      <c r="T52" s="108" t="b">
        <v>0</v>
      </c>
      <c r="U52" s="108" t="s">
        <v>69</v>
      </c>
      <c r="V52" s="108" t="s">
        <v>70</v>
      </c>
      <c r="W52" s="108" t="b">
        <v>0</v>
      </c>
      <c r="X52" s="108" t="s">
        <v>1174</v>
      </c>
      <c r="Z52" s="110" t="s">
        <v>2332</v>
      </c>
      <c r="AA52" s="108" t="s">
        <v>2333</v>
      </c>
      <c r="AJ52" s="109"/>
    </row>
    <row r="53">
      <c r="A53" s="108" t="s">
        <v>1669</v>
      </c>
      <c r="B53" s="110" t="s">
        <v>253</v>
      </c>
      <c r="C53" s="108" t="s">
        <v>108</v>
      </c>
      <c r="D53" s="108" t="s">
        <v>444</v>
      </c>
      <c r="E53" s="108" t="s">
        <v>103</v>
      </c>
      <c r="F53" s="108"/>
      <c r="G53" s="109" t="s">
        <v>2334</v>
      </c>
      <c r="H53" s="109"/>
      <c r="I53" s="109"/>
      <c r="J53" s="109" t="s">
        <v>74</v>
      </c>
      <c r="K53" s="109" t="s">
        <v>74</v>
      </c>
      <c r="L53" s="109" t="s">
        <v>74</v>
      </c>
      <c r="M53" s="108" t="s">
        <v>74</v>
      </c>
      <c r="N53" s="108" t="s">
        <v>74</v>
      </c>
      <c r="O53" s="108"/>
      <c r="P53" s="108"/>
      <c r="Q53" s="108" t="s">
        <v>74</v>
      </c>
      <c r="R53" s="108" t="s">
        <v>74</v>
      </c>
      <c r="S53" s="108" t="s">
        <v>74</v>
      </c>
      <c r="T53" s="108" t="b">
        <v>0</v>
      </c>
      <c r="U53" s="108" t="s">
        <v>69</v>
      </c>
      <c r="V53" s="108" t="s">
        <v>70</v>
      </c>
      <c r="W53" s="108" t="b">
        <v>0</v>
      </c>
      <c r="X53" s="108" t="s">
        <v>2223</v>
      </c>
      <c r="Z53" s="110" t="s">
        <v>2253</v>
      </c>
      <c r="AA53" s="108" t="s">
        <v>2313</v>
      </c>
      <c r="AJ53" s="109"/>
    </row>
    <row r="54">
      <c r="A54" s="108" t="s">
        <v>2335</v>
      </c>
      <c r="B54" s="110" t="s">
        <v>253</v>
      </c>
      <c r="C54" s="108" t="s">
        <v>2277</v>
      </c>
      <c r="D54" s="108" t="s">
        <v>945</v>
      </c>
      <c r="E54" s="108" t="s">
        <v>85</v>
      </c>
      <c r="F54" s="108"/>
      <c r="G54" s="109" t="s">
        <v>2336</v>
      </c>
      <c r="H54" s="109"/>
      <c r="I54" s="109"/>
      <c r="J54" s="109" t="s">
        <v>74</v>
      </c>
      <c r="K54" s="109" t="s">
        <v>74</v>
      </c>
      <c r="L54" s="109" t="s">
        <v>74</v>
      </c>
      <c r="M54" s="108" t="s">
        <v>74</v>
      </c>
      <c r="N54" s="108" t="s">
        <v>74</v>
      </c>
      <c r="O54" s="108"/>
      <c r="P54" s="108"/>
      <c r="Q54" s="108" t="s">
        <v>74</v>
      </c>
      <c r="R54" s="108" t="s">
        <v>74</v>
      </c>
      <c r="S54" s="108" t="s">
        <v>74</v>
      </c>
      <c r="T54" s="108" t="b">
        <v>0</v>
      </c>
      <c r="U54" s="108" t="s">
        <v>69</v>
      </c>
      <c r="V54" s="108" t="s">
        <v>70</v>
      </c>
      <c r="W54" s="108" t="b">
        <v>0</v>
      </c>
      <c r="X54" s="108" t="s">
        <v>2223</v>
      </c>
      <c r="Z54" s="110" t="s">
        <v>2312</v>
      </c>
      <c r="AA54" s="108" t="s">
        <v>2296</v>
      </c>
      <c r="AJ54" s="109"/>
    </row>
    <row r="55">
      <c r="A55" s="108" t="s">
        <v>2337</v>
      </c>
      <c r="B55" s="110" t="s">
        <v>253</v>
      </c>
      <c r="C55" s="108" t="s">
        <v>2277</v>
      </c>
      <c r="D55" s="108" t="s">
        <v>444</v>
      </c>
      <c r="E55" s="108" t="s">
        <v>103</v>
      </c>
      <c r="F55" s="108"/>
      <c r="G55" s="109" t="s">
        <v>2338</v>
      </c>
      <c r="H55" s="109"/>
      <c r="I55" s="109"/>
      <c r="J55" s="109" t="s">
        <v>74</v>
      </c>
      <c r="K55" s="109" t="s">
        <v>74</v>
      </c>
      <c r="L55" s="109" t="s">
        <v>74</v>
      </c>
      <c r="M55" s="108" t="s">
        <v>74</v>
      </c>
      <c r="N55" s="108" t="s">
        <v>74</v>
      </c>
      <c r="O55" s="108"/>
      <c r="P55" s="108"/>
      <c r="Q55" s="108" t="s">
        <v>74</v>
      </c>
      <c r="R55" s="108" t="s">
        <v>74</v>
      </c>
      <c r="S55" s="108" t="s">
        <v>74</v>
      </c>
      <c r="T55" s="108" t="b">
        <v>0</v>
      </c>
      <c r="U55" s="108" t="s">
        <v>69</v>
      </c>
      <c r="V55" s="108" t="s">
        <v>70</v>
      </c>
      <c r="W55" s="108" t="b">
        <v>0</v>
      </c>
      <c r="X55" s="108" t="s">
        <v>78</v>
      </c>
      <c r="Z55" s="110" t="s">
        <v>2332</v>
      </c>
      <c r="AA55" s="108" t="s">
        <v>2339</v>
      </c>
      <c r="AJ55" s="109"/>
    </row>
    <row r="56">
      <c r="A56" s="108" t="s">
        <v>891</v>
      </c>
      <c r="B56" s="110" t="s">
        <v>253</v>
      </c>
      <c r="C56" s="108" t="s">
        <v>2340</v>
      </c>
      <c r="D56" s="108" t="s">
        <v>672</v>
      </c>
      <c r="E56" s="108" t="s">
        <v>85</v>
      </c>
      <c r="F56" s="108"/>
      <c r="G56" s="109" t="s">
        <v>2341</v>
      </c>
      <c r="H56" s="109"/>
      <c r="I56" s="109"/>
      <c r="J56" s="109" t="s">
        <v>74</v>
      </c>
      <c r="K56" s="109" t="s">
        <v>74</v>
      </c>
      <c r="L56" s="109" t="s">
        <v>74</v>
      </c>
      <c r="M56" s="108" t="s">
        <v>74</v>
      </c>
      <c r="N56" s="108" t="s">
        <v>74</v>
      </c>
      <c r="O56" s="108"/>
      <c r="P56" s="108"/>
      <c r="Q56" s="108" t="s">
        <v>74</v>
      </c>
      <c r="R56" s="108" t="s">
        <v>74</v>
      </c>
      <c r="S56" s="108" t="s">
        <v>74</v>
      </c>
      <c r="T56" s="108" t="b">
        <v>0</v>
      </c>
      <c r="U56" s="108" t="s">
        <v>2342</v>
      </c>
      <c r="V56" s="108" t="s">
        <v>70</v>
      </c>
      <c r="W56" s="108" t="b">
        <v>0</v>
      </c>
      <c r="X56" s="108" t="s">
        <v>1174</v>
      </c>
      <c r="Z56" s="110" t="s">
        <v>2300</v>
      </c>
      <c r="AA56" s="108" t="s">
        <v>2343</v>
      </c>
      <c r="AJ56" s="109"/>
    </row>
    <row r="57">
      <c r="A57" s="108" t="s">
        <v>590</v>
      </c>
      <c r="B57" s="110" t="s">
        <v>253</v>
      </c>
      <c r="C57" s="108" t="s">
        <v>2344</v>
      </c>
      <c r="D57" s="108" t="s">
        <v>444</v>
      </c>
      <c r="E57" s="108" t="s">
        <v>183</v>
      </c>
      <c r="F57" s="108"/>
      <c r="G57" s="109" t="s">
        <v>2345</v>
      </c>
      <c r="H57" s="109"/>
      <c r="I57" s="109"/>
      <c r="J57" s="109" t="s">
        <v>74</v>
      </c>
      <c r="K57" s="109" t="s">
        <v>74</v>
      </c>
      <c r="L57" s="109" t="s">
        <v>74</v>
      </c>
      <c r="M57" s="108" t="s">
        <v>74</v>
      </c>
      <c r="N57" s="108" t="s">
        <v>2274</v>
      </c>
      <c r="O57" s="108"/>
      <c r="P57" s="108"/>
      <c r="Q57" s="108" t="s">
        <v>74</v>
      </c>
      <c r="R57" s="108" t="s">
        <v>74</v>
      </c>
      <c r="S57" s="108" t="s">
        <v>74</v>
      </c>
      <c r="T57" s="108" t="b">
        <v>0</v>
      </c>
      <c r="U57" s="108" t="s">
        <v>69</v>
      </c>
      <c r="V57" s="108" t="s">
        <v>70</v>
      </c>
      <c r="W57" s="108" t="b">
        <v>0</v>
      </c>
      <c r="X57" s="108" t="s">
        <v>2223</v>
      </c>
      <c r="Z57" s="110" t="s">
        <v>2192</v>
      </c>
      <c r="AA57" s="108"/>
      <c r="AJ57" s="109"/>
    </row>
    <row r="58">
      <c r="A58" s="108" t="s">
        <v>2346</v>
      </c>
      <c r="B58" s="110" t="s">
        <v>253</v>
      </c>
      <c r="C58" s="108" t="s">
        <v>2347</v>
      </c>
      <c r="D58" s="108" t="s">
        <v>444</v>
      </c>
      <c r="E58" s="108" t="s">
        <v>85</v>
      </c>
      <c r="F58" s="108"/>
      <c r="G58" s="109" t="s">
        <v>2348</v>
      </c>
      <c r="H58" s="109"/>
      <c r="I58" s="109"/>
      <c r="J58" s="109" t="s">
        <v>74</v>
      </c>
      <c r="K58" s="109" t="s">
        <v>74</v>
      </c>
      <c r="L58" s="109" t="s">
        <v>74</v>
      </c>
      <c r="M58" s="108" t="s">
        <v>74</v>
      </c>
      <c r="N58" s="108" t="s">
        <v>74</v>
      </c>
      <c r="O58" s="108"/>
      <c r="P58" s="108"/>
      <c r="Q58" s="108" t="s">
        <v>74</v>
      </c>
      <c r="R58" s="108" t="s">
        <v>74</v>
      </c>
      <c r="S58" s="108" t="s">
        <v>74</v>
      </c>
      <c r="T58" s="108" t="b">
        <v>0</v>
      </c>
      <c r="U58" s="108" t="s">
        <v>69</v>
      </c>
      <c r="V58" s="108" t="s">
        <v>70</v>
      </c>
      <c r="W58" s="108" t="b">
        <v>0</v>
      </c>
      <c r="X58" s="108" t="s">
        <v>78</v>
      </c>
      <c r="Z58" s="110" t="s">
        <v>2001</v>
      </c>
      <c r="AA58" s="108"/>
      <c r="AJ58" s="109"/>
    </row>
    <row r="59">
      <c r="A59" s="108" t="s">
        <v>901</v>
      </c>
      <c r="B59" s="110" t="s">
        <v>253</v>
      </c>
      <c r="C59" s="108" t="s">
        <v>250</v>
      </c>
      <c r="D59" s="108" t="s">
        <v>672</v>
      </c>
      <c r="E59" s="108" t="s">
        <v>85</v>
      </c>
      <c r="F59" s="108"/>
      <c r="G59" s="109" t="s">
        <v>2349</v>
      </c>
      <c r="H59" s="109"/>
      <c r="I59" s="109"/>
      <c r="J59" s="109" t="s">
        <v>74</v>
      </c>
      <c r="K59" s="109" t="s">
        <v>74</v>
      </c>
      <c r="L59" s="109" t="s">
        <v>74</v>
      </c>
      <c r="M59" s="108" t="s">
        <v>74</v>
      </c>
      <c r="N59" s="108" t="s">
        <v>74</v>
      </c>
      <c r="O59" s="108"/>
      <c r="P59" s="108"/>
      <c r="Q59" s="108" t="s">
        <v>74</v>
      </c>
      <c r="R59" s="108" t="s">
        <v>74</v>
      </c>
      <c r="S59" s="108" t="s">
        <v>74</v>
      </c>
      <c r="T59" s="108" t="b">
        <v>0</v>
      </c>
      <c r="U59" s="108" t="s">
        <v>69</v>
      </c>
      <c r="V59" s="108" t="s">
        <v>70</v>
      </c>
      <c r="W59" s="108" t="b">
        <v>0</v>
      </c>
      <c r="X59" s="108" t="s">
        <v>78</v>
      </c>
      <c r="Z59" s="110" t="s">
        <v>2018</v>
      </c>
      <c r="AA59" s="108"/>
      <c r="AJ59" s="109"/>
    </row>
    <row r="60">
      <c r="A60" s="108" t="s">
        <v>2350</v>
      </c>
      <c r="B60" s="110" t="s">
        <v>2351</v>
      </c>
      <c r="C60" s="108" t="s">
        <v>2352</v>
      </c>
      <c r="D60" s="108" t="s">
        <v>444</v>
      </c>
      <c r="E60" s="108" t="s">
        <v>85</v>
      </c>
      <c r="F60" s="108"/>
      <c r="G60" s="109" t="s">
        <v>2353</v>
      </c>
      <c r="H60" s="109"/>
      <c r="I60" s="109"/>
      <c r="J60" s="109" t="s">
        <v>74</v>
      </c>
      <c r="K60" s="109" t="s">
        <v>74</v>
      </c>
      <c r="L60" s="109" t="s">
        <v>74</v>
      </c>
      <c r="M60" s="108" t="s">
        <v>74</v>
      </c>
      <c r="N60" s="108" t="s">
        <v>74</v>
      </c>
      <c r="O60" s="108"/>
      <c r="P60" s="108"/>
      <c r="Q60" s="108" t="s">
        <v>74</v>
      </c>
      <c r="R60" s="108" t="s">
        <v>74</v>
      </c>
      <c r="S60" s="108" t="s">
        <v>74</v>
      </c>
      <c r="T60" s="108" t="b">
        <v>0</v>
      </c>
      <c r="U60" s="108" t="s">
        <v>69</v>
      </c>
      <c r="V60" s="108" t="s">
        <v>70</v>
      </c>
      <c r="W60" s="108" t="b">
        <v>0</v>
      </c>
      <c r="X60" s="108" t="s">
        <v>2187</v>
      </c>
      <c r="Z60" s="110" t="s">
        <v>2192</v>
      </c>
      <c r="AA60" s="108"/>
      <c r="AJ60" s="109"/>
    </row>
    <row r="61">
      <c r="A61" s="108" t="s">
        <v>2354</v>
      </c>
      <c r="B61" s="110" t="s">
        <v>253</v>
      </c>
      <c r="C61" s="108" t="s">
        <v>130</v>
      </c>
      <c r="D61" s="108" t="s">
        <v>945</v>
      </c>
      <c r="E61" s="108" t="s">
        <v>85</v>
      </c>
      <c r="F61" s="108"/>
      <c r="G61" s="108" t="s">
        <v>2355</v>
      </c>
      <c r="H61" s="108"/>
      <c r="I61" s="108"/>
      <c r="J61" s="109" t="s">
        <v>74</v>
      </c>
      <c r="K61" s="109" t="s">
        <v>74</v>
      </c>
      <c r="L61" s="109" t="s">
        <v>74</v>
      </c>
      <c r="M61" s="108" t="s">
        <v>74</v>
      </c>
      <c r="N61" s="108" t="s">
        <v>74</v>
      </c>
      <c r="O61" s="108"/>
      <c r="P61" s="108"/>
      <c r="Q61" s="108" t="s">
        <v>74</v>
      </c>
      <c r="R61" s="108" t="s">
        <v>74</v>
      </c>
      <c r="S61" s="108" t="s">
        <v>74</v>
      </c>
      <c r="T61" s="108" t="b">
        <v>0</v>
      </c>
      <c r="U61" s="108" t="s">
        <v>69</v>
      </c>
      <c r="V61" s="108" t="s">
        <v>70</v>
      </c>
      <c r="W61" s="108" t="b">
        <v>0</v>
      </c>
      <c r="X61" s="108" t="s">
        <v>1174</v>
      </c>
      <c r="Z61" s="110" t="s">
        <v>2192</v>
      </c>
      <c r="AA61" s="108"/>
      <c r="AJ61" s="108"/>
    </row>
    <row r="62">
      <c r="A62" s="108" t="s">
        <v>1170</v>
      </c>
      <c r="B62" s="110" t="s">
        <v>253</v>
      </c>
      <c r="C62" s="108" t="s">
        <v>2356</v>
      </c>
      <c r="D62" s="108" t="s">
        <v>444</v>
      </c>
      <c r="E62" s="108" t="s">
        <v>85</v>
      </c>
      <c r="F62" s="108"/>
      <c r="G62" s="109" t="s">
        <v>2357</v>
      </c>
      <c r="H62" s="109"/>
      <c r="I62" s="109"/>
      <c r="J62" s="109" t="s">
        <v>74</v>
      </c>
      <c r="K62" s="109" t="s">
        <v>74</v>
      </c>
      <c r="L62" s="109" t="s">
        <v>74</v>
      </c>
      <c r="M62" s="108" t="s">
        <v>2147</v>
      </c>
      <c r="N62" s="108" t="s">
        <v>74</v>
      </c>
      <c r="O62" s="108"/>
      <c r="P62" s="108"/>
      <c r="Q62" s="108" t="s">
        <v>74</v>
      </c>
      <c r="R62" s="108" t="s">
        <v>74</v>
      </c>
      <c r="S62" s="108" t="s">
        <v>74</v>
      </c>
      <c r="T62" s="108" t="b">
        <v>0</v>
      </c>
      <c r="U62" s="108" t="s">
        <v>69</v>
      </c>
      <c r="V62" s="108" t="s">
        <v>70</v>
      </c>
      <c r="W62" s="108" t="b">
        <v>0</v>
      </c>
      <c r="X62" s="108" t="s">
        <v>2214</v>
      </c>
      <c r="Z62" s="110" t="s">
        <v>2253</v>
      </c>
      <c r="AA62" s="108" t="s">
        <v>2296</v>
      </c>
      <c r="AJ62" s="109"/>
    </row>
    <row r="63">
      <c r="A63" s="108" t="s">
        <v>598</v>
      </c>
      <c r="B63" s="110" t="s">
        <v>253</v>
      </c>
      <c r="C63" s="108" t="s">
        <v>108</v>
      </c>
      <c r="D63" s="108" t="s">
        <v>444</v>
      </c>
      <c r="E63" s="108" t="s">
        <v>103</v>
      </c>
      <c r="F63" s="108"/>
      <c r="G63" s="109" t="s">
        <v>2358</v>
      </c>
      <c r="H63" s="109"/>
      <c r="I63" s="109"/>
      <c r="J63" s="109" t="s">
        <v>74</v>
      </c>
      <c r="K63" s="109" t="s">
        <v>74</v>
      </c>
      <c r="L63" s="109" t="s">
        <v>74</v>
      </c>
      <c r="M63" s="108" t="s">
        <v>2142</v>
      </c>
      <c r="N63" s="108" t="s">
        <v>2049</v>
      </c>
      <c r="O63" s="108"/>
      <c r="P63" s="108"/>
      <c r="Q63" s="108" t="s">
        <v>74</v>
      </c>
      <c r="R63" s="108" t="s">
        <v>74</v>
      </c>
      <c r="S63" s="108" t="s">
        <v>74</v>
      </c>
      <c r="T63" s="108" t="b">
        <v>0</v>
      </c>
      <c r="U63" s="108" t="s">
        <v>69</v>
      </c>
      <c r="V63" s="108" t="s">
        <v>70</v>
      </c>
      <c r="W63" s="108" t="b">
        <v>0</v>
      </c>
      <c r="X63" s="108" t="s">
        <v>71</v>
      </c>
      <c r="Z63" s="110" t="s">
        <v>2192</v>
      </c>
      <c r="AA63" s="108"/>
      <c r="AJ63" s="109"/>
    </row>
    <row r="64">
      <c r="A64" s="108" t="s">
        <v>2359</v>
      </c>
      <c r="B64" s="110" t="s">
        <v>253</v>
      </c>
      <c r="C64" s="108" t="s">
        <v>2360</v>
      </c>
      <c r="D64" s="108" t="s">
        <v>672</v>
      </c>
      <c r="E64" s="108" t="s">
        <v>85</v>
      </c>
      <c r="F64" s="108"/>
      <c r="G64" s="108" t="s">
        <v>2361</v>
      </c>
      <c r="H64" s="108"/>
      <c r="I64" s="108"/>
      <c r="J64" s="109" t="s">
        <v>74</v>
      </c>
      <c r="K64" s="109" t="s">
        <v>74</v>
      </c>
      <c r="L64" s="109" t="s">
        <v>74</v>
      </c>
      <c r="M64" s="108" t="s">
        <v>74</v>
      </c>
      <c r="N64" s="108" t="s">
        <v>74</v>
      </c>
      <c r="O64" s="108"/>
      <c r="P64" s="108"/>
      <c r="Q64" s="108" t="s">
        <v>74</v>
      </c>
      <c r="R64" s="108" t="s">
        <v>74</v>
      </c>
      <c r="S64" s="108" t="s">
        <v>74</v>
      </c>
      <c r="T64" s="108" t="b">
        <v>0</v>
      </c>
      <c r="U64" s="108" t="s">
        <v>69</v>
      </c>
      <c r="V64" s="108" t="s">
        <v>70</v>
      </c>
      <c r="W64" s="108" t="b">
        <v>0</v>
      </c>
      <c r="X64" s="108" t="s">
        <v>71</v>
      </c>
      <c r="Z64" s="110" t="s">
        <v>2192</v>
      </c>
      <c r="AA64" s="108"/>
      <c r="AJ64" s="108"/>
    </row>
    <row r="65">
      <c r="A65" s="108" t="s">
        <v>603</v>
      </c>
      <c r="B65" s="110" t="s">
        <v>2362</v>
      </c>
      <c r="C65" s="108" t="s">
        <v>2363</v>
      </c>
      <c r="D65" s="108" t="s">
        <v>444</v>
      </c>
      <c r="E65" s="108" t="s">
        <v>103</v>
      </c>
      <c r="F65" s="108"/>
      <c r="G65" s="108" t="s">
        <v>2364</v>
      </c>
      <c r="H65" s="108"/>
      <c r="I65" s="108"/>
      <c r="J65" s="109" t="s">
        <v>74</v>
      </c>
      <c r="K65" s="109" t="s">
        <v>74</v>
      </c>
      <c r="L65" s="109" t="s">
        <v>74</v>
      </c>
      <c r="M65" s="108" t="s">
        <v>74</v>
      </c>
      <c r="N65" s="108" t="s">
        <v>74</v>
      </c>
      <c r="O65" s="108"/>
      <c r="P65" s="108"/>
      <c r="Q65" s="108" t="s">
        <v>74</v>
      </c>
      <c r="R65" s="108" t="s">
        <v>74</v>
      </c>
      <c r="S65" s="108" t="s">
        <v>74</v>
      </c>
      <c r="T65" s="108" t="b">
        <v>0</v>
      </c>
      <c r="U65" s="108" t="s">
        <v>69</v>
      </c>
      <c r="V65" s="108" t="s">
        <v>70</v>
      </c>
      <c r="W65" s="108" t="b">
        <v>0</v>
      </c>
      <c r="X65" s="108" t="s">
        <v>71</v>
      </c>
      <c r="Z65" s="110" t="s">
        <v>2001</v>
      </c>
      <c r="AA65" s="108"/>
      <c r="AJ65" s="10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T2" s="110" t="str">
        <f>Validations!B2</f>
        <v>Abjuration</v>
      </c>
      <c r="U2" s="110">
        <f>COUNTIF(Spells!$H$2:$H$1001, Validations!B2)</f>
        <v>60</v>
      </c>
      <c r="V2" s="110">
        <f>COUNTIF(SRD!$C$2:$C$1000, Validations!B2)</f>
        <v>45</v>
      </c>
      <c r="X2" s="110" t="str">
        <f>Validations!A2</f>
        <v>Bard</v>
      </c>
      <c r="Y2" s="110">
        <f>IFERROR(__xludf.DUMMYFUNCTION("COUNTIF(ARRAYFORMULA(SPLIT(FLATTEN(Spells!$F$2:$F1000), "", "")), Validations!A2)"),125.0)</f>
        <v>125</v>
      </c>
      <c r="Z2" s="110">
        <f>COUNTA(SRD!V2:V1000)</f>
        <v>120</v>
      </c>
      <c r="AB2" s="110" t="str">
        <f>Validations!D2</f>
        <v>0-Cantrip</v>
      </c>
      <c r="AC2" s="110">
        <f>COUNTIF(Spells!$G$2:$G$1001, Validations!D2)</f>
        <v>88</v>
      </c>
      <c r="AD2" s="110">
        <f>COUNTIF(SRD!$B$2:$B$1000, Validations!D2)</f>
        <v>27</v>
      </c>
    </row>
    <row r="3">
      <c r="T3" s="110" t="str">
        <f>Validations!B3</f>
        <v>Conjuration</v>
      </c>
      <c r="U3" s="110">
        <f>COUNTIF(Spells!$H$2:$H$1001, Validations!B3)</f>
        <v>54</v>
      </c>
      <c r="V3" s="110">
        <f>COUNTIF(SRD!$C$2:$C$1000, Validations!B3)</f>
        <v>62</v>
      </c>
      <c r="X3" s="110" t="str">
        <f>Validations!A3</f>
        <v>Cleric</v>
      </c>
      <c r="Y3" s="110">
        <f>IFERROR(__xludf.DUMMYFUNCTION("COUNTIF(ARRAYFORMULA(SPLIT(FLATTEN(Spells!$F$2:$F1000), "", "")), Validations!A3)"),135.0)</f>
        <v>135</v>
      </c>
      <c r="Z3" s="110">
        <f>COUNTA(SRD!W2:W1000)</f>
        <v>161</v>
      </c>
      <c r="AB3" s="110" t="str">
        <f>Validations!D3</f>
        <v>1st-level</v>
      </c>
      <c r="AC3" s="110">
        <f>COUNTIF(Spells!$G$2:$G$1001, Validations!D3)</f>
        <v>46</v>
      </c>
      <c r="AD3" s="110">
        <f>COUNTIF(SRD!$B$2:$B$1000, Validations!D3)</f>
        <v>62</v>
      </c>
    </row>
    <row r="4">
      <c r="T4" s="110" t="str">
        <f>Validations!B4</f>
        <v>Divination</v>
      </c>
      <c r="U4" s="110">
        <f>COUNTIF(Spells!$H$2:$H$1001, Validations!B4)</f>
        <v>43</v>
      </c>
      <c r="V4" s="110">
        <f>COUNTIF(SRD!$C$2:$C$1000, Validations!B4)</f>
        <v>30</v>
      </c>
      <c r="X4" s="110" t="str">
        <f>Validations!A4</f>
        <v>Druid</v>
      </c>
      <c r="Y4" s="110">
        <f>IFERROR(__xludf.DUMMYFUNCTION("COUNTIF(ARRAYFORMULA(SPLIT(FLATTEN(Spells!$F$2:$F1000), "", "")), Validations!A4)"),94.0)</f>
        <v>94</v>
      </c>
      <c r="Z4" s="110">
        <f>COUNTA(SRD!X2:X1000)</f>
        <v>131</v>
      </c>
      <c r="AB4" s="110" t="str">
        <f>Validations!D4</f>
        <v>2nd-level</v>
      </c>
      <c r="AC4" s="110">
        <f>COUNTIF(Spells!$G$2:$G$1001, Validations!D4)</f>
        <v>59</v>
      </c>
      <c r="AD4" s="110">
        <f>COUNTIF(SRD!$B$2:$B$1000, Validations!D4)</f>
        <v>59</v>
      </c>
    </row>
    <row r="5">
      <c r="T5" s="110" t="str">
        <f>Validations!B5</f>
        <v>Enchantment</v>
      </c>
      <c r="U5" s="110">
        <f>COUNTIF(Spells!$H$2:$H$1001, Validations!B5)</f>
        <v>39</v>
      </c>
      <c r="V5" s="110">
        <f>COUNTIF(SRD!$C$2:$C$1000, Validations!B5)</f>
        <v>34</v>
      </c>
      <c r="X5" s="110" t="str">
        <f>Validations!A5</f>
        <v>Paladin</v>
      </c>
      <c r="Y5" s="110">
        <f>IFERROR(__xludf.DUMMYFUNCTION("COUNTIF(ARRAYFORMULA(SPLIT(FLATTEN(Spells!$F$2:$F1000), "", "")), Validations!A5)"),66.0)</f>
        <v>66</v>
      </c>
      <c r="Z5" s="110">
        <f>COUNTA(SRD!Y2:Y1000)</f>
        <v>78</v>
      </c>
      <c r="AB5" s="110" t="str">
        <f>Validations!D5</f>
        <v>3rd-level</v>
      </c>
      <c r="AC5" s="110">
        <f>COUNTIF(Spells!$G$2:$G$1001, Validations!D5)</f>
        <v>62</v>
      </c>
      <c r="AD5" s="110">
        <f>COUNTIF(SRD!$B$2:$B$1000, Validations!D5)</f>
        <v>50</v>
      </c>
    </row>
    <row r="6">
      <c r="T6" s="110" t="str">
        <f>Validations!B6</f>
        <v>Evocation</v>
      </c>
      <c r="U6" s="110">
        <f>COUNTIF(Spells!$H$2:$H$1001, Validations!B6)</f>
        <v>58</v>
      </c>
      <c r="V6" s="110">
        <f>COUNTIF(SRD!$C$2:$C$1000, Validations!B6)</f>
        <v>72</v>
      </c>
      <c r="X6" s="110" t="str">
        <f>Validations!A6</f>
        <v>Ranger</v>
      </c>
      <c r="Y6" s="110">
        <f>IFERROR(__xludf.DUMMYFUNCTION("COUNTIF(ARRAYFORMULA(SPLIT(FLATTEN(Spells!$F$2:$F1000), "", "")), Validations!A6)"),43.0)</f>
        <v>43</v>
      </c>
      <c r="Z6" s="110">
        <f>COUNTA(SRD!Z2:Z1000)</f>
        <v>46</v>
      </c>
      <c r="AA6" s="109" t="s">
        <v>2365</v>
      </c>
      <c r="AB6" s="110" t="str">
        <f>Validations!D6</f>
        <v>4th-level</v>
      </c>
      <c r="AC6" s="110">
        <f>COUNTIF(Spells!$G$2:$G$1001, Validations!D6)</f>
        <v>46</v>
      </c>
      <c r="AD6" s="110">
        <f>COUNTIF(SRD!$B$2:$B$1000, Validations!D6)</f>
        <v>35</v>
      </c>
    </row>
    <row r="7">
      <c r="T7" s="110" t="str">
        <f>Validations!B7</f>
        <v>Illusion</v>
      </c>
      <c r="U7" s="110">
        <f>COUNTIF(Spells!$H$2:$H$1001, Validations!B7)</f>
        <v>34</v>
      </c>
      <c r="V7" s="110">
        <f>COUNTIF(SRD!$C$2:$C$1000, Validations!B7)</f>
        <v>28</v>
      </c>
      <c r="X7" s="110" t="str">
        <f>Validations!A7</f>
        <v>Wizard</v>
      </c>
      <c r="Y7" s="110">
        <f>IFERROR(__xludf.DUMMYFUNCTION("COUNTIF(ARRAYFORMULA(SPLIT(FLATTEN(Spells!$F$2:$F1000), "", "")), Validations!A7)"),180.0)</f>
        <v>180</v>
      </c>
      <c r="Z7" s="110">
        <f>COUNTA(SRD!AA2:AA1000)</f>
        <v>215</v>
      </c>
      <c r="AB7" s="110" t="str">
        <f>Validations!D7</f>
        <v>5th-level</v>
      </c>
      <c r="AC7" s="110">
        <f>COUNTIF(Spells!$G$2:$G$1001, Validations!D7)</f>
        <v>28</v>
      </c>
      <c r="AD7" s="110">
        <f>COUNTIF(SRD!$B$2:$B$1000, Validations!D7)</f>
        <v>42</v>
      </c>
    </row>
    <row r="8">
      <c r="T8" s="110" t="str">
        <f>Validations!B8</f>
        <v>Necromancy</v>
      </c>
      <c r="U8" s="110">
        <f>COUNTIF(Spells!$H$2:$H$1001, Validations!B8)</f>
        <v>54</v>
      </c>
      <c r="V8" s="110">
        <f>COUNTIF(SRD!$C$2:$C$1000, Validations!B8)</f>
        <v>26</v>
      </c>
      <c r="X8" s="110" t="str">
        <f>Validations!A8</f>
        <v>Sorceror</v>
      </c>
      <c r="Y8" s="110">
        <f>IFERROR(__xludf.DUMMYFUNCTION("COUNTIF(ARRAYFORMULA(SPLIT(FLATTEN(Spells!$F$2:$F1000), "", "")), Validations!A8)"),88.0)</f>
        <v>88</v>
      </c>
      <c r="Z8" s="110">
        <f>COUNTA(SRD!AB2:AB1000)</f>
        <v>128</v>
      </c>
      <c r="AB8" s="110" t="str">
        <f>Validations!D8</f>
        <v>6th-level</v>
      </c>
      <c r="AC8" s="110">
        <f>COUNTIF(Spells!$G$2:$G$1001, Validations!D8)</f>
        <v>27</v>
      </c>
      <c r="AD8" s="110">
        <f>COUNTIF(SRD!$B$2:$B$1000, Validations!D8)</f>
        <v>32</v>
      </c>
    </row>
    <row r="9">
      <c r="T9" s="110" t="str">
        <f>Validations!B9</f>
        <v>Transmutation</v>
      </c>
      <c r="U9" s="110">
        <f>COUNTIF(Spells!$H$2:$H$1001, Validations!B9)</f>
        <v>73</v>
      </c>
      <c r="V9" s="110">
        <f>COUNTIF(SRD!$C$2:$C$1000, Validations!B9)</f>
        <v>64</v>
      </c>
      <c r="X9" s="110" t="str">
        <f>Validations!A9</f>
        <v>Warlock</v>
      </c>
      <c r="Y9" s="110">
        <f>IFERROR(__xludf.DUMMYFUNCTION("COUNTIF(ARRAYFORMULA(SPLIT(FLATTEN(Spells!$F$2:$F1000), "", "")), Validations!A9)"),87.0)</f>
        <v>87</v>
      </c>
      <c r="Z9" s="110">
        <f>COUNTA(SRD!AC2:AC1000)</f>
        <v>74</v>
      </c>
      <c r="AB9" s="110" t="str">
        <f>Validations!D9</f>
        <v>7th-level</v>
      </c>
      <c r="AC9" s="110">
        <f>COUNTIF(Spells!$G$2:$G$1001, Validations!D9)</f>
        <v>26</v>
      </c>
      <c r="AD9" s="110">
        <f>COUNTIF(SRD!$B$2:$B$1000, Validations!D9)</f>
        <v>20</v>
      </c>
    </row>
    <row r="10">
      <c r="T10" s="110" t="str">
        <f>Validations!B10</f>
        <v>Psionic</v>
      </c>
      <c r="AA10" s="109" t="s">
        <v>2366</v>
      </c>
      <c r="AB10" s="110" t="str">
        <f>Validations!D10</f>
        <v>8th-level</v>
      </c>
      <c r="AC10" s="110">
        <f>COUNTIF(Spells!$G$2:$G$1001, Validations!D10)</f>
        <v>19</v>
      </c>
      <c r="AD10" s="110">
        <f>COUNTIF(SRD!$B$2:$B$1000, Validations!D10)</f>
        <v>18</v>
      </c>
    </row>
    <row r="11">
      <c r="AB11" s="110" t="str">
        <f>Validations!D11</f>
        <v>9th-level</v>
      </c>
      <c r="AC11" s="110">
        <f>COUNTIF(Spells!$G$2:$G$1001, Validations!D11)</f>
        <v>14</v>
      </c>
      <c r="AD11" s="110">
        <f>COUNTIF(SRD!$B$2:$B$1000, Validations!D11)</f>
        <v>16</v>
      </c>
    </row>
    <row r="15">
      <c r="U15" s="110" t="str">
        <f>Validations!A2</f>
        <v>Bard</v>
      </c>
      <c r="V15" s="110" t="str">
        <f>Validations!A3</f>
        <v>Cleric</v>
      </c>
      <c r="W15" s="110" t="str">
        <f>Validations!A4</f>
        <v>Druid</v>
      </c>
      <c r="X15" s="110" t="str">
        <f>Validations!A5</f>
        <v>Paladin</v>
      </c>
      <c r="Y15" s="110" t="str">
        <f>Validations!A6</f>
        <v>Ranger</v>
      </c>
      <c r="Z15" s="110" t="str">
        <f>Validations!A7</f>
        <v>Wizard</v>
      </c>
      <c r="AA15" s="110" t="str">
        <f>Validations!A8</f>
        <v>Sorceror</v>
      </c>
      <c r="AB15" s="110" t="str">
        <f>Validations!A9</f>
        <v>Warlock</v>
      </c>
    </row>
    <row r="16">
      <c r="T16" s="110" t="str">
        <f>Validations!D2</f>
        <v>0-Cantrip</v>
      </c>
      <c r="U16" s="110">
        <f>COUNTIFS(Spells!$G$2:$G1000, $T16, Spells!$F$2:$F1000, "*"&amp;U$15&amp;"*")</f>
        <v>26</v>
      </c>
      <c r="V16" s="110">
        <f>COUNTIFS(Spells!$G$2:$G1000, $T16, Spells!$F$2:$F1000, "*"&amp;V$15&amp;"*")</f>
        <v>20</v>
      </c>
      <c r="W16" s="110">
        <f>COUNTIFS(Spells!$G$2:$G1000, $T16, Spells!$F$2:$F1000, "*"&amp;W$15&amp;"*")</f>
        <v>27</v>
      </c>
      <c r="X16" s="110">
        <f>COUNTIFS(Spells!$G$2:$G1000, $T16, Spells!$F$2:$F1000, "*"&amp;X$15&amp;"*")</f>
        <v>0</v>
      </c>
      <c r="Y16" s="110">
        <f>COUNTIFS(Spells!$G$2:$G1000, $T16, Spells!$F$2:$F1000, "*"&amp;Y$15&amp;"*")</f>
        <v>0</v>
      </c>
      <c r="Z16" s="110">
        <f>COUNTIFS(Spells!$G$2:$G1000, $T16, Spells!$F$2:$F1000, "*"&amp;Z$15&amp;"*")</f>
        <v>24</v>
      </c>
      <c r="AA16" s="110">
        <f>COUNTIFS(Spells!$G$2:$G1000, $T16, Spells!$F$2:$F1000, "*"&amp;AA$15&amp;"*")</f>
        <v>17</v>
      </c>
      <c r="AB16" s="110">
        <f>COUNTIFS(Spells!$G$2:$G1000, $T16, Spells!$F$2:$F1000, "*"&amp;AB$15&amp;"*")</f>
        <v>11</v>
      </c>
    </row>
    <row r="17">
      <c r="T17" s="110" t="str">
        <f>Validations!D3</f>
        <v>1st-level</v>
      </c>
      <c r="U17" s="110">
        <f>COUNTIFS(Spells!$G$2:$G1000, $T17, Spells!$F$2:$F1000, "*"&amp;U$15&amp;"*")</f>
        <v>20</v>
      </c>
      <c r="V17" s="110">
        <f>COUNTIFS(Spells!$G$2:$G1000, $T17, Spells!$F$2:$F1000, "*"&amp;V$15&amp;"*")</f>
        <v>10</v>
      </c>
      <c r="W17" s="110">
        <f>COUNTIFS(Spells!$G$2:$G1000, $T17, Spells!$F$2:$F1000, "*"&amp;W$15&amp;"*")</f>
        <v>8</v>
      </c>
      <c r="X17" s="110">
        <f>COUNTIFS(Spells!$G$2:$G1000, $T17, Spells!$F$2:$F1000, "*"&amp;X$15&amp;"*")</f>
        <v>17</v>
      </c>
      <c r="Y17" s="110">
        <f>COUNTIFS(Spells!$G$2:$G1000, $T17, Spells!$F$2:$F1000, "*"&amp;Y$15&amp;"*")</f>
        <v>12</v>
      </c>
      <c r="Z17" s="110">
        <f>COUNTIFS(Spells!$G$2:$G1000, $T17, Spells!$F$2:$F1000, "*"&amp;Z$15&amp;"*")</f>
        <v>20</v>
      </c>
      <c r="AA17" s="110">
        <f>COUNTIFS(Spells!$G$2:$G1000, $T17, Spells!$F$2:$F1000, "*"&amp;AA$15&amp;"*")</f>
        <v>14</v>
      </c>
      <c r="AB17" s="110">
        <f>COUNTIFS(Spells!$G$2:$G1000, $T17, Spells!$F$2:$F1000, "*"&amp;AB$15&amp;"*")</f>
        <v>10</v>
      </c>
      <c r="AC17" s="109" t="s">
        <v>2366</v>
      </c>
    </row>
    <row r="18">
      <c r="T18" s="110" t="str">
        <f>Validations!D4</f>
        <v>2nd-level</v>
      </c>
      <c r="U18" s="110">
        <f>COUNTIFS(Spells!$G$2:$G1000, $T18, Spells!$F$2:$F1000, "*"&amp;U$15&amp;"*")</f>
        <v>23</v>
      </c>
      <c r="V18" s="110">
        <f>COUNTIFS(Spells!$G$2:$G1000, $T18, Spells!$F$2:$F1000, "*"&amp;V$15&amp;"*")</f>
        <v>15</v>
      </c>
      <c r="W18" s="110">
        <f>COUNTIFS(Spells!$G$2:$G1000, $T18, Spells!$F$2:$F1000, "*"&amp;W$15&amp;"*")</f>
        <v>14</v>
      </c>
      <c r="X18" s="110">
        <f>COUNTIFS(Spells!$G$2:$G1000, $T18, Spells!$F$2:$F1000, "*"&amp;X$15&amp;"*")</f>
        <v>14</v>
      </c>
      <c r="Y18" s="110">
        <f>COUNTIFS(Spells!$G$2:$G1000, $T18, Spells!$F$2:$F1000, "*"&amp;Y$15&amp;"*")</f>
        <v>12</v>
      </c>
      <c r="Z18" s="110">
        <f>COUNTIFS(Spells!$G$2:$G1000, $T18, Spells!$F$2:$F1000, "*"&amp;Z$15&amp;"*")</f>
        <v>21</v>
      </c>
      <c r="AA18" s="110">
        <f>COUNTIFS(Spells!$G$2:$G1000, $T18, Spells!$F$2:$F1000, "*"&amp;AA$15&amp;"*")</f>
        <v>10</v>
      </c>
      <c r="AB18" s="110">
        <f>COUNTIFS(Spells!$G$2:$G1000, $T18, Spells!$F$2:$F1000, "*"&amp;AB$15&amp;"*")</f>
        <v>6</v>
      </c>
    </row>
    <row r="19">
      <c r="T19" s="110" t="str">
        <f>Validations!D5</f>
        <v>3rd-level</v>
      </c>
      <c r="U19" s="110">
        <f>COUNTIFS(Spells!$G$2:$G1000, $T19, Spells!$F$2:$F1000, "*"&amp;U$15&amp;"*")</f>
        <v>18</v>
      </c>
      <c r="V19" s="110">
        <f>COUNTIFS(Spells!$G$2:$G1000, $T19, Spells!$F$2:$F1000, "*"&amp;V$15&amp;"*")</f>
        <v>22</v>
      </c>
      <c r="W19" s="110">
        <f>COUNTIFS(Spells!$G$2:$G1000, $T19, Spells!$F$2:$F1000, "*"&amp;W$15&amp;"*")</f>
        <v>13</v>
      </c>
      <c r="X19" s="110">
        <f>COUNTIFS(Spells!$G$2:$G1000, $T19, Spells!$F$2:$F1000, "*"&amp;X$15&amp;"*")</f>
        <v>13</v>
      </c>
      <c r="Y19" s="110">
        <f>COUNTIFS(Spells!$G$2:$G1000, $T19, Spells!$F$2:$F1000, "*"&amp;Y$15&amp;"*")</f>
        <v>12</v>
      </c>
      <c r="Z19" s="110">
        <f>COUNTIFS(Spells!$G$2:$G1000, $T19, Spells!$F$2:$F1000, "*"&amp;Z$15&amp;"*")</f>
        <v>24</v>
      </c>
      <c r="AA19" s="110">
        <f>COUNTIFS(Spells!$G$2:$G1000, $T19, Spells!$F$2:$F1000, "*"&amp;AA$15&amp;"*")</f>
        <v>8</v>
      </c>
      <c r="AB19" s="110">
        <f>COUNTIFS(Spells!$G$2:$G1000, $T19, Spells!$F$2:$F1000, "*"&amp;AB$15&amp;"*")</f>
        <v>13</v>
      </c>
    </row>
    <row r="20">
      <c r="T20" s="110" t="str">
        <f>Validations!D6</f>
        <v>4th-level</v>
      </c>
      <c r="U20" s="110">
        <f>COUNTIFS(Spells!$G$2:$G1000, $T20, Spells!$F$2:$F1000, "*"&amp;U$15&amp;"*")</f>
        <v>12</v>
      </c>
      <c r="V20" s="110">
        <f>COUNTIFS(Spells!$G$2:$G1000, $T20, Spells!$F$2:$F1000, "*"&amp;V$15&amp;"*")</f>
        <v>18</v>
      </c>
      <c r="W20" s="110">
        <f>COUNTIFS(Spells!$G$2:$G1000, $T20, Spells!$F$2:$F1000, "*"&amp;W$15&amp;"*")</f>
        <v>11</v>
      </c>
      <c r="X20" s="110">
        <f>COUNTIFS(Spells!$G$2:$G1000, $T20, Spells!$F$2:$F1000, "*"&amp;X$15&amp;"*")</f>
        <v>12</v>
      </c>
      <c r="Y20" s="110">
        <f>COUNTIFS(Spells!$G$2:$G1000, $T20, Spells!$F$2:$F1000, "*"&amp;Y$15&amp;"*")</f>
        <v>4</v>
      </c>
      <c r="Z20" s="110">
        <f>COUNTIFS(Spells!$G$2:$G1000, $T20, Spells!$F$2:$F1000, "*"&amp;Z$15&amp;"*")</f>
        <v>20</v>
      </c>
      <c r="AA20" s="110">
        <f>COUNTIFS(Spells!$G$2:$G1000, $T20, Spells!$F$2:$F1000, "*"&amp;AA$15&amp;"*")</f>
        <v>6</v>
      </c>
      <c r="AB20" s="110">
        <f>COUNTIFS(Spells!$G$2:$G1000, $T20, Spells!$F$2:$F1000, "*"&amp;AB$15&amp;"*")</f>
        <v>12</v>
      </c>
    </row>
    <row r="21">
      <c r="T21" s="110" t="str">
        <f>Validations!D7</f>
        <v>5th-level</v>
      </c>
      <c r="U21" s="110">
        <f>COUNTIFS(Spells!$G$2:$G1000, $T21, Spells!$F$2:$F1000, "*"&amp;U$15&amp;"*")</f>
        <v>9</v>
      </c>
      <c r="V21" s="110">
        <f>COUNTIFS(Spells!$G$2:$G1000, $T21, Spells!$F$2:$F1000, "*"&amp;V$15&amp;"*")</f>
        <v>14</v>
      </c>
      <c r="W21" s="110">
        <f>COUNTIFS(Spells!$G$2:$G1000, $T21, Spells!$F$2:$F1000, "*"&amp;W$15&amp;"*")</f>
        <v>6</v>
      </c>
      <c r="X21" s="110">
        <f>COUNTIFS(Spells!$G$2:$G1000, $T21, Spells!$F$2:$F1000, "*"&amp;X$15&amp;"*")</f>
        <v>10</v>
      </c>
      <c r="Y21" s="110">
        <f>COUNTIFS(Spells!$G$2:$G1000, $T21, Spells!$F$2:$F1000, "*"&amp;Y$15&amp;"*")</f>
        <v>2</v>
      </c>
      <c r="Z21" s="110">
        <f>COUNTIFS(Spells!$G$2:$G1000, $T21, Spells!$F$2:$F1000, "*"&amp;Z$15&amp;"*")</f>
        <v>17</v>
      </c>
      <c r="AA21" s="110">
        <f>COUNTIFS(Spells!$G$2:$G1000, $T21, Spells!$F$2:$F1000, "*"&amp;AA$15&amp;"*")</f>
        <v>11</v>
      </c>
      <c r="AB21" s="110">
        <f>COUNTIFS(Spells!$G$2:$G1000, $T21, Spells!$F$2:$F1000, "*"&amp;AB$15&amp;"*")</f>
        <v>7</v>
      </c>
    </row>
    <row r="22">
      <c r="T22" s="110" t="str">
        <f>Validations!D8</f>
        <v>6th-level</v>
      </c>
      <c r="U22" s="110">
        <f>COUNTIFS(Spells!$G$2:$G1000, $T22, Spells!$F$2:$F1000, "*"&amp;U$15&amp;"*")</f>
        <v>5</v>
      </c>
      <c r="V22" s="110">
        <f>COUNTIFS(Spells!$G$2:$G1000, $T22, Spells!$F$2:$F1000, "*"&amp;V$15&amp;"*")</f>
        <v>10</v>
      </c>
      <c r="W22" s="110">
        <f>COUNTIFS(Spells!$G$2:$G1000, $T22, Spells!$F$2:$F1000, "*"&amp;W$15&amp;"*")</f>
        <v>6</v>
      </c>
      <c r="X22" s="110">
        <f>COUNTIFS(Spells!$G$2:$G1000, $T22, Spells!$F$2:$F1000, "*"&amp;X$15&amp;"*")</f>
        <v>0</v>
      </c>
      <c r="Y22" s="110">
        <f>COUNTIFS(Spells!$G$2:$G1000, $T22, Spells!$F$2:$F1000, "*"&amp;Y$15&amp;"*")</f>
        <v>1</v>
      </c>
      <c r="Z22" s="110">
        <f>COUNTIFS(Spells!$G$2:$G1000, $T22, Spells!$F$2:$F1000, "*"&amp;Z$15&amp;"*")</f>
        <v>16</v>
      </c>
      <c r="AA22" s="110">
        <f>COUNTIFS(Spells!$G$2:$G1000, $T22, Spells!$F$2:$F1000, "*"&amp;AA$15&amp;"*")</f>
        <v>6</v>
      </c>
      <c r="AB22" s="110">
        <f>COUNTIFS(Spells!$G$2:$G1000, $T22, Spells!$F$2:$F1000, "*"&amp;AB$15&amp;"*")</f>
        <v>8</v>
      </c>
    </row>
    <row r="23">
      <c r="T23" s="110" t="str">
        <f>Validations!D9</f>
        <v>7th-level</v>
      </c>
      <c r="U23" s="110">
        <f>COUNTIFS(Spells!$G$2:$G1000, $T23, Spells!$F$2:$F1000, "*"&amp;U$15&amp;"*")</f>
        <v>4</v>
      </c>
      <c r="V23" s="110">
        <f>COUNTIFS(Spells!$G$2:$G1000, $T23, Spells!$F$2:$F1000, "*"&amp;V$15&amp;"*")</f>
        <v>12</v>
      </c>
      <c r="W23" s="110">
        <f>COUNTIFS(Spells!$G$2:$G1000, $T23, Spells!$F$2:$F1000, "*"&amp;W$15&amp;"*")</f>
        <v>3</v>
      </c>
      <c r="X23" s="110">
        <f>COUNTIFS(Spells!$G$2:$G1000, $T23, Spells!$F$2:$F1000, "*"&amp;X$15&amp;"*")</f>
        <v>0</v>
      </c>
      <c r="Y23" s="110">
        <f>COUNTIFS(Spells!$G$2:$G1000, $T23, Spells!$F$2:$F1000, "*"&amp;Y$15&amp;"*")</f>
        <v>0</v>
      </c>
      <c r="Z23" s="110">
        <f>COUNTIFS(Spells!$G$2:$G1000, $T23, Spells!$F$2:$F1000, "*"&amp;Z$15&amp;"*")</f>
        <v>15</v>
      </c>
      <c r="AA23" s="110">
        <f>COUNTIFS(Spells!$G$2:$G1000, $T23, Spells!$F$2:$F1000, "*"&amp;AA$15&amp;"*")</f>
        <v>5</v>
      </c>
      <c r="AB23" s="110">
        <f>COUNTIFS(Spells!$G$2:$G1000, $T23, Spells!$F$2:$F1000, "*"&amp;AB$15&amp;"*")</f>
        <v>12</v>
      </c>
    </row>
    <row r="24">
      <c r="T24" s="110" t="str">
        <f>Validations!D10</f>
        <v>8th-level</v>
      </c>
      <c r="U24" s="110">
        <f>COUNTIFS(Spells!$G$2:$G1000, $T24, Spells!$F$2:$F1000, "*"&amp;U$15&amp;"*")</f>
        <v>4</v>
      </c>
      <c r="V24" s="110">
        <f>COUNTIFS(Spells!$G$2:$G1000, $T24, Spells!$F$2:$F1000, "*"&amp;V$15&amp;"*")</f>
        <v>9</v>
      </c>
      <c r="W24" s="110">
        <f>COUNTIFS(Spells!$G$2:$G1000, $T24, Spells!$F$2:$F1000, "*"&amp;W$15&amp;"*")</f>
        <v>3</v>
      </c>
      <c r="X24" s="110">
        <f>COUNTIFS(Spells!$G$2:$G1000, $T24, Spells!$F$2:$F1000, "*"&amp;X$15&amp;"*")</f>
        <v>0</v>
      </c>
      <c r="Y24" s="110">
        <f>COUNTIFS(Spells!$G$2:$G1000, $T24, Spells!$F$2:$F1000, "*"&amp;Y$15&amp;"*")</f>
        <v>0</v>
      </c>
      <c r="Z24" s="110">
        <f>COUNTIFS(Spells!$G$2:$G1000, $T24, Spells!$F$2:$F1000, "*"&amp;Z$15&amp;"*")</f>
        <v>13</v>
      </c>
      <c r="AA24" s="110">
        <f>COUNTIFS(Spells!$G$2:$G1000, $T24, Spells!$F$2:$F1000, "*"&amp;AA$15&amp;"*")</f>
        <v>5</v>
      </c>
      <c r="AB24" s="110">
        <f>COUNTIFS(Spells!$G$2:$G1000, $T24, Spells!$F$2:$F1000, "*"&amp;AB$15&amp;"*")</f>
        <v>4</v>
      </c>
    </row>
    <row r="25">
      <c r="T25" s="110" t="str">
        <f>Validations!D11</f>
        <v>9th-level</v>
      </c>
      <c r="U25" s="110">
        <f>COUNTIFS(Spells!$G$2:$G1000, $T25, Spells!$F$2:$F1000, "*"&amp;U$15&amp;"*")</f>
        <v>4</v>
      </c>
      <c r="V25" s="110">
        <f>COUNTIFS(Spells!$G$2:$G1000, $T25, Spells!$F$2:$F1000, "*"&amp;V$15&amp;"*")</f>
        <v>5</v>
      </c>
      <c r="W25" s="110">
        <f>COUNTIFS(Spells!$G$2:$G1000, $T25, Spells!$F$2:$F1000, "*"&amp;W$15&amp;"*")</f>
        <v>3</v>
      </c>
      <c r="X25" s="110">
        <f>COUNTIFS(Spells!$G$2:$G1000, $T25, Spells!$F$2:$F1000, "*"&amp;X$15&amp;"*")</f>
        <v>0</v>
      </c>
      <c r="Y25" s="110">
        <f>COUNTIFS(Spells!$G$2:$G1000, $T25, Spells!$F$2:$F1000, "*"&amp;Y$15&amp;"*")</f>
        <v>0</v>
      </c>
      <c r="Z25" s="110">
        <f>COUNTIFS(Spells!$G$2:$G1000, $T25, Spells!$F$2:$F1000, "*"&amp;Z$15&amp;"*")</f>
        <v>10</v>
      </c>
      <c r="AA25" s="110">
        <f>COUNTIFS(Spells!$G$2:$G1000, $T25, Spells!$F$2:$F1000, "*"&amp;AA$15&amp;"*")</f>
        <v>6</v>
      </c>
      <c r="AB25" s="110">
        <f>COUNTIFS(Spells!$G$2:$G1000, $T25, Spells!$F$2:$F1000, "*"&amp;AB$15&amp;"*")</f>
        <v>4</v>
      </c>
    </row>
    <row r="28">
      <c r="U28" s="110" t="s">
        <v>123</v>
      </c>
      <c r="V28" s="110" t="s">
        <v>108</v>
      </c>
      <c r="W28" s="110" t="s">
        <v>130</v>
      </c>
      <c r="X28" s="110" t="s">
        <v>570</v>
      </c>
      <c r="Y28" s="110" t="s">
        <v>443</v>
      </c>
      <c r="Z28" s="110" t="s">
        <v>199</v>
      </c>
      <c r="AA28" s="109" t="s">
        <v>75</v>
      </c>
      <c r="AB28" s="110" t="s">
        <v>250</v>
      </c>
    </row>
    <row r="29">
      <c r="T29" s="109" t="s">
        <v>64</v>
      </c>
      <c r="U29" s="110">
        <f>COUNTIFS(SRD!$B$2:$B1000, $T29, SRD!V$2:V1000, "*"&amp;U$28&amp;"*")</f>
        <v>11</v>
      </c>
      <c r="V29" s="110">
        <f>COUNTIFS(SRD!$B$2:$B1000, $T29, SRD!W$2:W1000, "*"&amp;V$28&amp;"*")</f>
        <v>13</v>
      </c>
      <c r="W29" s="110">
        <f>COUNTIFS(SRD!$B$2:$B1000, $T29, SRD!X$2:X1000, "*"&amp;W$28&amp;"*")</f>
        <v>8</v>
      </c>
      <c r="X29" s="110">
        <f>COUNTIFS(SRD!$B$2:$B1000, $T29, SRD!Y$2:Y1000, "*"&amp;X$28&amp;"*")</f>
        <v>0</v>
      </c>
      <c r="Y29" s="110">
        <f>COUNTIFS(SRD!$B$2:$B1000, $T29, SRD!Z$2:Z1000, "*"&amp;Y$28&amp;"*")</f>
        <v>0</v>
      </c>
      <c r="Z29" s="110">
        <f>COUNTIFS(SRD!$B$2:$B1000, $T29, SRD!AA$2:AA1000, "*"&amp;Z$28&amp;"*")</f>
        <v>16</v>
      </c>
      <c r="AA29" s="110">
        <f>COUNTIFS(SRD!$B$2:$B1000, $T29, SRD!AB$2:AB1000, "*"&amp;AA$28&amp;"*")</f>
        <v>15</v>
      </c>
      <c r="AB29" s="110">
        <f>COUNTIFS(SRD!$B$2:$B1000, $T29, SRD!AC$2:AC1000, "*"&amp;AB$28&amp;"*")</f>
        <v>9</v>
      </c>
    </row>
    <row r="30">
      <c r="A30" s="110" t="str">
        <f>Validations!A10</f>
        <v/>
      </c>
      <c r="T30" s="110" t="s">
        <v>444</v>
      </c>
      <c r="U30" s="110">
        <f>COUNTIFS(SRD!$B$2:$B1000, $T30, SRD!V$2:V1000, "*"&amp;U$28&amp;"*")</f>
        <v>21</v>
      </c>
      <c r="V30" s="110">
        <f>COUNTIFS(SRD!$B$2:$B1000, $T30, SRD!W$2:W1000, "*"&amp;V$28&amp;"*")</f>
        <v>27</v>
      </c>
      <c r="W30" s="110">
        <f>COUNTIFS(SRD!$B$2:$B1000, $T30, SRD!X$2:X1000, "*"&amp;W$28&amp;"*")</f>
        <v>16</v>
      </c>
      <c r="X30" s="110">
        <f>COUNTIFS(SRD!$B$2:$B1000, $T30, SRD!Y$2:Y1000, "*"&amp;X$28&amp;"*")</f>
        <v>22</v>
      </c>
      <c r="Y30" s="110">
        <f>COUNTIFS(SRD!$B$2:$B1000, $T30, SRD!Z$2:Z1000, "*"&amp;Y$28&amp;"*")</f>
        <v>13</v>
      </c>
      <c r="Z30" s="110">
        <f>COUNTIFS(SRD!$B$2:$B1000, $T30, SRD!AA$2:AA1000, "*"&amp;Z$28&amp;"*")</f>
        <v>30</v>
      </c>
      <c r="AA30" s="110">
        <f>COUNTIFS(SRD!$B$2:$B1000, $T30, SRD!AB$2:AB1000, "*"&amp;AA$28&amp;"*")</f>
        <v>20</v>
      </c>
      <c r="AB30" s="110">
        <f>COUNTIFS(SRD!$B$2:$B1000, $T30, SRD!AC$2:AC1000, "*"&amp;AB$28&amp;"*")</f>
        <v>11</v>
      </c>
    </row>
    <row r="31">
      <c r="A31" s="110" t="str">
        <f>Validations!A11</f>
        <v/>
      </c>
      <c r="T31" s="110" t="s">
        <v>672</v>
      </c>
      <c r="U31" s="110">
        <f>COUNTIFS(SRD!$B$2:$B1000, $T31, SRD!V$2:V1000, "*"&amp;U$28&amp;"*")</f>
        <v>22</v>
      </c>
      <c r="V31" s="110">
        <f>COUNTIFS(SRD!$B$2:$B1000, $T31, SRD!W$2:W1000, "*"&amp;V$28&amp;"*")</f>
        <v>28</v>
      </c>
      <c r="W31" s="110">
        <f>COUNTIFS(SRD!$B$2:$B1000, $T31, SRD!X$2:X1000, "*"&amp;W$28&amp;"*")</f>
        <v>27</v>
      </c>
      <c r="X31" s="110">
        <f>COUNTIFS(SRD!$B$2:$B1000, $T31, SRD!Y$2:Y1000, "*"&amp;X$28&amp;"*")</f>
        <v>13</v>
      </c>
      <c r="Y31" s="110">
        <f>COUNTIFS(SRD!$B$2:$B1000, $T31, SRD!Z$2:Z1000, "*"&amp;Y$28&amp;"*")</f>
        <v>13</v>
      </c>
      <c r="Z31" s="110">
        <f>COUNTIFS(SRD!$B$2:$B1000, $T31, SRD!AA$2:AA1000, "*"&amp;Z$28&amp;"*")</f>
        <v>34</v>
      </c>
      <c r="AA31" s="110">
        <f>COUNTIFS(SRD!$B$2:$B1000, $T31, SRD!AB$2:AB1000, "*"&amp;AA$28&amp;"*")</f>
        <v>24</v>
      </c>
      <c r="AB31" s="110">
        <f>COUNTIFS(SRD!$B$2:$B1000, $T31, SRD!AC$2:AC1000, "*"&amp;AB$28&amp;"*")</f>
        <v>12</v>
      </c>
    </row>
    <row r="32">
      <c r="A32" s="110" t="str">
        <f>Validations!A12</f>
        <v/>
      </c>
      <c r="T32" s="110" t="s">
        <v>945</v>
      </c>
      <c r="U32" s="110">
        <f>COUNTIFS(SRD!$B$2:$B1000, $T32, SRD!V$2:V1000, "*"&amp;U$28&amp;"*")</f>
        <v>16</v>
      </c>
      <c r="V32" s="110">
        <f>COUNTIFS(SRD!$B$2:$B1000, $T32, SRD!W$2:W1000, "*"&amp;V$28&amp;"*")</f>
        <v>29</v>
      </c>
      <c r="W32" s="110">
        <f>COUNTIFS(SRD!$B$2:$B1000, $T32, SRD!X$2:X1000, "*"&amp;W$28&amp;"*")</f>
        <v>19</v>
      </c>
      <c r="X32" s="110">
        <f>COUNTIFS(SRD!$B$2:$B1000, $T32, SRD!Y$2:Y1000, "*"&amp;X$28&amp;"*")</f>
        <v>16</v>
      </c>
      <c r="Y32" s="110">
        <f>COUNTIFS(SRD!$B$2:$B1000, $T32, SRD!Z$2:Z1000, "*"&amp;Y$28&amp;"*")</f>
        <v>11</v>
      </c>
      <c r="Z32" s="110">
        <f>COUNTIFS(SRD!$B$2:$B1000, $T32, SRD!AA$2:AA1000, "*"&amp;Z$28&amp;"*")</f>
        <v>29</v>
      </c>
      <c r="AA32" s="110">
        <f>COUNTIFS(SRD!$B$2:$B1000, $T32, SRD!AB$2:AB1000, "*"&amp;AA$28&amp;"*")</f>
        <v>21</v>
      </c>
      <c r="AB32" s="110">
        <f>COUNTIFS(SRD!$B$2:$B1000, $T32, SRD!AC$2:AC1000, "*"&amp;AB$28&amp;"*")</f>
        <v>12</v>
      </c>
    </row>
    <row r="33">
      <c r="A33" s="110" t="str">
        <f>Validations!A13</f>
        <v/>
      </c>
      <c r="T33" s="110" t="s">
        <v>1223</v>
      </c>
      <c r="U33" s="110">
        <f>COUNTIFS(SRD!$B$2:$B1000, $T33, SRD!V$2:V1000, "*"&amp;U$28&amp;"*")</f>
        <v>8</v>
      </c>
      <c r="V33" s="110">
        <f>COUNTIFS(SRD!$B$2:$B1000, $T33, SRD!W$2:W1000, "*"&amp;V$28&amp;"*")</f>
        <v>18</v>
      </c>
      <c r="W33" s="110">
        <f>COUNTIFS(SRD!$B$2:$B1000, $T33, SRD!X$2:X1000, "*"&amp;W$28&amp;"*")</f>
        <v>18</v>
      </c>
      <c r="X33" s="110">
        <f>COUNTIFS(SRD!$B$2:$B1000, $T33, SRD!Y$2:Y1000, "*"&amp;X$28&amp;"*")</f>
        <v>13</v>
      </c>
      <c r="Y33" s="110">
        <f>COUNTIFS(SRD!$B$2:$B1000, $T33, SRD!Z$2:Z1000, "*"&amp;Y$28&amp;"*")</f>
        <v>5</v>
      </c>
      <c r="Z33" s="110">
        <f>COUNTIFS(SRD!$B$2:$B1000, $T33, SRD!AA$2:AA1000, "*"&amp;Z$28&amp;"*")</f>
        <v>23</v>
      </c>
      <c r="AA33" s="110">
        <f>COUNTIFS(SRD!$B$2:$B1000, $T33, SRD!AB$2:AB1000, "*"&amp;AA$28&amp;"*")</f>
        <v>10</v>
      </c>
      <c r="AB33" s="110">
        <f>COUNTIFS(SRD!$B$2:$B1000, $T33, SRD!AC$2:AC1000, "*"&amp;AB$28&amp;"*")</f>
        <v>4</v>
      </c>
    </row>
    <row r="34">
      <c r="A34" s="110" t="str">
        <f>Validations!A14</f>
        <v/>
      </c>
      <c r="T34" s="110" t="s">
        <v>1452</v>
      </c>
      <c r="U34" s="110">
        <f>COUNTIFS(SRD!$B$2:$B1000, $T34, SRD!V$2:V1000, "*"&amp;U$28&amp;"*")</f>
        <v>16</v>
      </c>
      <c r="V34" s="110">
        <f>COUNTIFS(SRD!$B$2:$B1000, $T34, SRD!W$2:W1000, "*"&amp;V$28&amp;"*")</f>
        <v>20</v>
      </c>
      <c r="W34" s="110">
        <f>COUNTIFS(SRD!$B$2:$B1000, $T34, SRD!X$2:X1000, "*"&amp;W$28&amp;"*")</f>
        <v>18</v>
      </c>
      <c r="X34" s="110">
        <f>COUNTIFS(SRD!$B$2:$B1000, $T34, SRD!Y$2:Y1000, "*"&amp;X$28&amp;"*")</f>
        <v>14</v>
      </c>
      <c r="Y34" s="110">
        <f>COUNTIFS(SRD!$B$2:$B1000, $T34, SRD!Z$2:Z1000, "*"&amp;Y$28&amp;"*")</f>
        <v>4</v>
      </c>
      <c r="Z34" s="110">
        <f>COUNTIFS(SRD!$B$2:$B1000, $T34, SRD!AA$2:AA1000, "*"&amp;Z$28&amp;"*")</f>
        <v>23</v>
      </c>
      <c r="AA34" s="110">
        <f>COUNTIFS(SRD!$B$2:$B1000, $T34, SRD!AB$2:AB1000, "*"&amp;AA$28&amp;"*")</f>
        <v>11</v>
      </c>
      <c r="AB34" s="110">
        <f>COUNTIFS(SRD!$B$2:$B1000, $T34, SRD!AC$2:AC1000, "*"&amp;AB$28&amp;"*")</f>
        <v>4</v>
      </c>
    </row>
    <row r="35">
      <c r="A35" s="110" t="str">
        <f>Validations!A15</f>
        <v/>
      </c>
      <c r="T35" s="110" t="s">
        <v>1594</v>
      </c>
      <c r="U35" s="110">
        <f>COUNTIFS(SRD!$B$2:$B1000, $T35, SRD!V$2:V1000, "*"&amp;U$28&amp;"*")</f>
        <v>7</v>
      </c>
      <c r="V35" s="110">
        <f>COUNTIFS(SRD!$B$2:$B1000, $T35, SRD!W$2:W1000, "*"&amp;V$28&amp;"*")</f>
        <v>10</v>
      </c>
      <c r="W35" s="110">
        <f>COUNTIFS(SRD!$B$2:$B1000, $T35, SRD!X$2:X1000, "*"&amp;W$28&amp;"*")</f>
        <v>9</v>
      </c>
      <c r="X35" s="110">
        <f>COUNTIFS(SRD!$B$2:$B1000, $T35, SRD!Y$2:Y1000, "*"&amp;X$28&amp;"*")</f>
        <v>0</v>
      </c>
      <c r="Y35" s="110">
        <f>COUNTIFS(SRD!$B$2:$B1000, $T35, SRD!Z$2:Z1000, "*"&amp;Y$28&amp;"*")</f>
        <v>0</v>
      </c>
      <c r="Z35" s="110">
        <f>COUNTIFS(SRD!$B$2:$B1000, $T35, SRD!AA$2:AA1000, "*"&amp;Z$28&amp;"*")</f>
        <v>20</v>
      </c>
      <c r="AA35" s="110">
        <f>COUNTIFS(SRD!$B$2:$B1000, $T35, SRD!AB$2:AB1000, "*"&amp;AA$28&amp;"*")</f>
        <v>10</v>
      </c>
      <c r="AB35" s="110">
        <f>COUNTIFS(SRD!$B$2:$B1000, $T35, SRD!AC$2:AC1000, "*"&amp;AB$28&amp;"*")</f>
        <v>8</v>
      </c>
    </row>
    <row r="36">
      <c r="A36" s="110" t="str">
        <f>Validations!A16</f>
        <v/>
      </c>
      <c r="T36" s="110" t="s">
        <v>1709</v>
      </c>
      <c r="U36" s="110">
        <f>COUNTIFS(SRD!$B$2:$B1000, $T36, SRD!V$2:V1000, "*"&amp;U$28&amp;"*")</f>
        <v>10</v>
      </c>
      <c r="V36" s="110">
        <f>COUNTIFS(SRD!$B$2:$B1000, $T36, SRD!W$2:W1000, "*"&amp;V$28&amp;"*")</f>
        <v>8</v>
      </c>
      <c r="W36" s="110">
        <f>COUNTIFS(SRD!$B$2:$B1000, $T36, SRD!X$2:X1000, "*"&amp;W$28&amp;"*")</f>
        <v>5</v>
      </c>
      <c r="X36" s="110">
        <f>COUNTIFS(SRD!$B$2:$B1000, $T36, SRD!Y$2:Y1000, "*"&amp;X$28&amp;"*")</f>
        <v>0</v>
      </c>
      <c r="Y36" s="110">
        <f>COUNTIFS(SRD!$B$2:$B1000, $T36, SRD!Z$2:Z1000, "*"&amp;Y$28&amp;"*")</f>
        <v>0</v>
      </c>
      <c r="Z36" s="110">
        <f>COUNTIFS(SRD!$B$2:$B1000, $T36, SRD!AA$2:AA1000, "*"&amp;Z$28&amp;"*")</f>
        <v>15</v>
      </c>
      <c r="AA36" s="110">
        <f>COUNTIFS(SRD!$B$2:$B1000, $T36, SRD!AB$2:AB1000, "*"&amp;AA$28&amp;"*")</f>
        <v>7</v>
      </c>
      <c r="AB36" s="110">
        <f>COUNTIFS(SRD!$B$2:$B1000, $T36, SRD!AC$2:AC1000, "*"&amp;AB$28&amp;"*")</f>
        <v>4</v>
      </c>
    </row>
    <row r="37">
      <c r="T37" s="110" t="s">
        <v>1837</v>
      </c>
      <c r="U37" s="110">
        <f>COUNTIFS(SRD!$B$2:$B1000, $T37, SRD!V$2:V1000, "*"&amp;U$28&amp;"*")</f>
        <v>5</v>
      </c>
      <c r="V37" s="110">
        <f>COUNTIFS(SRD!$B$2:$B1000, $T37, SRD!W$2:W1000, "*"&amp;V$28&amp;"*")</f>
        <v>4</v>
      </c>
      <c r="W37" s="110">
        <f>COUNTIFS(SRD!$B$2:$B1000, $T37, SRD!X$2:X1000, "*"&amp;W$28&amp;"*")</f>
        <v>7</v>
      </c>
      <c r="X37" s="110">
        <f>COUNTIFS(SRD!$B$2:$B1000, $T37, SRD!Y$2:Y1000, "*"&amp;X$28&amp;"*")</f>
        <v>0</v>
      </c>
      <c r="Y37" s="110">
        <f>COUNTIFS(SRD!$B$2:$B1000, $T37, SRD!Z$2:Z1000, "*"&amp;Y$28&amp;"*")</f>
        <v>0</v>
      </c>
      <c r="Z37" s="110">
        <f>COUNTIFS(SRD!$B$2:$B1000, $T37, SRD!AA$2:AA1000, "*"&amp;Z$28&amp;"*")</f>
        <v>13</v>
      </c>
      <c r="AA37" s="110">
        <f>COUNTIFS(SRD!$B$2:$B1000, $T37, SRD!AB$2:AB1000, "*"&amp;AA$28&amp;"*")</f>
        <v>5</v>
      </c>
      <c r="AB37" s="110">
        <f>COUNTIFS(SRD!$B$2:$B1000, $T37, SRD!AC$2:AC1000, "*"&amp;AB$28&amp;"*")</f>
        <v>5</v>
      </c>
    </row>
    <row r="38">
      <c r="T38" s="110" t="s">
        <v>1919</v>
      </c>
      <c r="U38" s="110">
        <f>COUNTIFS(SRD!$B$2:$B1000, $T38, SRD!V$2:V1000, "*"&amp;U$28&amp;"*")</f>
        <v>4</v>
      </c>
      <c r="V38" s="110">
        <f>COUNTIFS(SRD!$B$2:$B1000, $T38, SRD!W$2:W1000, "*"&amp;V$28&amp;"*")</f>
        <v>4</v>
      </c>
      <c r="W38" s="110">
        <f>COUNTIFS(SRD!$B$2:$B1000, $T38, SRD!X$2:X1000, "*"&amp;W$28&amp;"*")</f>
        <v>4</v>
      </c>
      <c r="X38" s="110">
        <f>COUNTIFS(SRD!$B$2:$B1000, $T38, SRD!Y$2:Y1000, "*"&amp;X$28&amp;"*")</f>
        <v>0</v>
      </c>
      <c r="Y38" s="110">
        <f>COUNTIFS(SRD!$B$2:$B1000, $T38, SRD!Z$2:Z1000, "*"&amp;Y$28&amp;"*")</f>
        <v>0</v>
      </c>
      <c r="Z38" s="110">
        <f>COUNTIFS(SRD!$B$2:$B1000, $T38, SRD!AA$2:AA1000, "*"&amp;Z$28&amp;"*")</f>
        <v>12</v>
      </c>
      <c r="AA38" s="110">
        <f>COUNTIFS(SRD!$B$2:$B1000, $T38, SRD!AB$2:AB1000, "*"&amp;AA$28&amp;"*")</f>
        <v>5</v>
      </c>
      <c r="AB38" s="110">
        <f>COUNTIFS(SRD!$B$2:$B1000, $T38, SRD!AC$2:AC1000, "*"&amp;AB$28&amp;"*")</f>
        <v>5</v>
      </c>
    </row>
    <row r="39">
      <c r="S39" s="109" t="s">
        <v>2367</v>
      </c>
    </row>
    <row r="43">
      <c r="T43" s="109" t="str">
        <f>Validations!F2</f>
        <v>Healing</v>
      </c>
      <c r="U43" s="110">
        <f>COUNTIF(Spells!$D$2:$D$1001, "*"&amp;Validations!F2&amp;"*")</f>
        <v>7</v>
      </c>
    </row>
    <row r="44">
      <c r="S44" s="109" t="s">
        <v>2366</v>
      </c>
      <c r="T44" s="109" t="str">
        <f>Validations!F3</f>
        <v>Damage</v>
      </c>
      <c r="U44" s="110">
        <f>COUNTIF(Spells!$D$2:$D$1001, "*"&amp;Validations!F3&amp;"*")</f>
        <v>55</v>
      </c>
      <c r="W44" s="109" t="s">
        <v>2368</v>
      </c>
      <c r="X44" s="110">
        <f>COUNTIF(Spells!A2:A1002, "&lt;&gt;")</f>
        <v>415</v>
      </c>
    </row>
    <row r="45">
      <c r="T45" s="109" t="str">
        <f>Validations!F4</f>
        <v>Buff</v>
      </c>
      <c r="U45" s="110">
        <f>COUNTIF(Spells!$D$2:$D$1001, "*"&amp;Validations!F4&amp;"*")</f>
        <v>44</v>
      </c>
      <c r="W45" s="109" t="s">
        <v>2369</v>
      </c>
      <c r="X45" s="110">
        <f>COUNTIF(SRD!A2:A1000, "&lt;&gt;")</f>
        <v>361</v>
      </c>
    </row>
    <row r="46">
      <c r="T46" s="109" t="str">
        <f>Validations!F5</f>
        <v>Debuff</v>
      </c>
      <c r="U46" s="110">
        <f>COUNTIF(Spells!$D$2:$D$1001, "*"&amp;Validations!F5&amp;"*")</f>
        <v>21</v>
      </c>
    </row>
    <row r="47">
      <c r="T47" s="109" t="str">
        <f>Validations!F6</f>
        <v>Utility</v>
      </c>
      <c r="U47" s="110">
        <f>COUNTIF(Spells!$D$2:$D$1001, "*"&amp;Validations!F6&amp;"*")</f>
        <v>23</v>
      </c>
    </row>
    <row r="48">
      <c r="T48" s="109" t="str">
        <f>Validations!F7</f>
        <v>Unhinged</v>
      </c>
      <c r="U48" s="110">
        <f>COUNTIF(Spells!$D$2:$D$1001, "*"&amp;Validations!F7&amp;"*")</f>
        <v>42</v>
      </c>
    </row>
    <row r="49">
      <c r="T49" s="109" t="str">
        <f>Validations!F8</f>
        <v>Mispelled</v>
      </c>
      <c r="U49" s="110">
        <f>COUNTIF(Spells!$D$2:$D$1001, "*"&amp;Validations!F8&amp;"*")</f>
        <v>43</v>
      </c>
    </row>
    <row r="50">
      <c r="T50" s="109" t="str">
        <f>Validations!F9</f>
        <v>A.S.T.R.A.L.</v>
      </c>
      <c r="U50" s="110">
        <f>COUNTIF(Spells!$D$2:$D$1001, "*"&amp;Validations!F9&amp;"*")</f>
        <v>7</v>
      </c>
    </row>
    <row r="51">
      <c r="T51" s="109" t="str">
        <f>Validations!F10</f>
        <v>Corporate</v>
      </c>
      <c r="U51" s="110">
        <f>COUNTIF(Spells!$D$2:$D$1001, "*"&amp;Validations!F10&amp;"*")</f>
        <v>4</v>
      </c>
    </row>
    <row r="52">
      <c r="T52" s="109" t="str">
        <f>Validations!F11</f>
        <v>Sexual</v>
      </c>
      <c r="U52" s="110">
        <f>COUNTIF(Spells!$D$2:$D$1001, "*"&amp;Validations!F11&amp;"*")</f>
        <v>27</v>
      </c>
    </row>
    <row r="53">
      <c r="T53" s="109" t="str">
        <f>Validations!F12</f>
        <v>Alteration</v>
      </c>
      <c r="U53" s="110">
        <f>COUNTIF(Spells!$D$2:$D$1001, "*"&amp;Validations!F12&amp;"*")</f>
        <v>2</v>
      </c>
    </row>
    <row r="54">
      <c r="P54" s="109" t="s">
        <v>2365</v>
      </c>
      <c r="T54" s="109" t="str">
        <f>Validations!F13</f>
        <v>Dimension</v>
      </c>
      <c r="U54" s="110">
        <f>COUNTIF(Spells!$D$2:$D$1001, "*"&amp;Validations!F13&amp;"*")</f>
        <v>3</v>
      </c>
    </row>
    <row r="55">
      <c r="T55" s="109" t="str">
        <f>Validations!F14</f>
        <v>Teleportation</v>
      </c>
      <c r="U55" s="110">
        <f>COUNTIF(Spells!$D$2:$D$1001, "*"&amp;Validations!F14&amp;"*")</f>
        <v>3</v>
      </c>
    </row>
    <row r="56">
      <c r="T56" s="109" t="str">
        <f>Validations!F15</f>
        <v>Plane</v>
      </c>
      <c r="U56" s="110">
        <f>COUNTIF(Spells!$D$2:$D$1001, "*"&amp;Validations!F15&amp;"*")</f>
        <v>0</v>
      </c>
    </row>
    <row r="57">
      <c r="T57" s="109" t="str">
        <f>Validations!F16</f>
        <v>Technology</v>
      </c>
      <c r="U57" s="110">
        <f>COUNTIF(Spells!$D$2:$D$1001, "*"&amp;Validations!F16&amp;"*")</f>
        <v>3</v>
      </c>
    </row>
    <row r="58">
      <c r="T58" s="109" t="str">
        <f>Validations!F17</f>
        <v>Grid</v>
      </c>
      <c r="U58" s="110">
        <f>COUNTIF(Spells!$D$2:$D$1001, "*"&amp;Validations!F17&amp;"*")</f>
        <v>2</v>
      </c>
    </row>
    <row r="59">
      <c r="T59" s="109" t="str">
        <f>Validations!F18</f>
        <v>Light</v>
      </c>
      <c r="U59" s="110">
        <f>COUNTIF(Spells!$D$2:$D$1001, "*"&amp;Validations!F18&amp;"*")</f>
        <v>1</v>
      </c>
    </row>
    <row r="60">
      <c r="T60" s="109" t="str">
        <f>Validations!F19</f>
        <v>Shadow</v>
      </c>
      <c r="U60" s="110">
        <f>COUNTIF(Spells!$D$2:$D$1001, "*"&amp;Validations!F19&amp;"*")</f>
        <v>0</v>
      </c>
    </row>
    <row r="61">
      <c r="T61" s="109" t="str">
        <f>Validations!F20</f>
        <v>Communication</v>
      </c>
      <c r="U61" s="110">
        <f>COUNTIF(Spells!$D$2:$D$1001, "*"&amp;Validations!F20&amp;"*")</f>
        <v>7</v>
      </c>
    </row>
    <row r="62">
      <c r="T62" s="109" t="str">
        <f>Validations!F21</f>
        <v>Zone</v>
      </c>
      <c r="U62" s="110">
        <f>COUNTIF(Spells!$D$2:$D$1001, "*"&amp;Validations!F21&amp;"*")</f>
        <v>2</v>
      </c>
    </row>
    <row r="63">
      <c r="T63" s="109" t="str">
        <f>Validations!F22</f>
        <v>Restoration</v>
      </c>
      <c r="U63" s="110">
        <f>COUNTIF(Spells!$D$2:$D$1001, "*"&amp;Validations!F22&amp;"*")</f>
        <v>8</v>
      </c>
    </row>
    <row r="64">
      <c r="R64" s="109" t="s">
        <v>2370</v>
      </c>
      <c r="T64" s="109" t="str">
        <f>Validations!F23</f>
        <v>Terrain</v>
      </c>
      <c r="U64" s="110">
        <f>COUNTIF(Spells!$D$2:$D$1001, "*"&amp;Validations!F23&amp;"*")</f>
        <v>27</v>
      </c>
    </row>
    <row r="65">
      <c r="T65" s="109" t="str">
        <f>Validations!F24</f>
        <v>Firearm</v>
      </c>
      <c r="U65" s="110">
        <f>COUNTIF(Spells!$D$2:$D$1001, "*"&amp;Validations!F24&amp;"*")</f>
        <v>7</v>
      </c>
    </row>
    <row r="67">
      <c r="T67" s="109" t="str">
        <f>Validations!F26</f>
        <v>Tracking</v>
      </c>
      <c r="U67" s="110">
        <f>COUNTIF(Spells!$D$2:$D$1001, "*"&amp;Validations!F26&amp;"*")</f>
        <v>2</v>
      </c>
    </row>
    <row r="68">
      <c r="T68" s="109" t="str">
        <f>Validations!F27</f>
        <v>Security</v>
      </c>
      <c r="U68" s="110">
        <f>COUNTIF(Spells!$D$2:$D$1001, "*"&amp;Validations!F27&amp;"*")</f>
        <v>2</v>
      </c>
    </row>
    <row r="69">
      <c r="T69" s="109" t="str">
        <f>Validations!F28</f>
        <v>Influence</v>
      </c>
      <c r="U69" s="110">
        <f>COUNTIF(Spells!$D$2:$D$1001, "*"&amp;Validations!F28&amp;"*")</f>
        <v>3</v>
      </c>
    </row>
    <row r="70">
      <c r="T70" s="109" t="str">
        <f>Validations!F29</f>
        <v>Wall</v>
      </c>
      <c r="U70" s="110">
        <f>COUNTIF(Spells!$D$2:$D$1001, "*"&amp;Validations!F29&amp;"*")</f>
        <v>3</v>
      </c>
    </row>
    <row r="71">
      <c r="T71" s="109" t="str">
        <f>Validations!F30</f>
        <v>Rework</v>
      </c>
      <c r="U71" s="110">
        <f>COUNTIF(Spells!$D$2:$D$1001, "*"&amp;Validations!F30&amp;"*")</f>
        <v>11</v>
      </c>
    </row>
    <row r="72">
      <c r="T72" s="109" t="str">
        <f>Validations!F31</f>
        <v>Rename</v>
      </c>
      <c r="U72" s="110">
        <f>COUNTIF(Spells!$D$2:$D$1001, "*"&amp;Validations!F31&amp;"*")</f>
        <v>2</v>
      </c>
    </row>
    <row r="73">
      <c r="T73" s="109" t="str">
        <f>Validations!F32</f>
        <v>Stealth</v>
      </c>
      <c r="U73" s="110">
        <f>COUNTIF(Spells!$D$2:$D$1001, "*"&amp;Validations!F32&amp;"*")</f>
        <v>7</v>
      </c>
    </row>
    <row r="74">
      <c r="T74" s="109" t="str">
        <f>Validations!F33</f>
        <v>Remove</v>
      </c>
      <c r="U74" s="110">
        <f>COUNTIF(Spells!$D$2:$D$1001, "*"&amp;Validations!F33&amp;"*")</f>
        <v>1</v>
      </c>
    </row>
    <row r="75">
      <c r="T75" s="109" t="str">
        <f>Validations!F34</f>
        <v>Control</v>
      </c>
      <c r="U75" s="110">
        <f>COUNTIF(Spells!$D$2:$D$1001, "*"&amp;Validations!F34&amp;"*")</f>
        <v>7</v>
      </c>
    </row>
    <row r="76">
      <c r="T76" s="109" t="str">
        <f>Validations!F35</f>
        <v>Multi-Target</v>
      </c>
      <c r="U76" s="110">
        <f>COUNTIF(Spells!$D$2:$D$1001, "*"&amp;Validations!F35&amp;"*")</f>
        <v>0</v>
      </c>
    </row>
    <row r="77">
      <c r="T77" s="109" t="str">
        <f>Validations!F36</f>
        <v>Movement</v>
      </c>
      <c r="U77" s="110">
        <f>COUNTIF(Spells!$D$2:$D$1001, "*"&amp;Validations!F36&amp;"*")</f>
        <v>0</v>
      </c>
    </row>
    <row r="78">
      <c r="T78" s="109" t="str">
        <f>Validations!F37</f>
        <v>Morph</v>
      </c>
      <c r="U78" s="110">
        <f>COUNTIF(Spells!$D$2:$D$1001, "*"&amp;Validations!F37&amp;"*")</f>
        <v>1</v>
      </c>
    </row>
    <row r="79">
      <c r="T79" s="109" t="str">
        <f>Validations!F38</f>
        <v>Stealth</v>
      </c>
      <c r="U79" s="110">
        <f>COUNTIF(Spells!$D$2:$D$1001, "*"&amp;Validations!F38&amp;"*")</f>
        <v>7</v>
      </c>
    </row>
    <row r="80">
      <c r="T80" s="109" t="str">
        <f>Validations!F39</f>
        <v>Transport</v>
      </c>
      <c r="U80" s="110">
        <f>COUNTIF(Spells!$D$2:$D$1001, "*"&amp;Validations!F39&amp;"*")</f>
        <v>3</v>
      </c>
    </row>
    <row r="81">
      <c r="T81" s="109" t="str">
        <f>Validations!F40</f>
        <v>Blood Pact</v>
      </c>
      <c r="U81" s="110">
        <f>COUNTIF(Spells!$D$2:$D$1001, "*"&amp;Validations!F40&amp;"*")</f>
        <v>1</v>
      </c>
    </row>
    <row r="82">
      <c r="T82" s="109" t="str">
        <f>Validations!F41</f>
        <v>Shoving</v>
      </c>
      <c r="U82" s="110">
        <f>COUNTIF(Spells!$D$2:$D$1001, "*"&amp;Validations!F41&amp;"*")</f>
        <v>1</v>
      </c>
    </row>
    <row r="83">
      <c r="T83" s="109" t="str">
        <f>Validations!F42</f>
        <v>Atomic</v>
      </c>
      <c r="U83" s="110">
        <f>COUNTIF(Spells!$D$2:$D$1001, "*"&amp;Validations!F42&amp;"*")</f>
        <v>2</v>
      </c>
    </row>
    <row r="84">
      <c r="T84" s="109" t="str">
        <f>Validations!F43</f>
        <v>Signal</v>
      </c>
      <c r="U84" s="110">
        <f>COUNTIF(Spells!$D$2:$D$1001, "*"&amp;Validations!F43&amp;"*")</f>
        <v>1</v>
      </c>
    </row>
    <row r="85">
      <c r="T85" s="109" t="str">
        <f>Validations!F44</f>
        <v>Bureaucratic</v>
      </c>
      <c r="U85" s="110">
        <f>COUNTIF(Spells!$D$2:$D$1001, "*"&amp;Validations!F44&amp;"*")</f>
        <v>2</v>
      </c>
    </row>
    <row r="86">
      <c r="T86" s="109" t="str">
        <f>Validations!F45</f>
        <v>Defense</v>
      </c>
      <c r="U86" s="110">
        <f>COUNTIF(Spells!$D$2:$D$1001, "*"&amp;Validations!F45&amp;"*")</f>
        <v>1</v>
      </c>
    </row>
    <row r="87">
      <c r="T87" s="109" t="str">
        <f>Validations!F46</f>
        <v>Crafting</v>
      </c>
      <c r="U87" s="110">
        <f>COUNTIF(Spells!$D$2:$D$1001, "*"&amp;Validations!F46&amp;"*")</f>
        <v>2</v>
      </c>
    </row>
    <row r="88">
      <c r="T88" s="109" t="str">
        <f>Validations!F47</f>
        <v>Horror</v>
      </c>
      <c r="U88" s="110">
        <f>COUNTIF(Spells!$D$2:$D$1001, "*"&amp;Validations!F47&amp;"*")</f>
        <v>1</v>
      </c>
    </row>
    <row r="89">
      <c r="T89" s="109" t="str">
        <f>Validations!F48</f>
        <v>Summon</v>
      </c>
    </row>
    <row r="90">
      <c r="T90" s="109" t="str">
        <f>Validations!F49</f>
        <v>Medical</v>
      </c>
    </row>
    <row r="91">
      <c r="T91" s="109" t="str">
        <f>Validations!F50</f>
        <v/>
      </c>
    </row>
    <row r="92">
      <c r="T92" s="109" t="str">
        <f>Validations!F51</f>
        <v/>
      </c>
    </row>
    <row r="93">
      <c r="T93" s="109" t="str">
        <f>Validations!F52</f>
        <v/>
      </c>
    </row>
    <row r="94">
      <c r="T94" s="109" t="str">
        <f>Validations!F53</f>
        <v/>
      </c>
    </row>
    <row r="95">
      <c r="T95" s="109" t="str">
        <f>Validations!F54</f>
        <v/>
      </c>
    </row>
    <row r="96">
      <c r="T96" s="109" t="str">
        <f>Validations!F55</f>
        <v/>
      </c>
    </row>
    <row r="97">
      <c r="T97" s="109" t="str">
        <f>Validations!F56</f>
        <v/>
      </c>
    </row>
    <row r="98">
      <c r="T98" s="109" t="str">
        <f>Validations!F57</f>
        <v/>
      </c>
    </row>
    <row r="99">
      <c r="T99" s="109" t="str">
        <f>Validations!F58</f>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1" t="s">
        <v>0</v>
      </c>
      <c r="B1" s="111" t="s">
        <v>6</v>
      </c>
      <c r="C1" s="111" t="s">
        <v>7</v>
      </c>
      <c r="D1" s="111" t="s">
        <v>28</v>
      </c>
      <c r="E1" s="111" t="s">
        <v>30</v>
      </c>
      <c r="F1" s="111" t="s">
        <v>40</v>
      </c>
      <c r="G1" s="111" t="s">
        <v>2371</v>
      </c>
      <c r="H1" s="111" t="s">
        <v>2001</v>
      </c>
      <c r="I1" s="111" t="s">
        <v>2018</v>
      </c>
      <c r="J1" s="111" t="s">
        <v>2312</v>
      </c>
      <c r="K1" s="111" t="s">
        <v>2372</v>
      </c>
      <c r="L1" s="111" t="s">
        <v>54</v>
      </c>
      <c r="M1" s="111" t="s">
        <v>39</v>
      </c>
      <c r="N1" s="111" t="s">
        <v>34</v>
      </c>
      <c r="O1" s="111" t="s">
        <v>2373</v>
      </c>
      <c r="P1" s="111" t="s">
        <v>19</v>
      </c>
      <c r="Q1" s="111" t="s">
        <v>2374</v>
      </c>
      <c r="R1" s="111" t="s">
        <v>2375</v>
      </c>
      <c r="S1" s="111" t="s">
        <v>2376</v>
      </c>
      <c r="T1" s="112" t="s">
        <v>2377</v>
      </c>
      <c r="U1" s="111" t="s">
        <v>2378</v>
      </c>
      <c r="V1" s="111" t="s">
        <v>123</v>
      </c>
      <c r="W1" s="111" t="s">
        <v>108</v>
      </c>
      <c r="X1" s="111" t="s">
        <v>130</v>
      </c>
      <c r="Y1" s="111" t="s">
        <v>570</v>
      </c>
      <c r="Z1" s="111" t="s">
        <v>443</v>
      </c>
      <c r="AA1" s="111" t="s">
        <v>199</v>
      </c>
      <c r="AB1" s="111" t="s">
        <v>75</v>
      </c>
      <c r="AC1" s="111" t="s">
        <v>250</v>
      </c>
    </row>
    <row r="2">
      <c r="A2" s="113" t="s">
        <v>2379</v>
      </c>
      <c r="B2" s="114" t="s">
        <v>64</v>
      </c>
      <c r="C2" s="114" t="s">
        <v>103</v>
      </c>
      <c r="D2" s="115"/>
      <c r="E2" s="114" t="s">
        <v>2380</v>
      </c>
      <c r="F2" s="114" t="s">
        <v>1174</v>
      </c>
      <c r="G2" s="114" t="s">
        <v>2381</v>
      </c>
      <c r="H2" s="114" t="s">
        <v>2001</v>
      </c>
      <c r="I2" s="114" t="s">
        <v>2018</v>
      </c>
      <c r="J2" s="115"/>
      <c r="K2" s="115"/>
      <c r="L2" s="115"/>
      <c r="M2" s="115"/>
      <c r="N2" s="114" t="s">
        <v>70</v>
      </c>
      <c r="O2" s="114" t="s">
        <v>2382</v>
      </c>
      <c r="P2" s="114" t="s">
        <v>2119</v>
      </c>
      <c r="Q2" s="114" t="s">
        <v>2383</v>
      </c>
      <c r="R2" s="114" t="s">
        <v>2384</v>
      </c>
      <c r="S2" s="114">
        <v>211.0</v>
      </c>
      <c r="T2" s="116" t="s">
        <v>2385</v>
      </c>
      <c r="U2" s="115"/>
      <c r="V2" s="115"/>
      <c r="W2" s="115"/>
      <c r="X2" s="115"/>
      <c r="Y2" s="115"/>
      <c r="Z2" s="115"/>
      <c r="AA2" s="114" t="s">
        <v>199</v>
      </c>
      <c r="AB2" s="114" t="s">
        <v>75</v>
      </c>
      <c r="AC2" s="115"/>
    </row>
    <row r="3">
      <c r="A3" s="113" t="s">
        <v>2386</v>
      </c>
      <c r="B3" s="114" t="s">
        <v>672</v>
      </c>
      <c r="C3" s="114" t="s">
        <v>178</v>
      </c>
      <c r="D3" s="115"/>
      <c r="E3" s="114" t="s">
        <v>2380</v>
      </c>
      <c r="F3" s="114" t="s">
        <v>2214</v>
      </c>
      <c r="G3" s="114" t="s">
        <v>2387</v>
      </c>
      <c r="H3" s="114" t="s">
        <v>2001</v>
      </c>
      <c r="I3" s="114" t="s">
        <v>2018</v>
      </c>
      <c r="J3" s="114" t="s">
        <v>2312</v>
      </c>
      <c r="K3" s="114" t="s">
        <v>2388</v>
      </c>
      <c r="L3" s="115"/>
      <c r="M3" s="115"/>
      <c r="N3" s="114" t="s">
        <v>1008</v>
      </c>
      <c r="O3" s="115"/>
      <c r="P3" s="115"/>
      <c r="Q3" s="114" t="s">
        <v>2389</v>
      </c>
      <c r="R3" s="114" t="s">
        <v>2384</v>
      </c>
      <c r="S3" s="114">
        <v>211.0</v>
      </c>
      <c r="T3" s="116" t="s">
        <v>2390</v>
      </c>
      <c r="U3" s="114" t="s">
        <v>2391</v>
      </c>
      <c r="V3" s="115"/>
      <c r="W3" s="114" t="s">
        <v>108</v>
      </c>
      <c r="X3" s="115"/>
      <c r="Y3" s="114" t="s">
        <v>570</v>
      </c>
      <c r="Z3" s="115"/>
      <c r="AA3" s="115"/>
      <c r="AB3" s="115"/>
      <c r="AC3" s="115"/>
    </row>
    <row r="4">
      <c r="A4" s="113" t="s">
        <v>2392</v>
      </c>
      <c r="B4" s="114" t="s">
        <v>444</v>
      </c>
      <c r="C4" s="114" t="s">
        <v>178</v>
      </c>
      <c r="D4" s="114" t="s">
        <v>28</v>
      </c>
      <c r="E4" s="114" t="s">
        <v>2222</v>
      </c>
      <c r="F4" s="114" t="s">
        <v>2214</v>
      </c>
      <c r="G4" s="114" t="s">
        <v>2393</v>
      </c>
      <c r="H4" s="114" t="s">
        <v>2001</v>
      </c>
      <c r="I4" s="114" t="s">
        <v>2018</v>
      </c>
      <c r="J4" s="114" t="s">
        <v>2312</v>
      </c>
      <c r="K4" s="114" t="s">
        <v>2394</v>
      </c>
      <c r="L4" s="115"/>
      <c r="M4" s="115"/>
      <c r="N4" s="114" t="s">
        <v>1008</v>
      </c>
      <c r="O4" s="115"/>
      <c r="P4" s="115"/>
      <c r="Q4" s="115"/>
      <c r="R4" s="114" t="s">
        <v>2384</v>
      </c>
      <c r="S4" s="114">
        <v>211.0</v>
      </c>
      <c r="T4" s="116" t="s">
        <v>2395</v>
      </c>
      <c r="U4" s="115"/>
      <c r="V4" s="115"/>
      <c r="W4" s="115"/>
      <c r="X4" s="115"/>
      <c r="Y4" s="115"/>
      <c r="Z4" s="114" t="s">
        <v>443</v>
      </c>
      <c r="AA4" s="114" t="s">
        <v>199</v>
      </c>
      <c r="AB4" s="115"/>
      <c r="AC4" s="115"/>
    </row>
    <row r="5">
      <c r="A5" s="113" t="s">
        <v>2396</v>
      </c>
      <c r="B5" s="114" t="s">
        <v>672</v>
      </c>
      <c r="C5" s="114" t="s">
        <v>85</v>
      </c>
      <c r="D5" s="115"/>
      <c r="E5" s="114" t="s">
        <v>2380</v>
      </c>
      <c r="F5" s="114" t="s">
        <v>78</v>
      </c>
      <c r="G5" s="114" t="s">
        <v>78</v>
      </c>
      <c r="H5" s="114" t="s">
        <v>2001</v>
      </c>
      <c r="I5" s="114" t="s">
        <v>2018</v>
      </c>
      <c r="J5" s="115"/>
      <c r="K5" s="115"/>
      <c r="L5" s="115"/>
      <c r="M5" s="114" t="s">
        <v>39</v>
      </c>
      <c r="N5" s="114" t="s">
        <v>2268</v>
      </c>
      <c r="O5" s="115"/>
      <c r="P5" s="115"/>
      <c r="Q5" s="115"/>
      <c r="R5" s="114" t="s">
        <v>2384</v>
      </c>
      <c r="S5" s="114">
        <v>211.0</v>
      </c>
      <c r="T5" s="116" t="s">
        <v>2397</v>
      </c>
      <c r="U5" s="115"/>
      <c r="V5" s="115"/>
      <c r="W5" s="115"/>
      <c r="X5" s="115"/>
      <c r="Y5" s="115"/>
      <c r="Z5" s="115"/>
      <c r="AA5" s="114" t="s">
        <v>199</v>
      </c>
      <c r="AB5" s="114" t="s">
        <v>75</v>
      </c>
      <c r="AC5" s="115"/>
    </row>
    <row r="6">
      <c r="A6" s="113" t="s">
        <v>2398</v>
      </c>
      <c r="B6" s="114" t="s">
        <v>444</v>
      </c>
      <c r="C6" s="114" t="s">
        <v>183</v>
      </c>
      <c r="D6" s="115"/>
      <c r="E6" s="114" t="s">
        <v>2380</v>
      </c>
      <c r="F6" s="114" t="s">
        <v>2214</v>
      </c>
      <c r="G6" s="114" t="s">
        <v>2399</v>
      </c>
      <c r="H6" s="114" t="s">
        <v>2001</v>
      </c>
      <c r="I6" s="114" t="s">
        <v>2018</v>
      </c>
      <c r="J6" s="114" t="s">
        <v>2312</v>
      </c>
      <c r="K6" s="114" t="s">
        <v>2400</v>
      </c>
      <c r="L6" s="115"/>
      <c r="M6" s="115"/>
      <c r="N6" s="114" t="s">
        <v>347</v>
      </c>
      <c r="O6" s="114" t="s">
        <v>2401</v>
      </c>
      <c r="P6" s="115"/>
      <c r="Q6" s="115"/>
      <c r="R6" s="114" t="s">
        <v>2384</v>
      </c>
      <c r="S6" s="114">
        <v>212.0</v>
      </c>
      <c r="T6" s="116" t="s">
        <v>2402</v>
      </c>
      <c r="U6" s="114" t="s">
        <v>2403</v>
      </c>
      <c r="V6" s="114" t="s">
        <v>123</v>
      </c>
      <c r="W6" s="114" t="s">
        <v>2404</v>
      </c>
      <c r="X6" s="114" t="s">
        <v>130</v>
      </c>
      <c r="Y6" s="115"/>
      <c r="Z6" s="114" t="s">
        <v>443</v>
      </c>
      <c r="AA6" s="115"/>
      <c r="AB6" s="115"/>
      <c r="AC6" s="115"/>
    </row>
    <row r="7">
      <c r="A7" s="113" t="s">
        <v>2405</v>
      </c>
      <c r="B7" s="114" t="s">
        <v>672</v>
      </c>
      <c r="C7" s="114" t="s">
        <v>183</v>
      </c>
      <c r="D7" s="114" t="s">
        <v>28</v>
      </c>
      <c r="E7" s="114" t="s">
        <v>2380</v>
      </c>
      <c r="F7" s="114" t="s">
        <v>2214</v>
      </c>
      <c r="G7" s="114" t="s">
        <v>2406</v>
      </c>
      <c r="H7" s="114" t="s">
        <v>2001</v>
      </c>
      <c r="I7" s="114" t="s">
        <v>2018</v>
      </c>
      <c r="J7" s="114" t="s">
        <v>2312</v>
      </c>
      <c r="K7" s="114" t="s">
        <v>2400</v>
      </c>
      <c r="L7" s="115"/>
      <c r="M7" s="115"/>
      <c r="N7" s="114" t="s">
        <v>347</v>
      </c>
      <c r="O7" s="115"/>
      <c r="P7" s="115"/>
      <c r="Q7" s="115"/>
      <c r="R7" s="114" t="s">
        <v>2384</v>
      </c>
      <c r="S7" s="114">
        <v>212.0</v>
      </c>
      <c r="T7" s="116" t="s">
        <v>2407</v>
      </c>
      <c r="U7" s="114" t="s">
        <v>2408</v>
      </c>
      <c r="V7" s="114" t="s">
        <v>123</v>
      </c>
      <c r="W7" s="115"/>
      <c r="X7" s="114" t="s">
        <v>130</v>
      </c>
      <c r="Y7" s="115"/>
      <c r="Z7" s="114" t="s">
        <v>443</v>
      </c>
      <c r="AA7" s="115"/>
      <c r="AB7" s="115"/>
      <c r="AC7" s="115"/>
    </row>
    <row r="8">
      <c r="A8" s="113" t="s">
        <v>2409</v>
      </c>
      <c r="B8" s="114" t="s">
        <v>1837</v>
      </c>
      <c r="C8" s="114" t="s">
        <v>85</v>
      </c>
      <c r="D8" s="115"/>
      <c r="E8" s="114" t="s">
        <v>2380</v>
      </c>
      <c r="F8" s="114" t="s">
        <v>2214</v>
      </c>
      <c r="G8" s="114" t="s">
        <v>2410</v>
      </c>
      <c r="H8" s="114" t="s">
        <v>2001</v>
      </c>
      <c r="I8" s="114" t="s">
        <v>2018</v>
      </c>
      <c r="J8" s="115"/>
      <c r="K8" s="115"/>
      <c r="L8" s="115"/>
      <c r="M8" s="114" t="s">
        <v>39</v>
      </c>
      <c r="N8" s="114" t="s">
        <v>347</v>
      </c>
      <c r="O8" s="115"/>
      <c r="P8" s="115"/>
      <c r="Q8" s="115"/>
      <c r="R8" s="114" t="s">
        <v>2384</v>
      </c>
      <c r="S8" s="114">
        <v>212.0</v>
      </c>
      <c r="T8" s="116" t="s">
        <v>2411</v>
      </c>
      <c r="U8" s="115"/>
      <c r="V8" s="115"/>
      <c r="W8" s="115"/>
      <c r="X8" s="114" t="s">
        <v>130</v>
      </c>
      <c r="Y8" s="115"/>
      <c r="Z8" s="115"/>
      <c r="AA8" s="115"/>
      <c r="AB8" s="115"/>
      <c r="AC8" s="115"/>
    </row>
    <row r="9">
      <c r="A9" s="113" t="s">
        <v>2412</v>
      </c>
      <c r="B9" s="114" t="s">
        <v>945</v>
      </c>
      <c r="C9" s="114" t="s">
        <v>140</v>
      </c>
      <c r="D9" s="115"/>
      <c r="E9" s="114" t="s">
        <v>2222</v>
      </c>
      <c r="F9" s="114" t="s">
        <v>2413</v>
      </c>
      <c r="G9" s="114" t="s">
        <v>2414</v>
      </c>
      <c r="H9" s="114" t="s">
        <v>2001</v>
      </c>
      <c r="I9" s="114" t="s">
        <v>2018</v>
      </c>
      <c r="J9" s="114" t="s">
        <v>2312</v>
      </c>
      <c r="K9" s="114" t="s">
        <v>2415</v>
      </c>
      <c r="L9" s="115"/>
      <c r="M9" s="115"/>
      <c r="N9" s="114" t="s">
        <v>70</v>
      </c>
      <c r="O9" s="115"/>
      <c r="P9" s="115"/>
      <c r="Q9" s="115"/>
      <c r="R9" s="114" t="s">
        <v>2384</v>
      </c>
      <c r="S9" s="114">
        <v>212.0</v>
      </c>
      <c r="T9" s="116" t="s">
        <v>2416</v>
      </c>
      <c r="U9" s="114" t="s">
        <v>2417</v>
      </c>
      <c r="V9" s="115"/>
      <c r="W9" s="114" t="s">
        <v>108</v>
      </c>
      <c r="X9" s="115"/>
      <c r="Y9" s="114" t="s">
        <v>2418</v>
      </c>
      <c r="Z9" s="115"/>
      <c r="AA9" s="114" t="s">
        <v>199</v>
      </c>
      <c r="AB9" s="115"/>
      <c r="AC9" s="115"/>
    </row>
    <row r="10">
      <c r="A10" s="113" t="s">
        <v>2419</v>
      </c>
      <c r="B10" s="114" t="s">
        <v>1452</v>
      </c>
      <c r="C10" s="114" t="s">
        <v>85</v>
      </c>
      <c r="D10" s="115"/>
      <c r="E10" s="114" t="s">
        <v>2380</v>
      </c>
      <c r="F10" s="114" t="s">
        <v>2223</v>
      </c>
      <c r="G10" s="114" t="s">
        <v>2420</v>
      </c>
      <c r="H10" s="114" t="s">
        <v>2001</v>
      </c>
      <c r="I10" s="114" t="s">
        <v>2018</v>
      </c>
      <c r="J10" s="115"/>
      <c r="K10" s="115"/>
      <c r="L10" s="115"/>
      <c r="M10" s="114" t="s">
        <v>39</v>
      </c>
      <c r="N10" s="114" t="s">
        <v>2222</v>
      </c>
      <c r="O10" s="115"/>
      <c r="P10" s="115"/>
      <c r="Q10" s="115"/>
      <c r="R10" s="114" t="s">
        <v>2384</v>
      </c>
      <c r="S10" s="114">
        <v>213.0</v>
      </c>
      <c r="T10" s="116" t="s">
        <v>2421</v>
      </c>
      <c r="U10" s="114" t="s">
        <v>2422</v>
      </c>
      <c r="V10" s="114" t="s">
        <v>123</v>
      </c>
      <c r="W10" s="115"/>
      <c r="X10" s="115"/>
      <c r="Y10" s="115"/>
      <c r="Z10" s="115"/>
      <c r="AA10" s="114" t="s">
        <v>199</v>
      </c>
      <c r="AB10" s="114" t="s">
        <v>75</v>
      </c>
      <c r="AC10" s="115"/>
    </row>
    <row r="11">
      <c r="A11" s="113" t="s">
        <v>2423</v>
      </c>
      <c r="B11" s="114" t="s">
        <v>1452</v>
      </c>
      <c r="C11" s="114" t="s">
        <v>178</v>
      </c>
      <c r="D11" s="115"/>
      <c r="E11" s="114" t="s">
        <v>2380</v>
      </c>
      <c r="F11" s="114" t="s">
        <v>2424</v>
      </c>
      <c r="G11" s="114" t="s">
        <v>78</v>
      </c>
      <c r="H11" s="114" t="s">
        <v>2001</v>
      </c>
      <c r="I11" s="114" t="s">
        <v>2018</v>
      </c>
      <c r="J11" s="115"/>
      <c r="K11" s="115"/>
      <c r="L11" s="115"/>
      <c r="M11" s="114" t="s">
        <v>39</v>
      </c>
      <c r="N11" s="114" t="s">
        <v>2268</v>
      </c>
      <c r="O11" s="115"/>
      <c r="P11" s="115"/>
      <c r="Q11" s="115"/>
      <c r="R11" s="114" t="s">
        <v>2384</v>
      </c>
      <c r="S11" s="114">
        <v>213.0</v>
      </c>
      <c r="T11" s="116" t="s">
        <v>2425</v>
      </c>
      <c r="U11" s="115"/>
      <c r="V11" s="115"/>
      <c r="W11" s="114" t="s">
        <v>2426</v>
      </c>
      <c r="X11" s="114" t="s">
        <v>130</v>
      </c>
      <c r="Y11" s="115"/>
      <c r="Z11" s="115"/>
      <c r="AA11" s="115"/>
      <c r="AB11" s="115"/>
      <c r="AC11" s="115"/>
    </row>
    <row r="12">
      <c r="A12" s="113" t="s">
        <v>2427</v>
      </c>
      <c r="B12" s="114" t="s">
        <v>1837</v>
      </c>
      <c r="C12" s="114" t="s">
        <v>178</v>
      </c>
      <c r="D12" s="115"/>
      <c r="E12" s="114" t="s">
        <v>2380</v>
      </c>
      <c r="F12" s="114" t="s">
        <v>2424</v>
      </c>
      <c r="G12" s="114" t="s">
        <v>78</v>
      </c>
      <c r="H12" s="114" t="s">
        <v>2001</v>
      </c>
      <c r="I12" s="114" t="s">
        <v>2018</v>
      </c>
      <c r="J12" s="114" t="s">
        <v>2312</v>
      </c>
      <c r="K12" s="114" t="s">
        <v>2428</v>
      </c>
      <c r="L12" s="115"/>
      <c r="M12" s="114" t="s">
        <v>39</v>
      </c>
      <c r="N12" s="114" t="s">
        <v>2268</v>
      </c>
      <c r="O12" s="115"/>
      <c r="P12" s="115"/>
      <c r="Q12" s="115"/>
      <c r="R12" s="114" t="s">
        <v>2384</v>
      </c>
      <c r="S12" s="114">
        <v>213.0</v>
      </c>
      <c r="T12" s="116" t="s">
        <v>2429</v>
      </c>
      <c r="U12" s="115"/>
      <c r="V12" s="115"/>
      <c r="W12" s="114" t="s">
        <v>108</v>
      </c>
      <c r="X12" s="115"/>
      <c r="Y12" s="115"/>
      <c r="Z12" s="115"/>
      <c r="AA12" s="114" t="s">
        <v>199</v>
      </c>
      <c r="AB12" s="115"/>
      <c r="AC12" s="115"/>
    </row>
    <row r="13">
      <c r="A13" s="113" t="s">
        <v>2430</v>
      </c>
      <c r="B13" s="114" t="s">
        <v>1837</v>
      </c>
      <c r="C13" s="114" t="s">
        <v>183</v>
      </c>
      <c r="D13" s="115"/>
      <c r="E13" s="114" t="s">
        <v>2268</v>
      </c>
      <c r="F13" s="114" t="s">
        <v>1174</v>
      </c>
      <c r="G13" s="114" t="s">
        <v>2431</v>
      </c>
      <c r="H13" s="114" t="s">
        <v>2001</v>
      </c>
      <c r="I13" s="114" t="s">
        <v>2018</v>
      </c>
      <c r="J13" s="114" t="s">
        <v>2312</v>
      </c>
      <c r="K13" s="114" t="s">
        <v>2432</v>
      </c>
      <c r="L13" s="115"/>
      <c r="M13" s="115"/>
      <c r="N13" s="114" t="s">
        <v>2433</v>
      </c>
      <c r="O13" s="114" t="s">
        <v>2401</v>
      </c>
      <c r="P13" s="115"/>
      <c r="Q13" s="115"/>
      <c r="R13" s="114" t="s">
        <v>2384</v>
      </c>
      <c r="S13" s="114">
        <v>214.0</v>
      </c>
      <c r="T13" s="116" t="s">
        <v>2434</v>
      </c>
      <c r="U13" s="115"/>
      <c r="V13" s="115"/>
      <c r="W13" s="115"/>
      <c r="X13" s="114" t="s">
        <v>130</v>
      </c>
      <c r="Y13" s="115"/>
      <c r="Z13" s="115"/>
      <c r="AA13" s="114" t="s">
        <v>199</v>
      </c>
      <c r="AB13" s="115"/>
      <c r="AC13" s="115"/>
    </row>
    <row r="14">
      <c r="A14" s="113" t="s">
        <v>2435</v>
      </c>
      <c r="B14" s="114" t="s">
        <v>1223</v>
      </c>
      <c r="C14" s="114" t="s">
        <v>144</v>
      </c>
      <c r="D14" s="115"/>
      <c r="E14" s="114" t="s">
        <v>2380</v>
      </c>
      <c r="F14" s="114" t="s">
        <v>2214</v>
      </c>
      <c r="G14" s="115"/>
      <c r="H14" s="114" t="s">
        <v>2001</v>
      </c>
      <c r="I14" s="114" t="s">
        <v>2018</v>
      </c>
      <c r="J14" s="114" t="s">
        <v>2312</v>
      </c>
      <c r="K14" s="114" t="s">
        <v>2436</v>
      </c>
      <c r="L14" s="115"/>
      <c r="M14" s="114" t="s">
        <v>39</v>
      </c>
      <c r="N14" s="114" t="s">
        <v>2268</v>
      </c>
      <c r="O14" s="115"/>
      <c r="P14" s="115"/>
      <c r="Q14" s="115"/>
      <c r="R14" s="114" t="s">
        <v>2384</v>
      </c>
      <c r="S14" s="114">
        <v>214.0</v>
      </c>
      <c r="T14" s="116" t="s">
        <v>2437</v>
      </c>
      <c r="U14" s="115"/>
      <c r="V14" s="115"/>
      <c r="W14" s="114" t="s">
        <v>2438</v>
      </c>
      <c r="X14" s="115"/>
      <c r="Y14" s="115"/>
      <c r="Z14" s="115"/>
      <c r="AA14" s="114" t="s">
        <v>199</v>
      </c>
      <c r="AB14" s="115"/>
      <c r="AC14" s="115"/>
    </row>
    <row r="15">
      <c r="A15" s="113" t="s">
        <v>2439</v>
      </c>
      <c r="B15" s="114" t="s">
        <v>1594</v>
      </c>
      <c r="C15" s="114" t="s">
        <v>103</v>
      </c>
      <c r="D15" s="115"/>
      <c r="E15" s="114" t="s">
        <v>2380</v>
      </c>
      <c r="F15" s="114" t="s">
        <v>2187</v>
      </c>
      <c r="G15" s="114" t="s">
        <v>2440</v>
      </c>
      <c r="H15" s="114" t="s">
        <v>2001</v>
      </c>
      <c r="I15" s="114" t="s">
        <v>2018</v>
      </c>
      <c r="J15" s="115"/>
      <c r="K15" s="115"/>
      <c r="L15" s="115"/>
      <c r="M15" s="114" t="s">
        <v>39</v>
      </c>
      <c r="N15" s="114" t="s">
        <v>134</v>
      </c>
      <c r="O15" s="115"/>
      <c r="P15" s="115"/>
      <c r="Q15" s="115"/>
      <c r="R15" s="114" t="s">
        <v>2384</v>
      </c>
      <c r="S15" s="114">
        <v>214.0</v>
      </c>
      <c r="T15" s="116" t="s">
        <v>2441</v>
      </c>
      <c r="U15" s="115"/>
      <c r="V15" s="115"/>
      <c r="W15" s="115"/>
      <c r="X15" s="115"/>
      <c r="Y15" s="115"/>
      <c r="Z15" s="115"/>
      <c r="AA15" s="114" t="s">
        <v>199</v>
      </c>
      <c r="AB15" s="114" t="s">
        <v>75</v>
      </c>
      <c r="AC15" s="114" t="s">
        <v>250</v>
      </c>
    </row>
    <row r="16">
      <c r="A16" s="113" t="s">
        <v>2442</v>
      </c>
      <c r="B16" s="114" t="s">
        <v>672</v>
      </c>
      <c r="C16" s="114" t="s">
        <v>178</v>
      </c>
      <c r="D16" s="115"/>
      <c r="E16" s="114" t="s">
        <v>2380</v>
      </c>
      <c r="F16" s="114" t="s">
        <v>71</v>
      </c>
      <c r="G16" s="114" t="s">
        <v>2443</v>
      </c>
      <c r="H16" s="114" t="s">
        <v>2001</v>
      </c>
      <c r="I16" s="114" t="s">
        <v>2018</v>
      </c>
      <c r="J16" s="114" t="s">
        <v>2312</v>
      </c>
      <c r="K16" s="114" t="s">
        <v>2444</v>
      </c>
      <c r="L16" s="114" t="s">
        <v>2445</v>
      </c>
      <c r="M16" s="115"/>
      <c r="N16" s="114" t="s">
        <v>2446</v>
      </c>
      <c r="O16" s="115"/>
      <c r="P16" s="115"/>
      <c r="Q16" s="115"/>
      <c r="R16" s="114" t="s">
        <v>2384</v>
      </c>
      <c r="S16" s="114">
        <v>215.0</v>
      </c>
      <c r="T16" s="116" t="s">
        <v>2447</v>
      </c>
      <c r="U16" s="115"/>
      <c r="V16" s="115"/>
      <c r="W16" s="115"/>
      <c r="X16" s="115"/>
      <c r="Y16" s="115"/>
      <c r="Z16" s="115"/>
      <c r="AA16" s="114" t="s">
        <v>199</v>
      </c>
      <c r="AB16" s="115"/>
      <c r="AC16" s="115"/>
    </row>
    <row r="17">
      <c r="A17" s="113" t="s">
        <v>2448</v>
      </c>
      <c r="B17" s="114" t="s">
        <v>444</v>
      </c>
      <c r="C17" s="114" t="s">
        <v>178</v>
      </c>
      <c r="D17" s="115"/>
      <c r="E17" s="114" t="s">
        <v>2380</v>
      </c>
      <c r="F17" s="114" t="s">
        <v>78</v>
      </c>
      <c r="G17" s="114" t="s">
        <v>78</v>
      </c>
      <c r="H17" s="114" t="s">
        <v>2001</v>
      </c>
      <c r="I17" s="114" t="s">
        <v>2018</v>
      </c>
      <c r="J17" s="114" t="s">
        <v>2312</v>
      </c>
      <c r="K17" s="114" t="s">
        <v>2449</v>
      </c>
      <c r="L17" s="115"/>
      <c r="M17" s="115"/>
      <c r="N17" s="114" t="s">
        <v>2268</v>
      </c>
      <c r="O17" s="115"/>
      <c r="P17" s="114" t="s">
        <v>2066</v>
      </c>
      <c r="Q17" s="114" t="s">
        <v>2450</v>
      </c>
      <c r="R17" s="114" t="s">
        <v>2384</v>
      </c>
      <c r="S17" s="114">
        <v>215.0</v>
      </c>
      <c r="T17" s="116" t="s">
        <v>2451</v>
      </c>
      <c r="U17" s="114" t="s">
        <v>2452</v>
      </c>
      <c r="V17" s="115"/>
      <c r="W17" s="115"/>
      <c r="X17" s="115"/>
      <c r="Y17" s="115"/>
      <c r="Z17" s="115"/>
      <c r="AA17" s="115"/>
      <c r="AB17" s="115"/>
      <c r="AC17" s="114" t="s">
        <v>250</v>
      </c>
    </row>
    <row r="18">
      <c r="A18" s="113" t="s">
        <v>2453</v>
      </c>
      <c r="B18" s="114" t="s">
        <v>444</v>
      </c>
      <c r="C18" s="114" t="s">
        <v>103</v>
      </c>
      <c r="D18" s="115"/>
      <c r="E18" s="114" t="s">
        <v>2380</v>
      </c>
      <c r="F18" s="114" t="s">
        <v>78</v>
      </c>
      <c r="G18" s="114" t="s">
        <v>2424</v>
      </c>
      <c r="H18" s="114" t="s">
        <v>2001</v>
      </c>
      <c r="I18" s="114" t="s">
        <v>2018</v>
      </c>
      <c r="J18" s="115"/>
      <c r="K18" s="115"/>
      <c r="L18" s="115"/>
      <c r="M18" s="115"/>
      <c r="N18" s="114" t="s">
        <v>70</v>
      </c>
      <c r="O18" s="114" t="s">
        <v>2454</v>
      </c>
      <c r="P18" s="114" t="s">
        <v>2039</v>
      </c>
      <c r="Q18" s="114" t="s">
        <v>2455</v>
      </c>
      <c r="R18" s="114" t="s">
        <v>2384</v>
      </c>
      <c r="S18" s="114">
        <v>215.0</v>
      </c>
      <c r="T18" s="116" t="s">
        <v>2456</v>
      </c>
      <c r="U18" s="114" t="s">
        <v>2457</v>
      </c>
      <c r="V18" s="115"/>
      <c r="W18" s="115"/>
      <c r="X18" s="115"/>
      <c r="Y18" s="115"/>
      <c r="Z18" s="115"/>
      <c r="AA18" s="115"/>
      <c r="AB18" s="115"/>
      <c r="AC18" s="114" t="s">
        <v>250</v>
      </c>
    </row>
    <row r="19">
      <c r="A19" s="113" t="s">
        <v>2458</v>
      </c>
      <c r="B19" s="114" t="s">
        <v>1919</v>
      </c>
      <c r="C19" s="114" t="s">
        <v>140</v>
      </c>
      <c r="D19" s="115"/>
      <c r="E19" s="114" t="s">
        <v>2268</v>
      </c>
      <c r="F19" s="114" t="s">
        <v>2413</v>
      </c>
      <c r="G19" s="114" t="s">
        <v>2459</v>
      </c>
      <c r="H19" s="114" t="s">
        <v>2001</v>
      </c>
      <c r="I19" s="114" t="s">
        <v>2018</v>
      </c>
      <c r="J19" s="114" t="s">
        <v>2312</v>
      </c>
      <c r="K19" s="114" t="s">
        <v>2460</v>
      </c>
      <c r="L19" s="114" t="s">
        <v>2461</v>
      </c>
      <c r="M19" s="115"/>
      <c r="N19" s="114" t="s">
        <v>789</v>
      </c>
      <c r="O19" s="115"/>
      <c r="P19" s="115"/>
      <c r="Q19" s="115"/>
      <c r="R19" s="114" t="s">
        <v>2384</v>
      </c>
      <c r="S19" s="114">
        <v>215.0</v>
      </c>
      <c r="T19" s="116" t="s">
        <v>2462</v>
      </c>
      <c r="U19" s="115"/>
      <c r="V19" s="115"/>
      <c r="W19" s="114" t="s">
        <v>108</v>
      </c>
      <c r="X19" s="115"/>
      <c r="Y19" s="115"/>
      <c r="Z19" s="115"/>
      <c r="AA19" s="114" t="s">
        <v>199</v>
      </c>
      <c r="AB19" s="115"/>
      <c r="AC19" s="114" t="s">
        <v>250</v>
      </c>
    </row>
    <row r="20">
      <c r="A20" s="113" t="s">
        <v>2463</v>
      </c>
      <c r="B20" s="114" t="s">
        <v>672</v>
      </c>
      <c r="C20" s="114" t="s">
        <v>144</v>
      </c>
      <c r="D20" s="114" t="s">
        <v>28</v>
      </c>
      <c r="E20" s="114" t="s">
        <v>2222</v>
      </c>
      <c r="F20" s="114" t="s">
        <v>78</v>
      </c>
      <c r="G20" s="114" t="s">
        <v>78</v>
      </c>
      <c r="H20" s="114" t="s">
        <v>2001</v>
      </c>
      <c r="I20" s="114" t="s">
        <v>2018</v>
      </c>
      <c r="J20" s="114" t="s">
        <v>2312</v>
      </c>
      <c r="K20" s="114" t="s">
        <v>2464</v>
      </c>
      <c r="L20" s="114" t="s">
        <v>2445</v>
      </c>
      <c r="M20" s="115"/>
      <c r="N20" s="114" t="s">
        <v>70</v>
      </c>
      <c r="O20" s="115"/>
      <c r="P20" s="115"/>
      <c r="Q20" s="115"/>
      <c r="R20" s="114" t="s">
        <v>2384</v>
      </c>
      <c r="S20" s="114">
        <v>215.0</v>
      </c>
      <c r="T20" s="116" t="s">
        <v>2465</v>
      </c>
      <c r="U20" s="115"/>
      <c r="V20" s="115"/>
      <c r="W20" s="114" t="s">
        <v>108</v>
      </c>
      <c r="X20" s="115"/>
      <c r="Y20" s="115"/>
      <c r="Z20" s="115"/>
      <c r="AA20" s="115"/>
      <c r="AB20" s="115"/>
      <c r="AC20" s="115"/>
    </row>
    <row r="21">
      <c r="A21" s="113" t="s">
        <v>2466</v>
      </c>
      <c r="B21" s="114" t="s">
        <v>1223</v>
      </c>
      <c r="C21" s="114" t="s">
        <v>178</v>
      </c>
      <c r="D21" s="115"/>
      <c r="E21" s="114" t="s">
        <v>2380</v>
      </c>
      <c r="F21" s="114" t="s">
        <v>78</v>
      </c>
      <c r="G21" s="114" t="s">
        <v>913</v>
      </c>
      <c r="H21" s="114" t="s">
        <v>2001</v>
      </c>
      <c r="I21" s="115"/>
      <c r="J21" s="115"/>
      <c r="K21" s="115"/>
      <c r="L21" s="115"/>
      <c r="M21" s="114" t="s">
        <v>39</v>
      </c>
      <c r="N21" s="114" t="s">
        <v>134</v>
      </c>
      <c r="O21" s="115"/>
      <c r="P21" s="115"/>
      <c r="Q21" s="115"/>
      <c r="R21" s="114" t="s">
        <v>2384</v>
      </c>
      <c r="S21" s="114">
        <v>216.0</v>
      </c>
      <c r="T21" s="116" t="s">
        <v>2467</v>
      </c>
      <c r="U21" s="115"/>
      <c r="V21" s="115"/>
      <c r="W21" s="115"/>
      <c r="X21" s="115"/>
      <c r="Y21" s="114" t="s">
        <v>570</v>
      </c>
      <c r="Z21" s="115"/>
      <c r="AA21" s="115"/>
      <c r="AB21" s="115"/>
      <c r="AC21" s="115"/>
    </row>
    <row r="22">
      <c r="A22" s="113" t="s">
        <v>2468</v>
      </c>
      <c r="B22" s="114" t="s">
        <v>1223</v>
      </c>
      <c r="C22" s="114" t="s">
        <v>178</v>
      </c>
      <c r="D22" s="115"/>
      <c r="E22" s="114" t="s">
        <v>2380</v>
      </c>
      <c r="F22" s="114" t="s">
        <v>78</v>
      </c>
      <c r="G22" s="114" t="s">
        <v>913</v>
      </c>
      <c r="H22" s="114" t="s">
        <v>2001</v>
      </c>
      <c r="I22" s="115"/>
      <c r="J22" s="115"/>
      <c r="K22" s="115"/>
      <c r="L22" s="115"/>
      <c r="M22" s="114" t="s">
        <v>39</v>
      </c>
      <c r="N22" s="114" t="s">
        <v>134</v>
      </c>
      <c r="O22" s="115"/>
      <c r="P22" s="115"/>
      <c r="Q22" s="115"/>
      <c r="R22" s="114" t="s">
        <v>2384</v>
      </c>
      <c r="S22" s="114">
        <v>216.0</v>
      </c>
      <c r="T22" s="116" t="s">
        <v>2469</v>
      </c>
      <c r="U22" s="115"/>
      <c r="V22" s="115"/>
      <c r="W22" s="115"/>
      <c r="X22" s="115"/>
      <c r="Y22" s="114" t="s">
        <v>570</v>
      </c>
      <c r="Z22" s="115"/>
      <c r="AA22" s="115"/>
      <c r="AB22" s="115"/>
      <c r="AC22" s="115"/>
    </row>
    <row r="23">
      <c r="A23" s="113" t="s">
        <v>2470</v>
      </c>
      <c r="B23" s="114" t="s">
        <v>945</v>
      </c>
      <c r="C23" s="114" t="s">
        <v>76</v>
      </c>
      <c r="D23" s="115"/>
      <c r="E23" s="114" t="s">
        <v>2380</v>
      </c>
      <c r="F23" s="114" t="s">
        <v>78</v>
      </c>
      <c r="G23" s="114" t="s">
        <v>913</v>
      </c>
      <c r="H23" s="114" t="s">
        <v>2001</v>
      </c>
      <c r="I23" s="115"/>
      <c r="J23" s="115"/>
      <c r="K23" s="115"/>
      <c r="L23" s="115"/>
      <c r="M23" s="114" t="s">
        <v>39</v>
      </c>
      <c r="N23" s="114" t="s">
        <v>2222</v>
      </c>
      <c r="O23" s="115"/>
      <c r="P23" s="115"/>
      <c r="Q23" s="114" t="s">
        <v>2471</v>
      </c>
      <c r="R23" s="114" t="s">
        <v>2384</v>
      </c>
      <c r="S23" s="114">
        <v>216.0</v>
      </c>
      <c r="T23" s="116" t="s">
        <v>2472</v>
      </c>
      <c r="U23" s="115"/>
      <c r="V23" s="115"/>
      <c r="W23" s="115"/>
      <c r="X23" s="115"/>
      <c r="Y23" s="114" t="s">
        <v>570</v>
      </c>
      <c r="Z23" s="115"/>
      <c r="AA23" s="115"/>
      <c r="AB23" s="115"/>
      <c r="AC23" s="115"/>
    </row>
    <row r="24">
      <c r="A24" s="113" t="s">
        <v>2473</v>
      </c>
      <c r="B24" s="114" t="s">
        <v>1452</v>
      </c>
      <c r="C24" s="114" t="s">
        <v>85</v>
      </c>
      <c r="D24" s="115"/>
      <c r="E24" s="114" t="s">
        <v>1008</v>
      </c>
      <c r="F24" s="114" t="s">
        <v>71</v>
      </c>
      <c r="G24" s="114" t="s">
        <v>2474</v>
      </c>
      <c r="H24" s="114" t="s">
        <v>2001</v>
      </c>
      <c r="I24" s="114" t="s">
        <v>2018</v>
      </c>
      <c r="J24" s="114" t="s">
        <v>2312</v>
      </c>
      <c r="K24" s="114" t="s">
        <v>2475</v>
      </c>
      <c r="L24" s="114" t="s">
        <v>2476</v>
      </c>
      <c r="M24" s="115"/>
      <c r="N24" s="114" t="s">
        <v>70</v>
      </c>
      <c r="O24" s="115"/>
      <c r="P24" s="115"/>
      <c r="Q24" s="115"/>
      <c r="R24" s="114" t="s">
        <v>2384</v>
      </c>
      <c r="S24" s="114">
        <v>216.0</v>
      </c>
      <c r="T24" s="116" t="s">
        <v>2477</v>
      </c>
      <c r="U24" s="115"/>
      <c r="V24" s="114" t="s">
        <v>123</v>
      </c>
      <c r="W24" s="115"/>
      <c r="X24" s="114" t="s">
        <v>130</v>
      </c>
      <c r="Y24" s="115"/>
      <c r="Z24" s="115"/>
      <c r="AA24" s="115"/>
      <c r="AB24" s="115"/>
      <c r="AC24" s="115"/>
    </row>
    <row r="25">
      <c r="A25" s="113" t="s">
        <v>2478</v>
      </c>
      <c r="B25" s="114" t="s">
        <v>444</v>
      </c>
      <c r="C25" s="114" t="s">
        <v>183</v>
      </c>
      <c r="D25" s="115"/>
      <c r="E25" s="114" t="s">
        <v>2380</v>
      </c>
      <c r="F25" s="114" t="s">
        <v>2214</v>
      </c>
      <c r="G25" s="114" t="s">
        <v>2479</v>
      </c>
      <c r="H25" s="114" t="s">
        <v>2001</v>
      </c>
      <c r="I25" s="114" t="s">
        <v>2018</v>
      </c>
      <c r="J25" s="114" t="s">
        <v>2312</v>
      </c>
      <c r="K25" s="114" t="s">
        <v>2480</v>
      </c>
      <c r="L25" s="115"/>
      <c r="M25" s="114" t="s">
        <v>39</v>
      </c>
      <c r="N25" s="114" t="s">
        <v>2222</v>
      </c>
      <c r="O25" s="114" t="s">
        <v>2481</v>
      </c>
      <c r="P25" s="115"/>
      <c r="Q25" s="115"/>
      <c r="R25" s="114" t="s">
        <v>2384</v>
      </c>
      <c r="S25" s="114">
        <v>216.0</v>
      </c>
      <c r="T25" s="116" t="s">
        <v>2482</v>
      </c>
      <c r="U25" s="114" t="s">
        <v>2483</v>
      </c>
      <c r="V25" s="114" t="s">
        <v>123</v>
      </c>
      <c r="W25" s="114" t="s">
        <v>108</v>
      </c>
      <c r="X25" s="115"/>
      <c r="Y25" s="114" t="s">
        <v>2484</v>
      </c>
      <c r="Z25" s="115"/>
      <c r="AA25" s="115"/>
      <c r="AB25" s="115"/>
      <c r="AC25" s="115"/>
    </row>
    <row r="26">
      <c r="A26" s="113" t="s">
        <v>2485</v>
      </c>
      <c r="B26" s="114" t="s">
        <v>1452</v>
      </c>
      <c r="C26" s="114" t="s">
        <v>178</v>
      </c>
      <c r="D26" s="115"/>
      <c r="E26" s="114" t="s">
        <v>2486</v>
      </c>
      <c r="F26" s="114" t="s">
        <v>78</v>
      </c>
      <c r="G26" s="114" t="s">
        <v>78</v>
      </c>
      <c r="H26" s="114" t="s">
        <v>2001</v>
      </c>
      <c r="I26" s="115"/>
      <c r="J26" s="115"/>
      <c r="K26" s="115"/>
      <c r="L26" s="115"/>
      <c r="M26" s="114" t="s">
        <v>39</v>
      </c>
      <c r="N26" s="114" t="s">
        <v>2222</v>
      </c>
      <c r="O26" s="114" t="s">
        <v>2487</v>
      </c>
      <c r="P26" s="114" t="s">
        <v>2076</v>
      </c>
      <c r="Q26" s="114" t="s">
        <v>2488</v>
      </c>
      <c r="R26" s="114" t="s">
        <v>2384</v>
      </c>
      <c r="S26" s="114">
        <v>216.0</v>
      </c>
      <c r="T26" s="116" t="s">
        <v>2489</v>
      </c>
      <c r="U26" s="115"/>
      <c r="V26" s="115"/>
      <c r="W26" s="115"/>
      <c r="X26" s="115"/>
      <c r="Y26" s="114" t="s">
        <v>570</v>
      </c>
      <c r="Z26" s="115"/>
      <c r="AA26" s="115"/>
      <c r="AB26" s="115"/>
      <c r="AC26" s="115"/>
    </row>
    <row r="27">
      <c r="A27" s="113" t="s">
        <v>2490</v>
      </c>
      <c r="B27" s="114" t="s">
        <v>1223</v>
      </c>
      <c r="C27" s="114" t="s">
        <v>178</v>
      </c>
      <c r="D27" s="115"/>
      <c r="E27" s="114" t="s">
        <v>2380</v>
      </c>
      <c r="F27" s="114" t="s">
        <v>1174</v>
      </c>
      <c r="G27" s="114" t="s">
        <v>2491</v>
      </c>
      <c r="H27" s="114" t="s">
        <v>2001</v>
      </c>
      <c r="I27" s="114" t="s">
        <v>2018</v>
      </c>
      <c r="J27" s="114" t="s">
        <v>2312</v>
      </c>
      <c r="K27" s="114" t="s">
        <v>2492</v>
      </c>
      <c r="L27" s="115"/>
      <c r="M27" s="114" t="s">
        <v>39</v>
      </c>
      <c r="N27" s="114" t="s">
        <v>2222</v>
      </c>
      <c r="O27" s="114" t="s">
        <v>2481</v>
      </c>
      <c r="P27" s="115"/>
      <c r="Q27" s="115"/>
      <c r="R27" s="114" t="s">
        <v>2384</v>
      </c>
      <c r="S27" s="114">
        <v>217.0</v>
      </c>
      <c r="T27" s="116" t="s">
        <v>2493</v>
      </c>
      <c r="U27" s="114" t="s">
        <v>2483</v>
      </c>
      <c r="V27" s="115"/>
      <c r="W27" s="114" t="s">
        <v>108</v>
      </c>
      <c r="X27" s="115"/>
      <c r="Y27" s="114" t="s">
        <v>570</v>
      </c>
      <c r="Z27" s="115"/>
      <c r="AA27" s="114" t="s">
        <v>199</v>
      </c>
      <c r="AB27" s="114" t="s">
        <v>75</v>
      </c>
      <c r="AC27" s="114" t="s">
        <v>250</v>
      </c>
    </row>
    <row r="28">
      <c r="A28" s="113" t="s">
        <v>2494</v>
      </c>
      <c r="B28" s="114" t="s">
        <v>672</v>
      </c>
      <c r="C28" s="114" t="s">
        <v>85</v>
      </c>
      <c r="D28" s="115"/>
      <c r="E28" s="114" t="s">
        <v>2380</v>
      </c>
      <c r="F28" s="114" t="s">
        <v>71</v>
      </c>
      <c r="G28" s="114" t="s">
        <v>2495</v>
      </c>
      <c r="H28" s="114" t="s">
        <v>2001</v>
      </c>
      <c r="I28" s="114" t="s">
        <v>2018</v>
      </c>
      <c r="J28" s="114" t="s">
        <v>2312</v>
      </c>
      <c r="K28" s="114" t="s">
        <v>2496</v>
      </c>
      <c r="L28" s="115"/>
      <c r="M28" s="114" t="s">
        <v>39</v>
      </c>
      <c r="N28" s="114" t="s">
        <v>2268</v>
      </c>
      <c r="O28" s="115"/>
      <c r="P28" s="115"/>
      <c r="Q28" s="115"/>
      <c r="R28" s="114" t="s">
        <v>2384</v>
      </c>
      <c r="S28" s="114">
        <v>217.0</v>
      </c>
      <c r="T28" s="116" t="s">
        <v>2497</v>
      </c>
      <c r="U28" s="115"/>
      <c r="V28" s="115"/>
      <c r="W28" s="114" t="s">
        <v>2404</v>
      </c>
      <c r="X28" s="114" t="s">
        <v>130</v>
      </c>
      <c r="Y28" s="115"/>
      <c r="Z28" s="114" t="s">
        <v>443</v>
      </c>
      <c r="AA28" s="115"/>
      <c r="AB28" s="115"/>
      <c r="AC28" s="115"/>
    </row>
    <row r="29">
      <c r="A29" s="113" t="s">
        <v>2498</v>
      </c>
      <c r="B29" s="114" t="s">
        <v>945</v>
      </c>
      <c r="C29" s="114" t="s">
        <v>178</v>
      </c>
      <c r="D29" s="115"/>
      <c r="E29" s="114" t="s">
        <v>2380</v>
      </c>
      <c r="F29" s="114" t="s">
        <v>2214</v>
      </c>
      <c r="G29" s="114" t="s">
        <v>2499</v>
      </c>
      <c r="H29" s="114" t="s">
        <v>2001</v>
      </c>
      <c r="I29" s="114" t="s">
        <v>2018</v>
      </c>
      <c r="J29" s="115"/>
      <c r="K29" s="115"/>
      <c r="L29" s="115"/>
      <c r="M29" s="114" t="s">
        <v>39</v>
      </c>
      <c r="N29" s="114" t="s">
        <v>2268</v>
      </c>
      <c r="O29" s="115"/>
      <c r="P29" s="115"/>
      <c r="Q29" s="115"/>
      <c r="R29" s="114" t="s">
        <v>2384</v>
      </c>
      <c r="S29" s="114">
        <v>217.0</v>
      </c>
      <c r="T29" s="116" t="s">
        <v>2500</v>
      </c>
      <c r="U29" s="115"/>
      <c r="V29" s="115"/>
      <c r="W29" s="114" t="s">
        <v>108</v>
      </c>
      <c r="X29" s="115"/>
      <c r="Y29" s="114" t="s">
        <v>2501</v>
      </c>
      <c r="Z29" s="115"/>
      <c r="AA29" s="115"/>
      <c r="AB29" s="115"/>
      <c r="AC29" s="115"/>
    </row>
    <row r="30">
      <c r="A30" s="113" t="s">
        <v>2502</v>
      </c>
      <c r="B30" s="114" t="s">
        <v>672</v>
      </c>
      <c r="C30" s="114" t="s">
        <v>144</v>
      </c>
      <c r="D30" s="114" t="s">
        <v>28</v>
      </c>
      <c r="E30" s="114" t="s">
        <v>2380</v>
      </c>
      <c r="F30" s="114" t="s">
        <v>71</v>
      </c>
      <c r="G30" s="114" t="s">
        <v>2503</v>
      </c>
      <c r="H30" s="115"/>
      <c r="I30" s="114" t="s">
        <v>2018</v>
      </c>
      <c r="J30" s="115"/>
      <c r="K30" s="115"/>
      <c r="L30" s="115"/>
      <c r="M30" s="114" t="s">
        <v>39</v>
      </c>
      <c r="N30" s="114" t="s">
        <v>2268</v>
      </c>
      <c r="O30" s="115"/>
      <c r="P30" s="115"/>
      <c r="Q30" s="115"/>
      <c r="R30" s="114" t="s">
        <v>2384</v>
      </c>
      <c r="S30" s="114">
        <v>217.0</v>
      </c>
      <c r="T30" s="116" t="s">
        <v>2504</v>
      </c>
      <c r="U30" s="115"/>
      <c r="V30" s="115"/>
      <c r="W30" s="115"/>
      <c r="X30" s="114" t="s">
        <v>130</v>
      </c>
      <c r="Y30" s="115"/>
      <c r="Z30" s="114" t="s">
        <v>443</v>
      </c>
      <c r="AA30" s="115"/>
      <c r="AB30" s="115"/>
      <c r="AC30" s="115"/>
    </row>
    <row r="31">
      <c r="A31" s="113" t="s">
        <v>2505</v>
      </c>
      <c r="B31" s="114" t="s">
        <v>945</v>
      </c>
      <c r="C31" s="114" t="s">
        <v>140</v>
      </c>
      <c r="D31" s="115"/>
      <c r="E31" s="114" t="s">
        <v>2380</v>
      </c>
      <c r="F31" s="114" t="s">
        <v>71</v>
      </c>
      <c r="G31" s="114" t="s">
        <v>2506</v>
      </c>
      <c r="H31" s="114" t="s">
        <v>2001</v>
      </c>
      <c r="I31" s="114" t="s">
        <v>2018</v>
      </c>
      <c r="J31" s="115"/>
      <c r="K31" s="115"/>
      <c r="L31" s="115"/>
      <c r="M31" s="114" t="s">
        <v>39</v>
      </c>
      <c r="N31" s="114" t="s">
        <v>2222</v>
      </c>
      <c r="O31" s="114" t="s">
        <v>2401</v>
      </c>
      <c r="P31" s="115"/>
      <c r="Q31" s="115"/>
      <c r="R31" s="114" t="s">
        <v>2384</v>
      </c>
      <c r="S31" s="114">
        <v>218.0</v>
      </c>
      <c r="T31" s="116" t="s">
        <v>2507</v>
      </c>
      <c r="U31" s="114" t="s">
        <v>2508</v>
      </c>
      <c r="V31" s="114" t="s">
        <v>123</v>
      </c>
      <c r="W31" s="114" t="s">
        <v>108</v>
      </c>
      <c r="X31" s="115"/>
      <c r="Y31" s="114" t="s">
        <v>2418</v>
      </c>
      <c r="Z31" s="115"/>
      <c r="AA31" s="114" t="s">
        <v>199</v>
      </c>
      <c r="AB31" s="115"/>
      <c r="AC31" s="115"/>
    </row>
    <row r="32">
      <c r="A32" s="113" t="s">
        <v>2509</v>
      </c>
      <c r="B32" s="114" t="s">
        <v>1452</v>
      </c>
      <c r="C32" s="114" t="s">
        <v>76</v>
      </c>
      <c r="D32" s="115"/>
      <c r="E32" s="114" t="s">
        <v>2380</v>
      </c>
      <c r="F32" s="114" t="s">
        <v>2223</v>
      </c>
      <c r="G32" s="115"/>
      <c r="H32" s="114" t="s">
        <v>2001</v>
      </c>
      <c r="I32" s="114" t="s">
        <v>2018</v>
      </c>
      <c r="J32" s="114" t="s">
        <v>2312</v>
      </c>
      <c r="K32" s="114" t="s">
        <v>2510</v>
      </c>
      <c r="L32" s="115"/>
      <c r="M32" s="114" t="s">
        <v>39</v>
      </c>
      <c r="N32" s="114" t="s">
        <v>2222</v>
      </c>
      <c r="O32" s="115"/>
      <c r="P32" s="114" t="s">
        <v>2076</v>
      </c>
      <c r="Q32" s="114" t="s">
        <v>2508</v>
      </c>
      <c r="R32" s="114" t="s">
        <v>2384</v>
      </c>
      <c r="S32" s="114">
        <v>218.0</v>
      </c>
      <c r="T32" s="116" t="s">
        <v>2511</v>
      </c>
      <c r="U32" s="114" t="s">
        <v>2508</v>
      </c>
      <c r="V32" s="115"/>
      <c r="W32" s="115"/>
      <c r="X32" s="115"/>
      <c r="Y32" s="115"/>
      <c r="Z32" s="115"/>
      <c r="AA32" s="114" t="s">
        <v>199</v>
      </c>
      <c r="AB32" s="115"/>
      <c r="AC32" s="115"/>
    </row>
    <row r="33">
      <c r="A33" s="113" t="s">
        <v>2512</v>
      </c>
      <c r="B33" s="114" t="s">
        <v>1594</v>
      </c>
      <c r="C33" s="114" t="s">
        <v>76</v>
      </c>
      <c r="D33" s="115"/>
      <c r="E33" s="114" t="s">
        <v>2380</v>
      </c>
      <c r="F33" s="114" t="s">
        <v>2513</v>
      </c>
      <c r="G33" s="114" t="s">
        <v>2514</v>
      </c>
      <c r="H33" s="114" t="s">
        <v>2001</v>
      </c>
      <c r="I33" s="114" t="s">
        <v>2018</v>
      </c>
      <c r="J33" s="115"/>
      <c r="K33" s="115"/>
      <c r="L33" s="115"/>
      <c r="M33" s="114" t="s">
        <v>39</v>
      </c>
      <c r="N33" s="114" t="s">
        <v>134</v>
      </c>
      <c r="O33" s="114" t="s">
        <v>2515</v>
      </c>
      <c r="P33" s="114" t="s">
        <v>2129</v>
      </c>
      <c r="Q33" s="114" t="s">
        <v>2516</v>
      </c>
      <c r="R33" s="114" t="s">
        <v>2384</v>
      </c>
      <c r="S33" s="114">
        <v>218.0</v>
      </c>
      <c r="T33" s="116" t="s">
        <v>2517</v>
      </c>
      <c r="U33" s="115"/>
      <c r="V33" s="115"/>
      <c r="W33" s="114" t="s">
        <v>108</v>
      </c>
      <c r="X33" s="115"/>
      <c r="Y33" s="115"/>
      <c r="Z33" s="115"/>
      <c r="AA33" s="115"/>
      <c r="AB33" s="115"/>
      <c r="AC33" s="115"/>
    </row>
    <row r="34">
      <c r="A34" s="113" t="s">
        <v>2518</v>
      </c>
      <c r="B34" s="114" t="s">
        <v>64</v>
      </c>
      <c r="C34" s="114" t="s">
        <v>178</v>
      </c>
      <c r="D34" s="115"/>
      <c r="E34" s="114" t="s">
        <v>2380</v>
      </c>
      <c r="F34" s="114" t="s">
        <v>78</v>
      </c>
      <c r="G34" s="114" t="s">
        <v>78</v>
      </c>
      <c r="H34" s="114" t="s">
        <v>2001</v>
      </c>
      <c r="I34" s="114" t="s">
        <v>2018</v>
      </c>
      <c r="J34" s="115"/>
      <c r="K34" s="115"/>
      <c r="L34" s="115"/>
      <c r="M34" s="115"/>
      <c r="N34" s="114" t="s">
        <v>2519</v>
      </c>
      <c r="O34" s="115"/>
      <c r="P34" s="115"/>
      <c r="Q34" s="115"/>
      <c r="R34" s="114" t="s">
        <v>2384</v>
      </c>
      <c r="S34" s="114">
        <v>218.0</v>
      </c>
      <c r="T34" s="116" t="s">
        <v>2520</v>
      </c>
      <c r="U34" s="115"/>
      <c r="V34" s="114" t="s">
        <v>123</v>
      </c>
      <c r="W34" s="115"/>
      <c r="X34" s="115"/>
      <c r="Y34" s="115"/>
      <c r="Z34" s="115"/>
      <c r="AA34" s="114" t="s">
        <v>199</v>
      </c>
      <c r="AB34" s="114" t="s">
        <v>75</v>
      </c>
      <c r="AC34" s="114" t="s">
        <v>250</v>
      </c>
    </row>
    <row r="35">
      <c r="A35" s="113" t="s">
        <v>2521</v>
      </c>
      <c r="B35" s="114" t="s">
        <v>444</v>
      </c>
      <c r="C35" s="114" t="s">
        <v>183</v>
      </c>
      <c r="D35" s="115"/>
      <c r="E35" s="114" t="s">
        <v>2380</v>
      </c>
      <c r="F35" s="114" t="s">
        <v>2214</v>
      </c>
      <c r="G35" s="114" t="s">
        <v>2479</v>
      </c>
      <c r="H35" s="114" t="s">
        <v>2001</v>
      </c>
      <c r="I35" s="114" t="s">
        <v>2018</v>
      </c>
      <c r="J35" s="114" t="s">
        <v>2312</v>
      </c>
      <c r="K35" s="114" t="s">
        <v>2522</v>
      </c>
      <c r="L35" s="115"/>
      <c r="M35" s="114" t="s">
        <v>39</v>
      </c>
      <c r="N35" s="114" t="s">
        <v>2222</v>
      </c>
      <c r="O35" s="115"/>
      <c r="P35" s="115"/>
      <c r="Q35" s="115"/>
      <c r="R35" s="114" t="s">
        <v>2384</v>
      </c>
      <c r="S35" s="114">
        <v>219.0</v>
      </c>
      <c r="T35" s="116" t="s">
        <v>2523</v>
      </c>
      <c r="U35" s="114" t="s">
        <v>2524</v>
      </c>
      <c r="V35" s="115"/>
      <c r="W35" s="114" t="s">
        <v>108</v>
      </c>
      <c r="X35" s="115"/>
      <c r="Y35" s="114" t="s">
        <v>570</v>
      </c>
      <c r="Z35" s="115"/>
      <c r="AA35" s="115"/>
      <c r="AB35" s="115"/>
      <c r="AC35" s="115"/>
    </row>
    <row r="36">
      <c r="A36" s="113" t="s">
        <v>2525</v>
      </c>
      <c r="B36" s="114" t="s">
        <v>1223</v>
      </c>
      <c r="C36" s="114" t="s">
        <v>140</v>
      </c>
      <c r="D36" s="115"/>
      <c r="E36" s="114" t="s">
        <v>2380</v>
      </c>
      <c r="F36" s="114" t="s">
        <v>2214</v>
      </c>
      <c r="G36" s="114" t="s">
        <v>2506</v>
      </c>
      <c r="H36" s="114" t="s">
        <v>2001</v>
      </c>
      <c r="I36" s="114" t="s">
        <v>2018</v>
      </c>
      <c r="J36" s="115"/>
      <c r="K36" s="115"/>
      <c r="L36" s="115"/>
      <c r="M36" s="115"/>
      <c r="N36" s="114" t="s">
        <v>70</v>
      </c>
      <c r="O36" s="114" t="s">
        <v>2526</v>
      </c>
      <c r="P36" s="114" t="s">
        <v>2039</v>
      </c>
      <c r="Q36" s="114" t="s">
        <v>2527</v>
      </c>
      <c r="R36" s="114" t="s">
        <v>2384</v>
      </c>
      <c r="S36" s="114">
        <v>219.0</v>
      </c>
      <c r="T36" s="116" t="s">
        <v>2528</v>
      </c>
      <c r="U36" s="114" t="s">
        <v>2529</v>
      </c>
      <c r="V36" s="115"/>
      <c r="W36" s="114" t="s">
        <v>2426</v>
      </c>
      <c r="X36" s="114" t="s">
        <v>130</v>
      </c>
      <c r="Y36" s="114" t="s">
        <v>2418</v>
      </c>
      <c r="Z36" s="115"/>
      <c r="AA36" s="114" t="s">
        <v>199</v>
      </c>
      <c r="AB36" s="114" t="s">
        <v>75</v>
      </c>
      <c r="AC36" s="114" t="s">
        <v>250</v>
      </c>
    </row>
    <row r="37">
      <c r="A37" s="113" t="s">
        <v>2530</v>
      </c>
      <c r="B37" s="114" t="s">
        <v>945</v>
      </c>
      <c r="C37" s="114" t="s">
        <v>76</v>
      </c>
      <c r="D37" s="115"/>
      <c r="E37" s="114" t="s">
        <v>2486</v>
      </c>
      <c r="F37" s="114" t="s">
        <v>78</v>
      </c>
      <c r="G37" s="114" t="s">
        <v>78</v>
      </c>
      <c r="H37" s="114" t="s">
        <v>2001</v>
      </c>
      <c r="I37" s="115"/>
      <c r="J37" s="115"/>
      <c r="K37" s="115"/>
      <c r="L37" s="115"/>
      <c r="M37" s="114" t="s">
        <v>39</v>
      </c>
      <c r="N37" s="114" t="s">
        <v>2222</v>
      </c>
      <c r="O37" s="114" t="s">
        <v>2531</v>
      </c>
      <c r="P37" s="114" t="s">
        <v>2026</v>
      </c>
      <c r="Q37" s="114" t="s">
        <v>2532</v>
      </c>
      <c r="R37" s="114" t="s">
        <v>2384</v>
      </c>
      <c r="S37" s="114">
        <v>219.0</v>
      </c>
      <c r="T37" s="116" t="s">
        <v>2533</v>
      </c>
      <c r="U37" s="115"/>
      <c r="V37" s="115"/>
      <c r="W37" s="115"/>
      <c r="X37" s="115"/>
      <c r="Y37" s="114" t="s">
        <v>570</v>
      </c>
      <c r="Z37" s="115"/>
      <c r="AA37" s="115"/>
      <c r="AB37" s="115"/>
      <c r="AC37" s="115"/>
    </row>
    <row r="38">
      <c r="A38" s="113" t="s">
        <v>2534</v>
      </c>
      <c r="B38" s="114" t="s">
        <v>672</v>
      </c>
      <c r="C38" s="114" t="s">
        <v>140</v>
      </c>
      <c r="D38" s="115"/>
      <c r="E38" s="114" t="s">
        <v>2380</v>
      </c>
      <c r="F38" s="114" t="s">
        <v>2214</v>
      </c>
      <c r="G38" s="114" t="s">
        <v>2506</v>
      </c>
      <c r="H38" s="114" t="s">
        <v>2001</v>
      </c>
      <c r="I38" s="115"/>
      <c r="J38" s="115"/>
      <c r="K38" s="115"/>
      <c r="L38" s="115"/>
      <c r="M38" s="115"/>
      <c r="N38" s="114" t="s">
        <v>2222</v>
      </c>
      <c r="O38" s="114" t="s">
        <v>2535</v>
      </c>
      <c r="P38" s="115"/>
      <c r="Q38" s="115"/>
      <c r="R38" s="114" t="s">
        <v>2384</v>
      </c>
      <c r="S38" s="114">
        <v>219.0</v>
      </c>
      <c r="T38" s="116" t="s">
        <v>2536</v>
      </c>
      <c r="U38" s="114" t="s">
        <v>2524</v>
      </c>
      <c r="V38" s="114" t="s">
        <v>123</v>
      </c>
      <c r="W38" s="114" t="s">
        <v>108</v>
      </c>
      <c r="X38" s="115"/>
      <c r="Y38" s="115"/>
      <c r="Z38" s="115"/>
      <c r="AA38" s="114" t="s">
        <v>199</v>
      </c>
      <c r="AB38" s="114" t="s">
        <v>75</v>
      </c>
      <c r="AC38" s="115"/>
    </row>
    <row r="39">
      <c r="A39" s="113" t="s">
        <v>2537</v>
      </c>
      <c r="B39" s="114" t="s">
        <v>945</v>
      </c>
      <c r="C39" s="114" t="s">
        <v>85</v>
      </c>
      <c r="D39" s="115"/>
      <c r="E39" s="114" t="s">
        <v>2380</v>
      </c>
      <c r="F39" s="114" t="s">
        <v>78</v>
      </c>
      <c r="G39" s="114" t="s">
        <v>78</v>
      </c>
      <c r="H39" s="114" t="s">
        <v>2001</v>
      </c>
      <c r="I39" s="114" t="s">
        <v>2018</v>
      </c>
      <c r="J39" s="115"/>
      <c r="K39" s="115"/>
      <c r="L39" s="115"/>
      <c r="M39" s="115"/>
      <c r="N39" s="114" t="s">
        <v>2222</v>
      </c>
      <c r="O39" s="115"/>
      <c r="P39" s="115"/>
      <c r="Q39" s="115"/>
      <c r="R39" s="114" t="s">
        <v>2384</v>
      </c>
      <c r="S39" s="114">
        <v>219.0</v>
      </c>
      <c r="T39" s="116" t="s">
        <v>2538</v>
      </c>
      <c r="U39" s="115"/>
      <c r="V39" s="115"/>
      <c r="W39" s="114" t="s">
        <v>2539</v>
      </c>
      <c r="X39" s="115"/>
      <c r="Y39" s="115"/>
      <c r="Z39" s="115"/>
      <c r="AA39" s="114" t="s">
        <v>199</v>
      </c>
      <c r="AB39" s="114" t="s">
        <v>75</v>
      </c>
      <c r="AC39" s="115"/>
    </row>
    <row r="40">
      <c r="A40" s="113" t="s">
        <v>2540</v>
      </c>
      <c r="B40" s="114" t="s">
        <v>672</v>
      </c>
      <c r="C40" s="114" t="s">
        <v>65</v>
      </c>
      <c r="D40" s="115"/>
      <c r="E40" s="114" t="s">
        <v>2380</v>
      </c>
      <c r="F40" s="114" t="s">
        <v>78</v>
      </c>
      <c r="G40" s="114" t="s">
        <v>78</v>
      </c>
      <c r="H40" s="114" t="s">
        <v>2001</v>
      </c>
      <c r="I40" s="115"/>
      <c r="J40" s="115"/>
      <c r="K40" s="115"/>
      <c r="L40" s="115"/>
      <c r="M40" s="114" t="s">
        <v>39</v>
      </c>
      <c r="N40" s="114" t="s">
        <v>2222</v>
      </c>
      <c r="O40" s="115"/>
      <c r="P40" s="115"/>
      <c r="Q40" s="115"/>
      <c r="R40" s="114" t="s">
        <v>2384</v>
      </c>
      <c r="S40" s="114">
        <v>219.0</v>
      </c>
      <c r="T40" s="116" t="s">
        <v>2541</v>
      </c>
      <c r="U40" s="115"/>
      <c r="V40" s="115"/>
      <c r="W40" s="115"/>
      <c r="X40" s="114" t="s">
        <v>2542</v>
      </c>
      <c r="Y40" s="115"/>
      <c r="Z40" s="115"/>
      <c r="AA40" s="114" t="s">
        <v>199</v>
      </c>
      <c r="AB40" s="114" t="s">
        <v>75</v>
      </c>
      <c r="AC40" s="115"/>
    </row>
    <row r="41">
      <c r="A41" s="113" t="s">
        <v>2543</v>
      </c>
      <c r="B41" s="114" t="s">
        <v>672</v>
      </c>
      <c r="C41" s="114" t="s">
        <v>76</v>
      </c>
      <c r="D41" s="115"/>
      <c r="E41" s="114" t="s">
        <v>2486</v>
      </c>
      <c r="F41" s="114" t="s">
        <v>78</v>
      </c>
      <c r="G41" s="114" t="s">
        <v>78</v>
      </c>
      <c r="H41" s="114" t="s">
        <v>2001</v>
      </c>
      <c r="I41" s="115"/>
      <c r="J41" s="115"/>
      <c r="K41" s="115"/>
      <c r="L41" s="115"/>
      <c r="M41" s="114" t="s">
        <v>39</v>
      </c>
      <c r="N41" s="114" t="s">
        <v>2222</v>
      </c>
      <c r="O41" s="114" t="s">
        <v>2487</v>
      </c>
      <c r="P41" s="114" t="s">
        <v>2026</v>
      </c>
      <c r="Q41" s="114" t="s">
        <v>2455</v>
      </c>
      <c r="R41" s="114" t="s">
        <v>2384</v>
      </c>
      <c r="S41" s="114">
        <v>219.0</v>
      </c>
      <c r="T41" s="116" t="s">
        <v>2544</v>
      </c>
      <c r="U41" s="114" t="s">
        <v>2545</v>
      </c>
      <c r="V41" s="115"/>
      <c r="W41" s="115"/>
      <c r="X41" s="115"/>
      <c r="Y41" s="114" t="s">
        <v>570</v>
      </c>
      <c r="Z41" s="115"/>
      <c r="AA41" s="115"/>
      <c r="AB41" s="115"/>
      <c r="AC41" s="115"/>
    </row>
    <row r="42">
      <c r="A42" s="113" t="s">
        <v>2546</v>
      </c>
      <c r="B42" s="114" t="s">
        <v>444</v>
      </c>
      <c r="C42" s="114" t="s">
        <v>76</v>
      </c>
      <c r="D42" s="115"/>
      <c r="E42" s="114" t="s">
        <v>2380</v>
      </c>
      <c r="F42" s="114" t="s">
        <v>78</v>
      </c>
      <c r="G42" s="114" t="s">
        <v>2547</v>
      </c>
      <c r="H42" s="114" t="s">
        <v>2001</v>
      </c>
      <c r="I42" s="114" t="s">
        <v>2018</v>
      </c>
      <c r="J42" s="115"/>
      <c r="K42" s="115"/>
      <c r="L42" s="115"/>
      <c r="M42" s="115"/>
      <c r="N42" s="114" t="s">
        <v>70</v>
      </c>
      <c r="O42" s="114" t="s">
        <v>2515</v>
      </c>
      <c r="P42" s="114" t="s">
        <v>1997</v>
      </c>
      <c r="Q42" s="114" t="s">
        <v>2548</v>
      </c>
      <c r="R42" s="114" t="s">
        <v>2384</v>
      </c>
      <c r="S42" s="114">
        <v>220.0</v>
      </c>
      <c r="T42" s="116" t="s">
        <v>2549</v>
      </c>
      <c r="U42" s="114" t="s">
        <v>2545</v>
      </c>
      <c r="V42" s="115"/>
      <c r="W42" s="114" t="s">
        <v>2550</v>
      </c>
      <c r="X42" s="115"/>
      <c r="Y42" s="115"/>
      <c r="Z42" s="115"/>
      <c r="AA42" s="114" t="s">
        <v>199</v>
      </c>
      <c r="AB42" s="114" t="s">
        <v>75</v>
      </c>
      <c r="AC42" s="115"/>
    </row>
    <row r="43">
      <c r="A43" s="113" t="s">
        <v>2551</v>
      </c>
      <c r="B43" s="114" t="s">
        <v>945</v>
      </c>
      <c r="C43" s="114" t="s">
        <v>103</v>
      </c>
      <c r="D43" s="115"/>
      <c r="E43" s="114" t="s">
        <v>2380</v>
      </c>
      <c r="F43" s="114" t="s">
        <v>2223</v>
      </c>
      <c r="G43" s="114" t="s">
        <v>2552</v>
      </c>
      <c r="H43" s="114" t="s">
        <v>2001</v>
      </c>
      <c r="I43" s="114" t="s">
        <v>2018</v>
      </c>
      <c r="J43" s="115"/>
      <c r="K43" s="115"/>
      <c r="L43" s="115"/>
      <c r="M43" s="114" t="s">
        <v>39</v>
      </c>
      <c r="N43" s="114" t="s">
        <v>134</v>
      </c>
      <c r="O43" s="114" t="s">
        <v>2515</v>
      </c>
      <c r="P43" s="114" t="s">
        <v>2098</v>
      </c>
      <c r="Q43" s="114" t="s">
        <v>2553</v>
      </c>
      <c r="R43" s="114" t="s">
        <v>2384</v>
      </c>
      <c r="S43" s="114">
        <v>220.0</v>
      </c>
      <c r="T43" s="116" t="s">
        <v>2554</v>
      </c>
      <c r="U43" s="114" t="s">
        <v>2555</v>
      </c>
      <c r="V43" s="115"/>
      <c r="W43" s="114" t="s">
        <v>2556</v>
      </c>
      <c r="X43" s="114" t="s">
        <v>130</v>
      </c>
      <c r="Y43" s="115"/>
      <c r="Z43" s="115"/>
      <c r="AA43" s="115"/>
      <c r="AB43" s="115"/>
      <c r="AC43" s="115"/>
    </row>
    <row r="44">
      <c r="A44" s="113" t="s">
        <v>2557</v>
      </c>
      <c r="B44" s="114" t="s">
        <v>672</v>
      </c>
      <c r="C44" s="114" t="s">
        <v>183</v>
      </c>
      <c r="D44" s="115"/>
      <c r="E44" s="114" t="s">
        <v>2380</v>
      </c>
      <c r="F44" s="114" t="s">
        <v>1174</v>
      </c>
      <c r="G44" s="114" t="s">
        <v>2558</v>
      </c>
      <c r="H44" s="114" t="s">
        <v>2001</v>
      </c>
      <c r="I44" s="114" t="s">
        <v>2018</v>
      </c>
      <c r="J44" s="115"/>
      <c r="K44" s="115"/>
      <c r="L44" s="115"/>
      <c r="M44" s="114" t="s">
        <v>39</v>
      </c>
      <c r="N44" s="114" t="s">
        <v>2222</v>
      </c>
      <c r="O44" s="114" t="s">
        <v>2481</v>
      </c>
      <c r="P44" s="115"/>
      <c r="Q44" s="115"/>
      <c r="R44" s="114" t="s">
        <v>2384</v>
      </c>
      <c r="S44" s="114">
        <v>221.0</v>
      </c>
      <c r="T44" s="116" t="s">
        <v>2559</v>
      </c>
      <c r="U44" s="115"/>
      <c r="V44" s="114" t="s">
        <v>123</v>
      </c>
      <c r="W44" s="114" t="s">
        <v>108</v>
      </c>
      <c r="X44" s="115"/>
      <c r="Y44" s="115"/>
      <c r="Z44" s="115"/>
      <c r="AA44" s="115"/>
      <c r="AB44" s="115"/>
      <c r="AC44" s="115"/>
    </row>
    <row r="45">
      <c r="A45" s="113" t="s">
        <v>2560</v>
      </c>
      <c r="B45" s="114" t="s">
        <v>1594</v>
      </c>
      <c r="C45" s="114" t="s">
        <v>76</v>
      </c>
      <c r="D45" s="115"/>
      <c r="E45" s="114" t="s">
        <v>2380</v>
      </c>
      <c r="F45" s="114" t="s">
        <v>2561</v>
      </c>
      <c r="G45" s="114" t="s">
        <v>2562</v>
      </c>
      <c r="H45" s="114" t="s">
        <v>2001</v>
      </c>
      <c r="I45" s="114" t="s">
        <v>2018</v>
      </c>
      <c r="J45" s="114" t="s">
        <v>2312</v>
      </c>
      <c r="K45" s="114" t="s">
        <v>2563</v>
      </c>
      <c r="L45" s="115"/>
      <c r="M45" s="115"/>
      <c r="N45" s="114" t="s">
        <v>70</v>
      </c>
      <c r="O45" s="114" t="s">
        <v>2515</v>
      </c>
      <c r="P45" s="114" t="s">
        <v>2098</v>
      </c>
      <c r="Q45" s="114" t="s">
        <v>2564</v>
      </c>
      <c r="R45" s="114" t="s">
        <v>2384</v>
      </c>
      <c r="S45" s="114">
        <v>221.0</v>
      </c>
      <c r="T45" s="116" t="s">
        <v>2565</v>
      </c>
      <c r="U45" s="114" t="s">
        <v>2566</v>
      </c>
      <c r="V45" s="115"/>
      <c r="W45" s="115"/>
      <c r="X45" s="115"/>
      <c r="Y45" s="115"/>
      <c r="Z45" s="115"/>
      <c r="AA45" s="114" t="s">
        <v>199</v>
      </c>
      <c r="AB45" s="114" t="s">
        <v>75</v>
      </c>
      <c r="AC45" s="115"/>
    </row>
    <row r="46">
      <c r="A46" s="113" t="s">
        <v>2567</v>
      </c>
      <c r="B46" s="114" t="s">
        <v>444</v>
      </c>
      <c r="C46" s="114" t="s">
        <v>183</v>
      </c>
      <c r="D46" s="115"/>
      <c r="E46" s="114" t="s">
        <v>2380</v>
      </c>
      <c r="F46" s="114" t="s">
        <v>2214</v>
      </c>
      <c r="G46" s="114" t="s">
        <v>2568</v>
      </c>
      <c r="H46" s="114" t="s">
        <v>2001</v>
      </c>
      <c r="I46" s="114" t="s">
        <v>2018</v>
      </c>
      <c r="J46" s="115"/>
      <c r="K46" s="115"/>
      <c r="L46" s="115"/>
      <c r="M46" s="115"/>
      <c r="N46" s="114" t="s">
        <v>2268</v>
      </c>
      <c r="O46" s="114" t="s">
        <v>2569</v>
      </c>
      <c r="P46" s="115"/>
      <c r="Q46" s="115"/>
      <c r="R46" s="114" t="s">
        <v>2384</v>
      </c>
      <c r="S46" s="114">
        <v>221.0</v>
      </c>
      <c r="T46" s="116" t="s">
        <v>2570</v>
      </c>
      <c r="U46" s="114" t="s">
        <v>2571</v>
      </c>
      <c r="V46" s="114" t="s">
        <v>123</v>
      </c>
      <c r="W46" s="114" t="s">
        <v>2539</v>
      </c>
      <c r="X46" s="114" t="s">
        <v>130</v>
      </c>
      <c r="Y46" s="115"/>
      <c r="Z46" s="115"/>
      <c r="AA46" s="114" t="s">
        <v>199</v>
      </c>
      <c r="AB46" s="114" t="s">
        <v>75</v>
      </c>
      <c r="AC46" s="114" t="s">
        <v>250</v>
      </c>
    </row>
    <row r="47">
      <c r="A47" s="113" t="s">
        <v>2572</v>
      </c>
      <c r="B47" s="114" t="s">
        <v>64</v>
      </c>
      <c r="C47" s="114" t="s">
        <v>140</v>
      </c>
      <c r="D47" s="115"/>
      <c r="E47" s="114" t="s">
        <v>2380</v>
      </c>
      <c r="F47" s="114" t="s">
        <v>2223</v>
      </c>
      <c r="G47" s="114" t="s">
        <v>2506</v>
      </c>
      <c r="H47" s="114" t="s">
        <v>2001</v>
      </c>
      <c r="I47" s="114" t="s">
        <v>2018</v>
      </c>
      <c r="J47" s="115"/>
      <c r="K47" s="115"/>
      <c r="L47" s="115"/>
      <c r="M47" s="115"/>
      <c r="N47" s="114" t="s">
        <v>2519</v>
      </c>
      <c r="O47" s="114" t="s">
        <v>2573</v>
      </c>
      <c r="P47" s="114" t="s">
        <v>2039</v>
      </c>
      <c r="Q47" s="114" t="s">
        <v>2383</v>
      </c>
      <c r="R47" s="114" t="s">
        <v>2384</v>
      </c>
      <c r="S47" s="114">
        <v>221.0</v>
      </c>
      <c r="T47" s="116" t="s">
        <v>2574</v>
      </c>
      <c r="U47" s="115"/>
      <c r="V47" s="115"/>
      <c r="W47" s="114" t="s">
        <v>2426</v>
      </c>
      <c r="X47" s="115"/>
      <c r="Y47" s="115"/>
      <c r="Z47" s="115"/>
      <c r="AA47" s="114" t="s">
        <v>199</v>
      </c>
      <c r="AB47" s="114" t="s">
        <v>75</v>
      </c>
      <c r="AC47" s="114" t="s">
        <v>250</v>
      </c>
    </row>
    <row r="48">
      <c r="A48" s="113" t="s">
        <v>2575</v>
      </c>
      <c r="B48" s="114" t="s">
        <v>444</v>
      </c>
      <c r="C48" s="114" t="s">
        <v>76</v>
      </c>
      <c r="D48" s="115"/>
      <c r="E48" s="114" t="s">
        <v>2380</v>
      </c>
      <c r="F48" s="114" t="s">
        <v>2513</v>
      </c>
      <c r="G48" s="114" t="s">
        <v>2506</v>
      </c>
      <c r="H48" s="114" t="s">
        <v>2001</v>
      </c>
      <c r="I48" s="114" t="s">
        <v>2018</v>
      </c>
      <c r="J48" s="114" t="s">
        <v>2312</v>
      </c>
      <c r="K48" s="114" t="s">
        <v>2576</v>
      </c>
      <c r="L48" s="114" t="s">
        <v>2577</v>
      </c>
      <c r="M48" s="115"/>
      <c r="N48" s="114" t="s">
        <v>70</v>
      </c>
      <c r="O48" s="114" t="s">
        <v>2573</v>
      </c>
      <c r="P48" s="114" t="s">
        <v>2578</v>
      </c>
      <c r="Q48" s="114" t="s">
        <v>2532</v>
      </c>
      <c r="R48" s="114" t="s">
        <v>2384</v>
      </c>
      <c r="S48" s="114">
        <v>221.0</v>
      </c>
      <c r="T48" s="116" t="s">
        <v>2579</v>
      </c>
      <c r="U48" s="114" t="s">
        <v>2529</v>
      </c>
      <c r="V48" s="115"/>
      <c r="W48" s="115"/>
      <c r="X48" s="115"/>
      <c r="Y48" s="115"/>
      <c r="Z48" s="115"/>
      <c r="AA48" s="114" t="s">
        <v>199</v>
      </c>
      <c r="AB48" s="114" t="s">
        <v>75</v>
      </c>
      <c r="AC48" s="115"/>
    </row>
    <row r="49">
      <c r="A49" s="113" t="s">
        <v>2580</v>
      </c>
      <c r="B49" s="114" t="s">
        <v>1594</v>
      </c>
      <c r="C49" s="114" t="s">
        <v>140</v>
      </c>
      <c r="D49" s="115"/>
      <c r="E49" s="114" t="s">
        <v>2380</v>
      </c>
      <c r="F49" s="114" t="s">
        <v>2561</v>
      </c>
      <c r="G49" s="114" t="s">
        <v>2581</v>
      </c>
      <c r="H49" s="114" t="s">
        <v>2001</v>
      </c>
      <c r="I49" s="114" t="s">
        <v>2018</v>
      </c>
      <c r="J49" s="114" t="s">
        <v>2312</v>
      </c>
      <c r="K49" s="114" t="s">
        <v>2582</v>
      </c>
      <c r="L49" s="114" t="s">
        <v>2583</v>
      </c>
      <c r="M49" s="115"/>
      <c r="N49" s="114" t="s">
        <v>70</v>
      </c>
      <c r="O49" s="114" t="s">
        <v>2526</v>
      </c>
      <c r="P49" s="114" t="s">
        <v>2039</v>
      </c>
      <c r="Q49" s="114" t="s">
        <v>2584</v>
      </c>
      <c r="R49" s="114" t="s">
        <v>2384</v>
      </c>
      <c r="S49" s="114">
        <v>221.0</v>
      </c>
      <c r="T49" s="117"/>
      <c r="U49" s="114" t="s">
        <v>2585</v>
      </c>
      <c r="V49" s="115"/>
      <c r="W49" s="115"/>
      <c r="X49" s="115"/>
      <c r="Y49" s="115"/>
      <c r="Z49" s="115"/>
      <c r="AA49" s="114" t="s">
        <v>199</v>
      </c>
      <c r="AB49" s="114" t="s">
        <v>75</v>
      </c>
      <c r="AC49" s="114" t="s">
        <v>250</v>
      </c>
    </row>
    <row r="50">
      <c r="A50" s="113" t="s">
        <v>2586</v>
      </c>
      <c r="B50" s="114" t="s">
        <v>1452</v>
      </c>
      <c r="C50" s="114" t="s">
        <v>178</v>
      </c>
      <c r="D50" s="115"/>
      <c r="E50" s="114" t="s">
        <v>2380</v>
      </c>
      <c r="F50" s="114" t="s">
        <v>78</v>
      </c>
      <c r="G50" s="114" t="s">
        <v>2587</v>
      </c>
      <c r="H50" s="114" t="s">
        <v>2001</v>
      </c>
      <c r="I50" s="115"/>
      <c r="J50" s="115"/>
      <c r="K50" s="115"/>
      <c r="L50" s="115"/>
      <c r="M50" s="114" t="s">
        <v>39</v>
      </c>
      <c r="N50" s="114" t="s">
        <v>134</v>
      </c>
      <c r="O50" s="115"/>
      <c r="P50" s="115"/>
      <c r="Q50" s="115"/>
      <c r="R50" s="114" t="s">
        <v>2384</v>
      </c>
      <c r="S50" s="114">
        <v>221.0</v>
      </c>
      <c r="T50" s="116" t="s">
        <v>2588</v>
      </c>
      <c r="U50" s="115"/>
      <c r="V50" s="115"/>
      <c r="W50" s="115"/>
      <c r="X50" s="115"/>
      <c r="Y50" s="114" t="s">
        <v>570</v>
      </c>
      <c r="Z50" s="115"/>
      <c r="AA50" s="115"/>
      <c r="AB50" s="115"/>
      <c r="AC50" s="115"/>
    </row>
    <row r="51">
      <c r="A51" s="113" t="s">
        <v>2589</v>
      </c>
      <c r="B51" s="114" t="s">
        <v>945</v>
      </c>
      <c r="C51" s="114" t="s">
        <v>144</v>
      </c>
      <c r="D51" s="115"/>
      <c r="E51" s="114" t="s">
        <v>134</v>
      </c>
      <c r="F51" s="114" t="s">
        <v>755</v>
      </c>
      <c r="G51" s="115"/>
      <c r="H51" s="114" t="s">
        <v>2001</v>
      </c>
      <c r="I51" s="114" t="s">
        <v>2018</v>
      </c>
      <c r="J51" s="114" t="s">
        <v>2312</v>
      </c>
      <c r="K51" s="114" t="s">
        <v>2590</v>
      </c>
      <c r="L51" s="114" t="s">
        <v>2591</v>
      </c>
      <c r="M51" s="114" t="s">
        <v>39</v>
      </c>
      <c r="N51" s="114" t="s">
        <v>134</v>
      </c>
      <c r="O51" s="115"/>
      <c r="P51" s="115"/>
      <c r="Q51" s="115"/>
      <c r="R51" s="114" t="s">
        <v>2384</v>
      </c>
      <c r="S51" s="114">
        <v>222.0</v>
      </c>
      <c r="T51" s="116" t="s">
        <v>2592</v>
      </c>
      <c r="U51" s="115"/>
      <c r="V51" s="114" t="s">
        <v>123</v>
      </c>
      <c r="W51" s="114" t="s">
        <v>108</v>
      </c>
      <c r="X51" s="115"/>
      <c r="Y51" s="115"/>
      <c r="Z51" s="115"/>
      <c r="AA51" s="114" t="s">
        <v>199</v>
      </c>
      <c r="AB51" s="114" t="s">
        <v>75</v>
      </c>
      <c r="AC51" s="115"/>
    </row>
    <row r="52">
      <c r="A52" s="113" t="s">
        <v>2593</v>
      </c>
      <c r="B52" s="114" t="s">
        <v>1837</v>
      </c>
      <c r="C52" s="114" t="s">
        <v>140</v>
      </c>
      <c r="D52" s="115"/>
      <c r="E52" s="114" t="s">
        <v>2268</v>
      </c>
      <c r="F52" s="114" t="s">
        <v>71</v>
      </c>
      <c r="G52" s="115"/>
      <c r="H52" s="114" t="s">
        <v>2001</v>
      </c>
      <c r="I52" s="114" t="s">
        <v>2018</v>
      </c>
      <c r="J52" s="114" t="s">
        <v>2312</v>
      </c>
      <c r="K52" s="114" t="s">
        <v>2508</v>
      </c>
      <c r="L52" s="114" t="s">
        <v>2594</v>
      </c>
      <c r="M52" s="115"/>
      <c r="N52" s="114" t="s">
        <v>70</v>
      </c>
      <c r="O52" s="115"/>
      <c r="P52" s="115"/>
      <c r="Q52" s="115"/>
      <c r="R52" s="114" t="s">
        <v>2384</v>
      </c>
      <c r="S52" s="114">
        <v>222.0</v>
      </c>
      <c r="T52" s="116" t="s">
        <v>2595</v>
      </c>
      <c r="U52" s="115"/>
      <c r="V52" s="115"/>
      <c r="W52" s="115"/>
      <c r="X52" s="115"/>
      <c r="Y52" s="115"/>
      <c r="Z52" s="115"/>
      <c r="AA52" s="114" t="s">
        <v>199</v>
      </c>
      <c r="AB52" s="115"/>
      <c r="AC52" s="115"/>
    </row>
    <row r="53">
      <c r="A53" s="113" t="s">
        <v>2596</v>
      </c>
      <c r="B53" s="114" t="s">
        <v>672</v>
      </c>
      <c r="C53" s="114" t="s">
        <v>103</v>
      </c>
      <c r="D53" s="115"/>
      <c r="E53" s="114" t="s">
        <v>2380</v>
      </c>
      <c r="F53" s="114" t="s">
        <v>1174</v>
      </c>
      <c r="G53" s="114" t="s">
        <v>2597</v>
      </c>
      <c r="H53" s="114" t="s">
        <v>2001</v>
      </c>
      <c r="I53" s="114" t="s">
        <v>2018</v>
      </c>
      <c r="J53" s="114" t="s">
        <v>2312</v>
      </c>
      <c r="K53" s="114" t="s">
        <v>2598</v>
      </c>
      <c r="L53" s="115"/>
      <c r="M53" s="114" t="s">
        <v>39</v>
      </c>
      <c r="N53" s="114" t="s">
        <v>2222</v>
      </c>
      <c r="O53" s="115"/>
      <c r="P53" s="114" t="s">
        <v>2129</v>
      </c>
      <c r="Q53" s="114" t="s">
        <v>2599</v>
      </c>
      <c r="R53" s="114" t="s">
        <v>2384</v>
      </c>
      <c r="S53" s="114">
        <v>222.0</v>
      </c>
      <c r="T53" s="116" t="s">
        <v>2600</v>
      </c>
      <c r="U53" s="114" t="s">
        <v>2601</v>
      </c>
      <c r="V53" s="114" t="s">
        <v>123</v>
      </c>
      <c r="W53" s="115"/>
      <c r="X53" s="115"/>
      <c r="Y53" s="115"/>
      <c r="Z53" s="115"/>
      <c r="AA53" s="114" t="s">
        <v>199</v>
      </c>
      <c r="AB53" s="114" t="s">
        <v>75</v>
      </c>
      <c r="AC53" s="114" t="s">
        <v>250</v>
      </c>
    </row>
    <row r="54">
      <c r="A54" s="113" t="s">
        <v>2602</v>
      </c>
      <c r="B54" s="114" t="s">
        <v>1452</v>
      </c>
      <c r="C54" s="114" t="s">
        <v>103</v>
      </c>
      <c r="D54" s="115"/>
      <c r="E54" s="114" t="s">
        <v>2380</v>
      </c>
      <c r="F54" s="114" t="s">
        <v>2223</v>
      </c>
      <c r="G54" s="114" t="s">
        <v>2558</v>
      </c>
      <c r="H54" s="114" t="s">
        <v>2001</v>
      </c>
      <c r="I54" s="114" t="s">
        <v>2018</v>
      </c>
      <c r="J54" s="115"/>
      <c r="K54" s="115"/>
      <c r="L54" s="115"/>
      <c r="M54" s="114" t="s">
        <v>39</v>
      </c>
      <c r="N54" s="114" t="s">
        <v>134</v>
      </c>
      <c r="O54" s="114" t="s">
        <v>2526</v>
      </c>
      <c r="P54" s="114" t="s">
        <v>2123</v>
      </c>
      <c r="Q54" s="114" t="s">
        <v>2603</v>
      </c>
      <c r="R54" s="114" t="s">
        <v>2384</v>
      </c>
      <c r="S54" s="114">
        <v>222.0</v>
      </c>
      <c r="T54" s="116" t="s">
        <v>2604</v>
      </c>
      <c r="U54" s="114" t="s">
        <v>2529</v>
      </c>
      <c r="V54" s="115"/>
      <c r="W54" s="114" t="s">
        <v>2426</v>
      </c>
      <c r="X54" s="114" t="s">
        <v>2605</v>
      </c>
      <c r="Y54" s="115"/>
      <c r="Z54" s="115"/>
      <c r="AA54" s="114" t="s">
        <v>199</v>
      </c>
      <c r="AB54" s="114" t="s">
        <v>75</v>
      </c>
      <c r="AC54" s="115"/>
    </row>
    <row r="55">
      <c r="A55" s="113" t="s">
        <v>2606</v>
      </c>
      <c r="B55" s="114" t="s">
        <v>444</v>
      </c>
      <c r="C55" s="114" t="s">
        <v>65</v>
      </c>
      <c r="D55" s="115"/>
      <c r="E55" s="114" t="s">
        <v>2380</v>
      </c>
      <c r="F55" s="114" t="s">
        <v>78</v>
      </c>
      <c r="G55" s="114" t="s">
        <v>2547</v>
      </c>
      <c r="H55" s="114" t="s">
        <v>2001</v>
      </c>
      <c r="I55" s="114" t="s">
        <v>2018</v>
      </c>
      <c r="J55" s="114" t="s">
        <v>2312</v>
      </c>
      <c r="K55" s="114" t="s">
        <v>2607</v>
      </c>
      <c r="L55" s="115"/>
      <c r="M55" s="115"/>
      <c r="N55" s="114" t="s">
        <v>2519</v>
      </c>
      <c r="O55" s="115"/>
      <c r="P55" s="115"/>
      <c r="Q55" s="115"/>
      <c r="R55" s="114" t="s">
        <v>2384</v>
      </c>
      <c r="S55" s="114">
        <v>222.0</v>
      </c>
      <c r="T55" s="116" t="s">
        <v>2608</v>
      </c>
      <c r="U55" s="114" t="s">
        <v>2609</v>
      </c>
      <c r="V55" s="115"/>
      <c r="W55" s="115"/>
      <c r="X55" s="115"/>
      <c r="Y55" s="115"/>
      <c r="Z55" s="115"/>
      <c r="AA55" s="114" t="s">
        <v>199</v>
      </c>
      <c r="AB55" s="114" t="s">
        <v>75</v>
      </c>
      <c r="AC55" s="115"/>
    </row>
    <row r="56">
      <c r="A56" s="113" t="s">
        <v>2610</v>
      </c>
      <c r="B56" s="114" t="s">
        <v>444</v>
      </c>
      <c r="C56" s="114" t="s">
        <v>183</v>
      </c>
      <c r="D56" s="115"/>
      <c r="E56" s="114" t="s">
        <v>2380</v>
      </c>
      <c r="F56" s="114" t="s">
        <v>1174</v>
      </c>
      <c r="G56" s="114" t="s">
        <v>2506</v>
      </c>
      <c r="H56" s="114" t="s">
        <v>2001</v>
      </c>
      <c r="I56" s="115"/>
      <c r="J56" s="115"/>
      <c r="K56" s="115"/>
      <c r="L56" s="115"/>
      <c r="M56" s="115"/>
      <c r="N56" s="114" t="s">
        <v>2519</v>
      </c>
      <c r="O56" s="114" t="s">
        <v>2401</v>
      </c>
      <c r="P56" s="115"/>
      <c r="Q56" s="115"/>
      <c r="R56" s="114" t="s">
        <v>2384</v>
      </c>
      <c r="S56" s="114">
        <v>223.0</v>
      </c>
      <c r="T56" s="116" t="s">
        <v>2611</v>
      </c>
      <c r="U56" s="114" t="s">
        <v>2524</v>
      </c>
      <c r="V56" s="115"/>
      <c r="W56" s="114" t="s">
        <v>108</v>
      </c>
      <c r="X56" s="115"/>
      <c r="Y56" s="114" t="s">
        <v>570</v>
      </c>
      <c r="Z56" s="115"/>
      <c r="AA56" s="115"/>
      <c r="AB56" s="115"/>
      <c r="AC56" s="115"/>
    </row>
    <row r="57">
      <c r="A57" s="113" t="s">
        <v>2612</v>
      </c>
      <c r="B57" s="114" t="s">
        <v>1452</v>
      </c>
      <c r="C57" s="114" t="s">
        <v>144</v>
      </c>
      <c r="D57" s="114" t="s">
        <v>28</v>
      </c>
      <c r="E57" s="114" t="s">
        <v>2222</v>
      </c>
      <c r="F57" s="114" t="s">
        <v>78</v>
      </c>
      <c r="G57" s="115"/>
      <c r="H57" s="114" t="s">
        <v>2001</v>
      </c>
      <c r="I57" s="114" t="s">
        <v>2018</v>
      </c>
      <c r="J57" s="114" t="s">
        <v>2312</v>
      </c>
      <c r="K57" s="114" t="s">
        <v>2613</v>
      </c>
      <c r="L57" s="115"/>
      <c r="M57" s="115"/>
      <c r="N57" s="114" t="s">
        <v>2222</v>
      </c>
      <c r="O57" s="115"/>
      <c r="P57" s="115"/>
      <c r="Q57" s="115"/>
      <c r="R57" s="114" t="s">
        <v>2384</v>
      </c>
      <c r="S57" s="114">
        <v>223.0</v>
      </c>
      <c r="T57" s="116" t="s">
        <v>2614</v>
      </c>
      <c r="U57" s="115"/>
      <c r="V57" s="115"/>
      <c r="W57" s="114" t="s">
        <v>108</v>
      </c>
      <c r="X57" s="115"/>
      <c r="Y57" s="114" t="s">
        <v>2501</v>
      </c>
      <c r="Z57" s="115"/>
      <c r="AA57" s="115"/>
      <c r="AB57" s="115"/>
      <c r="AC57" s="115"/>
    </row>
    <row r="58">
      <c r="A58" s="113" t="s">
        <v>2615</v>
      </c>
      <c r="B58" s="114" t="s">
        <v>1452</v>
      </c>
      <c r="C58" s="114" t="s">
        <v>144</v>
      </c>
      <c r="D58" s="114" t="s">
        <v>28</v>
      </c>
      <c r="E58" s="114" t="s">
        <v>2222</v>
      </c>
      <c r="F58" s="114" t="s">
        <v>78</v>
      </c>
      <c r="G58" s="115"/>
      <c r="H58" s="114" t="s">
        <v>2001</v>
      </c>
      <c r="I58" s="114" t="s">
        <v>2018</v>
      </c>
      <c r="J58" s="115"/>
      <c r="K58" s="115"/>
      <c r="L58" s="115"/>
      <c r="M58" s="115"/>
      <c r="N58" s="114" t="s">
        <v>70</v>
      </c>
      <c r="O58" s="115"/>
      <c r="P58" s="115"/>
      <c r="Q58" s="115"/>
      <c r="R58" s="114" t="s">
        <v>2384</v>
      </c>
      <c r="S58" s="114">
        <v>224.0</v>
      </c>
      <c r="T58" s="116" t="s">
        <v>2616</v>
      </c>
      <c r="U58" s="115"/>
      <c r="V58" s="115"/>
      <c r="W58" s="115"/>
      <c r="X58" s="114" t="s">
        <v>130</v>
      </c>
      <c r="Y58" s="114" t="s">
        <v>2617</v>
      </c>
      <c r="Z58" s="114" t="s">
        <v>443</v>
      </c>
      <c r="AA58" s="115"/>
      <c r="AB58" s="115"/>
      <c r="AC58" s="115"/>
    </row>
    <row r="59">
      <c r="A59" s="113" t="s">
        <v>2618</v>
      </c>
      <c r="B59" s="114" t="s">
        <v>444</v>
      </c>
      <c r="C59" s="114" t="s">
        <v>183</v>
      </c>
      <c r="D59" s="115"/>
      <c r="E59" s="114" t="s">
        <v>2486</v>
      </c>
      <c r="F59" s="114" t="s">
        <v>2214</v>
      </c>
      <c r="G59" s="114" t="s">
        <v>2506</v>
      </c>
      <c r="H59" s="114" t="s">
        <v>2001</v>
      </c>
      <c r="I59" s="115"/>
      <c r="J59" s="115"/>
      <c r="K59" s="115"/>
      <c r="L59" s="115"/>
      <c r="M59" s="114" t="s">
        <v>39</v>
      </c>
      <c r="N59" s="114" t="s">
        <v>2222</v>
      </c>
      <c r="O59" s="114" t="s">
        <v>2401</v>
      </c>
      <c r="P59" s="115"/>
      <c r="Q59" s="115"/>
      <c r="R59" s="114" t="s">
        <v>2384</v>
      </c>
      <c r="S59" s="114">
        <v>224.0</v>
      </c>
      <c r="T59" s="116" t="s">
        <v>2619</v>
      </c>
      <c r="U59" s="115"/>
      <c r="V59" s="115"/>
      <c r="W59" s="115"/>
      <c r="X59" s="115"/>
      <c r="Y59" s="114" t="s">
        <v>570</v>
      </c>
      <c r="Z59" s="115"/>
      <c r="AA59" s="115"/>
      <c r="AB59" s="115"/>
      <c r="AC59" s="115"/>
    </row>
    <row r="60">
      <c r="A60" s="113" t="s">
        <v>2620</v>
      </c>
      <c r="B60" s="114" t="s">
        <v>444</v>
      </c>
      <c r="C60" s="114" t="s">
        <v>144</v>
      </c>
      <c r="D60" s="114" t="s">
        <v>28</v>
      </c>
      <c r="E60" s="114" t="s">
        <v>2380</v>
      </c>
      <c r="F60" s="114" t="s">
        <v>78</v>
      </c>
      <c r="G60" s="115"/>
      <c r="H60" s="114" t="s">
        <v>2001</v>
      </c>
      <c r="I60" s="114" t="s">
        <v>2018</v>
      </c>
      <c r="J60" s="114" t="s">
        <v>2312</v>
      </c>
      <c r="K60" s="114" t="s">
        <v>2621</v>
      </c>
      <c r="L60" s="115"/>
      <c r="M60" s="115"/>
      <c r="N60" s="114" t="s">
        <v>2268</v>
      </c>
      <c r="O60" s="115"/>
      <c r="P60" s="115"/>
      <c r="Q60" s="115"/>
      <c r="R60" s="114" t="s">
        <v>2384</v>
      </c>
      <c r="S60" s="114">
        <v>224.0</v>
      </c>
      <c r="T60" s="116" t="s">
        <v>2622</v>
      </c>
      <c r="U60" s="115"/>
      <c r="V60" s="114" t="s">
        <v>123</v>
      </c>
      <c r="W60" s="115"/>
      <c r="X60" s="115"/>
      <c r="Y60" s="115"/>
      <c r="Z60" s="115"/>
      <c r="AA60" s="114" t="s">
        <v>199</v>
      </c>
      <c r="AB60" s="114" t="s">
        <v>75</v>
      </c>
      <c r="AC60" s="114" t="s">
        <v>250</v>
      </c>
    </row>
    <row r="61">
      <c r="A61" s="113" t="s">
        <v>2623</v>
      </c>
      <c r="B61" s="114" t="s">
        <v>1223</v>
      </c>
      <c r="C61" s="114" t="s">
        <v>183</v>
      </c>
      <c r="D61" s="115"/>
      <c r="E61" s="114" t="s">
        <v>2380</v>
      </c>
      <c r="F61" s="114" t="s">
        <v>2214</v>
      </c>
      <c r="G61" s="114" t="s">
        <v>2624</v>
      </c>
      <c r="H61" s="114" t="s">
        <v>2001</v>
      </c>
      <c r="I61" s="114" t="s">
        <v>2018</v>
      </c>
      <c r="J61" s="115"/>
      <c r="K61" s="115"/>
      <c r="L61" s="115"/>
      <c r="M61" s="114" t="s">
        <v>39</v>
      </c>
      <c r="N61" s="114" t="s">
        <v>2222</v>
      </c>
      <c r="O61" s="114" t="s">
        <v>2401</v>
      </c>
      <c r="P61" s="115"/>
      <c r="Q61" s="115"/>
      <c r="R61" s="114" t="s">
        <v>2384</v>
      </c>
      <c r="S61" s="114">
        <v>224.0</v>
      </c>
      <c r="T61" s="116" t="s">
        <v>2625</v>
      </c>
      <c r="U61" s="115"/>
      <c r="V61" s="114" t="s">
        <v>123</v>
      </c>
      <c r="W61" s="115"/>
      <c r="X61" s="115"/>
      <c r="Y61" s="115"/>
      <c r="Z61" s="115"/>
      <c r="AA61" s="115"/>
      <c r="AB61" s="115"/>
      <c r="AC61" s="115"/>
    </row>
    <row r="62">
      <c r="A62" s="113" t="s">
        <v>2626</v>
      </c>
      <c r="B62" s="114" t="s">
        <v>1452</v>
      </c>
      <c r="C62" s="114" t="s">
        <v>76</v>
      </c>
      <c r="D62" s="115"/>
      <c r="E62" s="114" t="s">
        <v>2380</v>
      </c>
      <c r="F62" s="114" t="s">
        <v>78</v>
      </c>
      <c r="G62" s="114" t="s">
        <v>2627</v>
      </c>
      <c r="H62" s="114" t="s">
        <v>2001</v>
      </c>
      <c r="I62" s="114" t="s">
        <v>2018</v>
      </c>
      <c r="J62" s="114" t="s">
        <v>2312</v>
      </c>
      <c r="K62" s="114" t="s">
        <v>2628</v>
      </c>
      <c r="L62" s="115"/>
      <c r="M62" s="115"/>
      <c r="N62" s="114" t="s">
        <v>70</v>
      </c>
      <c r="O62" s="114" t="s">
        <v>2526</v>
      </c>
      <c r="P62" s="114" t="s">
        <v>2066</v>
      </c>
      <c r="Q62" s="114" t="s">
        <v>2527</v>
      </c>
      <c r="R62" s="114" t="s">
        <v>2384</v>
      </c>
      <c r="S62" s="114">
        <v>224.0</v>
      </c>
      <c r="T62" s="116" t="s">
        <v>2629</v>
      </c>
      <c r="U62" s="114" t="s">
        <v>2529</v>
      </c>
      <c r="V62" s="115"/>
      <c r="W62" s="115"/>
      <c r="X62" s="114" t="s">
        <v>2630</v>
      </c>
      <c r="Y62" s="115"/>
      <c r="Z62" s="115"/>
      <c r="AA62" s="114" t="s">
        <v>199</v>
      </c>
      <c r="AB62" s="114" t="s">
        <v>75</v>
      </c>
      <c r="AC62" s="115"/>
    </row>
    <row r="63">
      <c r="A63" s="113" t="s">
        <v>2631</v>
      </c>
      <c r="B63" s="114" t="s">
        <v>1223</v>
      </c>
      <c r="C63" s="114" t="s">
        <v>183</v>
      </c>
      <c r="D63" s="115"/>
      <c r="E63" s="114" t="s">
        <v>2380</v>
      </c>
      <c r="F63" s="114" t="s">
        <v>2513</v>
      </c>
      <c r="G63" s="114" t="s">
        <v>2632</v>
      </c>
      <c r="H63" s="114" t="s">
        <v>2001</v>
      </c>
      <c r="I63" s="114" t="s">
        <v>2018</v>
      </c>
      <c r="J63" s="114" t="s">
        <v>2312</v>
      </c>
      <c r="K63" s="114" t="s">
        <v>2633</v>
      </c>
      <c r="L63" s="115"/>
      <c r="M63" s="114" t="s">
        <v>39</v>
      </c>
      <c r="N63" s="114" t="s">
        <v>2222</v>
      </c>
      <c r="O63" s="114" t="s">
        <v>2401</v>
      </c>
      <c r="P63" s="115"/>
      <c r="Q63" s="115"/>
      <c r="R63" s="114" t="s">
        <v>2384</v>
      </c>
      <c r="S63" s="114">
        <v>224.0</v>
      </c>
      <c r="T63" s="116" t="s">
        <v>2634</v>
      </c>
      <c r="U63" s="114" t="s">
        <v>2635</v>
      </c>
      <c r="V63" s="114" t="s">
        <v>123</v>
      </c>
      <c r="W63" s="114" t="s">
        <v>2438</v>
      </c>
      <c r="X63" s="114" t="s">
        <v>130</v>
      </c>
      <c r="Y63" s="114" t="s">
        <v>2418</v>
      </c>
      <c r="Z63" s="115"/>
      <c r="AA63" s="114" t="s">
        <v>199</v>
      </c>
      <c r="AB63" s="114" t="s">
        <v>75</v>
      </c>
      <c r="AC63" s="115"/>
    </row>
    <row r="64">
      <c r="A64" s="113" t="s">
        <v>2636</v>
      </c>
      <c r="B64" s="114" t="s">
        <v>945</v>
      </c>
      <c r="C64" s="114" t="s">
        <v>103</v>
      </c>
      <c r="D64" s="115"/>
      <c r="E64" s="114" t="s">
        <v>2380</v>
      </c>
      <c r="F64" s="114" t="s">
        <v>1174</v>
      </c>
      <c r="G64" s="115"/>
      <c r="H64" s="114" t="s">
        <v>2001</v>
      </c>
      <c r="I64" s="114" t="s">
        <v>2018</v>
      </c>
      <c r="J64" s="115"/>
      <c r="K64" s="115"/>
      <c r="L64" s="115"/>
      <c r="M64" s="114" t="s">
        <v>39</v>
      </c>
      <c r="N64" s="114" t="s">
        <v>2268</v>
      </c>
      <c r="O64" s="115"/>
      <c r="P64" s="115"/>
      <c r="Q64" s="115"/>
      <c r="R64" s="114" t="s">
        <v>2384</v>
      </c>
      <c r="S64" s="114">
        <v>225.0</v>
      </c>
      <c r="T64" s="116" t="s">
        <v>2637</v>
      </c>
      <c r="U64" s="115"/>
      <c r="V64" s="115"/>
      <c r="W64" s="115"/>
      <c r="X64" s="114" t="s">
        <v>130</v>
      </c>
      <c r="Y64" s="115"/>
      <c r="Z64" s="114" t="s">
        <v>443</v>
      </c>
      <c r="AA64" s="115"/>
      <c r="AB64" s="115"/>
      <c r="AC64" s="115"/>
    </row>
    <row r="65">
      <c r="A65" s="113" t="s">
        <v>2638</v>
      </c>
      <c r="B65" s="114" t="s">
        <v>945</v>
      </c>
      <c r="C65" s="114" t="s">
        <v>103</v>
      </c>
      <c r="D65" s="115"/>
      <c r="E65" s="114" t="s">
        <v>2380</v>
      </c>
      <c r="F65" s="114" t="s">
        <v>78</v>
      </c>
      <c r="G65" s="114" t="s">
        <v>2627</v>
      </c>
      <c r="H65" s="114" t="s">
        <v>2001</v>
      </c>
      <c r="I65" s="114" t="s">
        <v>2018</v>
      </c>
      <c r="J65" s="114" t="s">
        <v>2312</v>
      </c>
      <c r="K65" s="114" t="s">
        <v>2639</v>
      </c>
      <c r="L65" s="115"/>
      <c r="M65" s="115"/>
      <c r="N65" s="114" t="s">
        <v>70</v>
      </c>
      <c r="O65" s="114" t="s">
        <v>2515</v>
      </c>
      <c r="P65" s="114" t="s">
        <v>2578</v>
      </c>
      <c r="Q65" s="114" t="s">
        <v>2532</v>
      </c>
      <c r="R65" s="114" t="s">
        <v>2384</v>
      </c>
      <c r="S65" s="114">
        <v>225.0</v>
      </c>
      <c r="T65" s="116" t="s">
        <v>2640</v>
      </c>
      <c r="U65" s="115"/>
      <c r="V65" s="115"/>
      <c r="W65" s="115"/>
      <c r="X65" s="115"/>
      <c r="Y65" s="115"/>
      <c r="Z65" s="114" t="s">
        <v>443</v>
      </c>
      <c r="AA65" s="115"/>
      <c r="AB65" s="115"/>
      <c r="AC65" s="115"/>
    </row>
    <row r="66">
      <c r="A66" s="113" t="s">
        <v>2641</v>
      </c>
      <c r="B66" s="114" t="s">
        <v>1709</v>
      </c>
      <c r="C66" s="114" t="s">
        <v>103</v>
      </c>
      <c r="D66" s="115"/>
      <c r="E66" s="114" t="s">
        <v>2222</v>
      </c>
      <c r="F66" s="114" t="s">
        <v>2513</v>
      </c>
      <c r="G66" s="115"/>
      <c r="H66" s="114" t="s">
        <v>2001</v>
      </c>
      <c r="I66" s="114" t="s">
        <v>2018</v>
      </c>
      <c r="J66" s="115"/>
      <c r="K66" s="115"/>
      <c r="L66" s="115"/>
      <c r="M66" s="114" t="s">
        <v>39</v>
      </c>
      <c r="N66" s="114" t="s">
        <v>2268</v>
      </c>
      <c r="O66" s="115"/>
      <c r="P66" s="115"/>
      <c r="Q66" s="115"/>
      <c r="R66" s="114" t="s">
        <v>2384</v>
      </c>
      <c r="S66" s="114">
        <v>225.0</v>
      </c>
      <c r="T66" s="116" t="s">
        <v>2642</v>
      </c>
      <c r="U66" s="114" t="s">
        <v>2643</v>
      </c>
      <c r="V66" s="115"/>
      <c r="W66" s="114" t="s">
        <v>108</v>
      </c>
      <c r="X66" s="115"/>
      <c r="Y66" s="115"/>
      <c r="Z66" s="115"/>
      <c r="AA66" s="115"/>
      <c r="AB66" s="115"/>
      <c r="AC66" s="115"/>
    </row>
    <row r="67">
      <c r="A67" s="113" t="s">
        <v>2644</v>
      </c>
      <c r="B67" s="114" t="s">
        <v>1452</v>
      </c>
      <c r="C67" s="114" t="s">
        <v>103</v>
      </c>
      <c r="D67" s="115"/>
      <c r="E67" s="114" t="s">
        <v>2222</v>
      </c>
      <c r="F67" s="114" t="s">
        <v>2513</v>
      </c>
      <c r="G67" s="115"/>
      <c r="H67" s="114" t="s">
        <v>2001</v>
      </c>
      <c r="I67" s="114" t="s">
        <v>2018</v>
      </c>
      <c r="J67" s="114" t="s">
        <v>2312</v>
      </c>
      <c r="K67" s="114" t="s">
        <v>2645</v>
      </c>
      <c r="L67" s="115"/>
      <c r="M67" s="114" t="s">
        <v>39</v>
      </c>
      <c r="N67" s="114" t="s">
        <v>2268</v>
      </c>
      <c r="O67" s="115"/>
      <c r="P67" s="115"/>
      <c r="Q67" s="115"/>
      <c r="R67" s="114" t="s">
        <v>2384</v>
      </c>
      <c r="S67" s="114">
        <v>225.0</v>
      </c>
      <c r="T67" s="116" t="s">
        <v>2646</v>
      </c>
      <c r="U67" s="114" t="s">
        <v>2647</v>
      </c>
      <c r="V67" s="115"/>
      <c r="W67" s="115"/>
      <c r="X67" s="114" t="s">
        <v>130</v>
      </c>
      <c r="Y67" s="115"/>
      <c r="Z67" s="115"/>
      <c r="AA67" s="114" t="s">
        <v>199</v>
      </c>
      <c r="AB67" s="115"/>
      <c r="AC67" s="115"/>
    </row>
    <row r="68">
      <c r="A68" s="113" t="s">
        <v>2648</v>
      </c>
      <c r="B68" s="114" t="s">
        <v>1594</v>
      </c>
      <c r="C68" s="114" t="s">
        <v>103</v>
      </c>
      <c r="D68" s="115"/>
      <c r="E68" s="114" t="s">
        <v>2222</v>
      </c>
      <c r="F68" s="114" t="s">
        <v>2513</v>
      </c>
      <c r="G68" s="115"/>
      <c r="H68" s="114" t="s">
        <v>2001</v>
      </c>
      <c r="I68" s="114" t="s">
        <v>2018</v>
      </c>
      <c r="J68" s="115"/>
      <c r="K68" s="115"/>
      <c r="L68" s="115"/>
      <c r="M68" s="114" t="s">
        <v>39</v>
      </c>
      <c r="N68" s="114" t="s">
        <v>2268</v>
      </c>
      <c r="O68" s="115"/>
      <c r="P68" s="115"/>
      <c r="Q68" s="115"/>
      <c r="R68" s="114" t="s">
        <v>2384</v>
      </c>
      <c r="S68" s="114">
        <v>226.0</v>
      </c>
      <c r="T68" s="116" t="s">
        <v>2649</v>
      </c>
      <c r="U68" s="114" t="s">
        <v>2647</v>
      </c>
      <c r="V68" s="115"/>
      <c r="W68" s="115"/>
      <c r="X68" s="114" t="s">
        <v>130</v>
      </c>
      <c r="Y68" s="115"/>
      <c r="Z68" s="115"/>
      <c r="AA68" s="115"/>
      <c r="AB68" s="115"/>
      <c r="AC68" s="114" t="s">
        <v>250</v>
      </c>
    </row>
    <row r="69">
      <c r="A69" s="113" t="s">
        <v>2650</v>
      </c>
      <c r="B69" s="114" t="s">
        <v>1223</v>
      </c>
      <c r="C69" s="114" t="s">
        <v>103</v>
      </c>
      <c r="D69" s="115"/>
      <c r="E69" s="114" t="s">
        <v>2222</v>
      </c>
      <c r="F69" s="114" t="s">
        <v>2513</v>
      </c>
      <c r="G69" s="115"/>
      <c r="H69" s="114" t="s">
        <v>2001</v>
      </c>
      <c r="I69" s="114" t="s">
        <v>2018</v>
      </c>
      <c r="J69" s="115"/>
      <c r="K69" s="115"/>
      <c r="L69" s="115"/>
      <c r="M69" s="114" t="s">
        <v>39</v>
      </c>
      <c r="N69" s="114" t="s">
        <v>2268</v>
      </c>
      <c r="O69" s="115"/>
      <c r="P69" s="115"/>
      <c r="Q69" s="115"/>
      <c r="R69" s="114" t="s">
        <v>2384</v>
      </c>
      <c r="S69" s="114">
        <v>226.0</v>
      </c>
      <c r="T69" s="116" t="s">
        <v>2651</v>
      </c>
      <c r="U69" s="114" t="s">
        <v>2652</v>
      </c>
      <c r="V69" s="115"/>
      <c r="W69" s="115"/>
      <c r="X69" s="114" t="s">
        <v>130</v>
      </c>
      <c r="Y69" s="115"/>
      <c r="Z69" s="115"/>
      <c r="AA69" s="114" t="s">
        <v>199</v>
      </c>
      <c r="AB69" s="115"/>
      <c r="AC69" s="115"/>
    </row>
    <row r="70">
      <c r="A70" s="113" t="s">
        <v>2653</v>
      </c>
      <c r="B70" s="114" t="s">
        <v>1452</v>
      </c>
      <c r="C70" s="114" t="s">
        <v>103</v>
      </c>
      <c r="D70" s="115"/>
      <c r="E70" s="114" t="s">
        <v>2380</v>
      </c>
      <c r="F70" s="114" t="s">
        <v>2561</v>
      </c>
      <c r="G70" s="114" t="s">
        <v>2654</v>
      </c>
      <c r="H70" s="114" t="s">
        <v>2001</v>
      </c>
      <c r="I70" s="114" t="s">
        <v>2018</v>
      </c>
      <c r="J70" s="114" t="s">
        <v>2312</v>
      </c>
      <c r="K70" s="114" t="s">
        <v>2639</v>
      </c>
      <c r="L70" s="115"/>
      <c r="M70" s="115"/>
      <c r="N70" s="114" t="s">
        <v>70</v>
      </c>
      <c r="O70" s="114" t="s">
        <v>2515</v>
      </c>
      <c r="P70" s="114" t="s">
        <v>2578</v>
      </c>
      <c r="Q70" s="114" t="s">
        <v>2527</v>
      </c>
      <c r="R70" s="114" t="s">
        <v>2384</v>
      </c>
      <c r="S70" s="114">
        <v>226.0</v>
      </c>
      <c r="T70" s="116" t="s">
        <v>2640</v>
      </c>
      <c r="U70" s="115"/>
      <c r="V70" s="115"/>
      <c r="W70" s="115"/>
      <c r="X70" s="115"/>
      <c r="Y70" s="115"/>
      <c r="Z70" s="114" t="s">
        <v>443</v>
      </c>
      <c r="AA70" s="115"/>
      <c r="AB70" s="115"/>
      <c r="AC70" s="115"/>
    </row>
    <row r="71">
      <c r="A71" s="113" t="s">
        <v>2655</v>
      </c>
      <c r="B71" s="114" t="s">
        <v>1223</v>
      </c>
      <c r="C71" s="114" t="s">
        <v>103</v>
      </c>
      <c r="D71" s="115"/>
      <c r="E71" s="114" t="s">
        <v>2380</v>
      </c>
      <c r="F71" s="114" t="s">
        <v>1174</v>
      </c>
      <c r="G71" s="115"/>
      <c r="H71" s="114" t="s">
        <v>2001</v>
      </c>
      <c r="I71" s="114" t="s">
        <v>2018</v>
      </c>
      <c r="J71" s="114" t="s">
        <v>2312</v>
      </c>
      <c r="K71" s="114" t="s">
        <v>2656</v>
      </c>
      <c r="L71" s="115"/>
      <c r="M71" s="114" t="s">
        <v>39</v>
      </c>
      <c r="N71" s="114" t="s">
        <v>2268</v>
      </c>
      <c r="O71" s="115"/>
      <c r="P71" s="115"/>
      <c r="Q71" s="115"/>
      <c r="R71" s="114" t="s">
        <v>2384</v>
      </c>
      <c r="S71" s="114">
        <v>226.0</v>
      </c>
      <c r="T71" s="116" t="s">
        <v>2657</v>
      </c>
      <c r="U71" s="114" t="s">
        <v>2652</v>
      </c>
      <c r="V71" s="115"/>
      <c r="W71" s="115"/>
      <c r="X71" s="114" t="s">
        <v>130</v>
      </c>
      <c r="Y71" s="115"/>
      <c r="Z71" s="114" t="s">
        <v>443</v>
      </c>
      <c r="AA71" s="115"/>
      <c r="AB71" s="115"/>
      <c r="AC71" s="115"/>
    </row>
    <row r="72">
      <c r="A72" s="113" t="s">
        <v>2658</v>
      </c>
      <c r="B72" s="114" t="s">
        <v>1452</v>
      </c>
      <c r="C72" s="114" t="s">
        <v>144</v>
      </c>
      <c r="D72" s="114" t="s">
        <v>28</v>
      </c>
      <c r="E72" s="114" t="s">
        <v>2222</v>
      </c>
      <c r="F72" s="114" t="s">
        <v>78</v>
      </c>
      <c r="G72" s="115"/>
      <c r="H72" s="114" t="s">
        <v>2001</v>
      </c>
      <c r="I72" s="115"/>
      <c r="J72" s="115"/>
      <c r="K72" s="115"/>
      <c r="L72" s="115"/>
      <c r="M72" s="115"/>
      <c r="N72" s="114" t="s">
        <v>2222</v>
      </c>
      <c r="O72" s="114" t="s">
        <v>2659</v>
      </c>
      <c r="P72" s="114" t="s">
        <v>2052</v>
      </c>
      <c r="Q72" s="114" t="s">
        <v>2660</v>
      </c>
      <c r="R72" s="114" t="s">
        <v>2384</v>
      </c>
      <c r="S72" s="114">
        <v>226.0</v>
      </c>
      <c r="T72" s="116" t="s">
        <v>2661</v>
      </c>
      <c r="U72" s="115"/>
      <c r="V72" s="115"/>
      <c r="W72" s="115"/>
      <c r="X72" s="115"/>
      <c r="Y72" s="115"/>
      <c r="Z72" s="115"/>
      <c r="AA72" s="114" t="s">
        <v>199</v>
      </c>
      <c r="AB72" s="115"/>
      <c r="AC72" s="114" t="s">
        <v>250</v>
      </c>
    </row>
    <row r="73">
      <c r="A73" s="113" t="s">
        <v>2662</v>
      </c>
      <c r="B73" s="114" t="s">
        <v>1452</v>
      </c>
      <c r="C73" s="114" t="s">
        <v>140</v>
      </c>
      <c r="D73" s="115"/>
      <c r="E73" s="114" t="s">
        <v>2380</v>
      </c>
      <c r="F73" s="114" t="s">
        <v>71</v>
      </c>
      <c r="G73" s="114" t="s">
        <v>2506</v>
      </c>
      <c r="H73" s="114" t="s">
        <v>2001</v>
      </c>
      <c r="I73" s="114" t="s">
        <v>2018</v>
      </c>
      <c r="J73" s="115"/>
      <c r="K73" s="115"/>
      <c r="L73" s="115"/>
      <c r="M73" s="115"/>
      <c r="N73" s="114" t="s">
        <v>2663</v>
      </c>
      <c r="O73" s="114" t="s">
        <v>2664</v>
      </c>
      <c r="P73" s="115"/>
      <c r="Q73" s="115"/>
      <c r="R73" s="114" t="s">
        <v>2384</v>
      </c>
      <c r="S73" s="114">
        <v>227.0</v>
      </c>
      <c r="T73" s="116" t="s">
        <v>2665</v>
      </c>
      <c r="U73" s="115"/>
      <c r="V73" s="115"/>
      <c r="W73" s="114" t="s">
        <v>108</v>
      </c>
      <c r="X73" s="114" t="s">
        <v>130</v>
      </c>
      <c r="Y73" s="114" t="s">
        <v>2418</v>
      </c>
      <c r="Z73" s="115"/>
      <c r="AA73" s="115"/>
      <c r="AB73" s="115"/>
      <c r="AC73" s="115"/>
    </row>
    <row r="74">
      <c r="A74" s="113" t="s">
        <v>2666</v>
      </c>
      <c r="B74" s="114" t="s">
        <v>1594</v>
      </c>
      <c r="C74" s="114" t="s">
        <v>76</v>
      </c>
      <c r="D74" s="115"/>
      <c r="E74" s="114" t="s">
        <v>134</v>
      </c>
      <c r="F74" s="114" t="s">
        <v>78</v>
      </c>
      <c r="G74" s="114" t="s">
        <v>78</v>
      </c>
      <c r="H74" s="114" t="s">
        <v>2001</v>
      </c>
      <c r="I74" s="114" t="s">
        <v>2018</v>
      </c>
      <c r="J74" s="114" t="s">
        <v>2312</v>
      </c>
      <c r="K74" s="114" t="s">
        <v>2667</v>
      </c>
      <c r="L74" s="114" t="s">
        <v>2668</v>
      </c>
      <c r="M74" s="115"/>
      <c r="N74" s="114" t="s">
        <v>2433</v>
      </c>
      <c r="O74" s="115"/>
      <c r="P74" s="115"/>
      <c r="Q74" s="115"/>
      <c r="R74" s="114" t="s">
        <v>2384</v>
      </c>
      <c r="S74" s="114">
        <v>227.0</v>
      </c>
      <c r="T74" s="116" t="s">
        <v>2669</v>
      </c>
      <c r="U74" s="115"/>
      <c r="V74" s="115"/>
      <c r="W74" s="115"/>
      <c r="X74" s="115"/>
      <c r="Y74" s="115"/>
      <c r="Z74" s="115"/>
      <c r="AA74" s="114" t="s">
        <v>199</v>
      </c>
      <c r="AB74" s="115"/>
      <c r="AC74" s="115"/>
    </row>
    <row r="75">
      <c r="A75" s="113" t="s">
        <v>2670</v>
      </c>
      <c r="B75" s="114" t="s">
        <v>672</v>
      </c>
      <c r="C75" s="114" t="s">
        <v>76</v>
      </c>
      <c r="D75" s="115"/>
      <c r="E75" s="114" t="s">
        <v>2380</v>
      </c>
      <c r="F75" s="114" t="s">
        <v>71</v>
      </c>
      <c r="G75" s="114" t="s">
        <v>2671</v>
      </c>
      <c r="H75" s="114" t="s">
        <v>2001</v>
      </c>
      <c r="I75" s="114" t="s">
        <v>2018</v>
      </c>
      <c r="J75" s="114" t="s">
        <v>2312</v>
      </c>
      <c r="K75" s="114" t="s">
        <v>2672</v>
      </c>
      <c r="L75" s="114" t="s">
        <v>2577</v>
      </c>
      <c r="M75" s="115"/>
      <c r="N75" s="114" t="s">
        <v>2446</v>
      </c>
      <c r="O75" s="115"/>
      <c r="P75" s="115"/>
      <c r="Q75" s="115"/>
      <c r="R75" s="114" t="s">
        <v>2384</v>
      </c>
      <c r="S75" s="114">
        <v>227.0</v>
      </c>
      <c r="T75" s="116" t="s">
        <v>2673</v>
      </c>
      <c r="U75" s="115"/>
      <c r="V75" s="115"/>
      <c r="W75" s="114" t="s">
        <v>108</v>
      </c>
      <c r="X75" s="115"/>
      <c r="Y75" s="115"/>
      <c r="Z75" s="115"/>
      <c r="AA75" s="114" t="s">
        <v>199</v>
      </c>
      <c r="AB75" s="115"/>
      <c r="AC75" s="115"/>
    </row>
    <row r="76">
      <c r="A76" s="113" t="s">
        <v>2674</v>
      </c>
      <c r="B76" s="114" t="s">
        <v>1223</v>
      </c>
      <c r="C76" s="114" t="s">
        <v>85</v>
      </c>
      <c r="D76" s="115"/>
      <c r="E76" s="114" t="s">
        <v>2380</v>
      </c>
      <c r="F76" s="114" t="s">
        <v>2675</v>
      </c>
      <c r="G76" s="114" t="s">
        <v>2676</v>
      </c>
      <c r="H76" s="114" t="s">
        <v>2001</v>
      </c>
      <c r="I76" s="114" t="s">
        <v>2018</v>
      </c>
      <c r="J76" s="114" t="s">
        <v>2312</v>
      </c>
      <c r="K76" s="114" t="s">
        <v>2677</v>
      </c>
      <c r="L76" s="115"/>
      <c r="M76" s="114" t="s">
        <v>39</v>
      </c>
      <c r="N76" s="114" t="s">
        <v>134</v>
      </c>
      <c r="O76" s="115"/>
      <c r="P76" s="115"/>
      <c r="Q76" s="115"/>
      <c r="R76" s="114" t="s">
        <v>2384</v>
      </c>
      <c r="S76" s="114">
        <v>227.0</v>
      </c>
      <c r="T76" s="116" t="s">
        <v>2678</v>
      </c>
      <c r="U76" s="115"/>
      <c r="V76" s="115"/>
      <c r="W76" s="114" t="s">
        <v>108</v>
      </c>
      <c r="X76" s="114" t="s">
        <v>130</v>
      </c>
      <c r="Y76" s="115"/>
      <c r="Z76" s="115"/>
      <c r="AA76" s="114" t="s">
        <v>199</v>
      </c>
      <c r="AB76" s="115"/>
      <c r="AC76" s="115"/>
    </row>
    <row r="77">
      <c r="A77" s="113" t="s">
        <v>2679</v>
      </c>
      <c r="B77" s="114" t="s">
        <v>1837</v>
      </c>
      <c r="C77" s="114" t="s">
        <v>85</v>
      </c>
      <c r="D77" s="115"/>
      <c r="E77" s="114" t="s">
        <v>134</v>
      </c>
      <c r="F77" s="114" t="s">
        <v>78</v>
      </c>
      <c r="G77" s="114" t="s">
        <v>2680</v>
      </c>
      <c r="H77" s="114" t="s">
        <v>2001</v>
      </c>
      <c r="I77" s="114" t="s">
        <v>2018</v>
      </c>
      <c r="J77" s="114" t="s">
        <v>2312</v>
      </c>
      <c r="K77" s="114" t="s">
        <v>2681</v>
      </c>
      <c r="L77" s="115"/>
      <c r="M77" s="114" t="s">
        <v>39</v>
      </c>
      <c r="N77" s="114" t="s">
        <v>1008</v>
      </c>
      <c r="O77" s="115"/>
      <c r="P77" s="115"/>
      <c r="Q77" s="115"/>
      <c r="R77" s="114" t="s">
        <v>2384</v>
      </c>
      <c r="S77" s="114">
        <v>228.0</v>
      </c>
      <c r="T77" s="116" t="s">
        <v>2682</v>
      </c>
      <c r="U77" s="115"/>
      <c r="V77" s="115"/>
      <c r="W77" s="114" t="s">
        <v>108</v>
      </c>
      <c r="X77" s="114" t="s">
        <v>130</v>
      </c>
      <c r="Y77" s="115"/>
      <c r="Z77" s="115"/>
      <c r="AA77" s="114" t="s">
        <v>199</v>
      </c>
      <c r="AB77" s="115"/>
      <c r="AC77" s="115"/>
    </row>
    <row r="78">
      <c r="A78" s="113" t="s">
        <v>2683</v>
      </c>
      <c r="B78" s="114" t="s">
        <v>672</v>
      </c>
      <c r="C78" s="114" t="s">
        <v>85</v>
      </c>
      <c r="D78" s="115"/>
      <c r="E78" s="114" t="s">
        <v>2380</v>
      </c>
      <c r="F78" s="114" t="s">
        <v>2684</v>
      </c>
      <c r="G78" s="114" t="s">
        <v>2685</v>
      </c>
      <c r="H78" s="114" t="s">
        <v>2001</v>
      </c>
      <c r="I78" s="114" t="s">
        <v>2018</v>
      </c>
      <c r="J78" s="114" t="s">
        <v>2312</v>
      </c>
      <c r="K78" s="114" t="s">
        <v>2686</v>
      </c>
      <c r="L78" s="115"/>
      <c r="M78" s="115"/>
      <c r="N78" s="114" t="s">
        <v>1008</v>
      </c>
      <c r="O78" s="114" t="s">
        <v>2382</v>
      </c>
      <c r="P78" s="114" t="s">
        <v>2106</v>
      </c>
      <c r="Q78" s="114" t="s">
        <v>2383</v>
      </c>
      <c r="R78" s="114" t="s">
        <v>2384</v>
      </c>
      <c r="S78" s="114">
        <v>228.0</v>
      </c>
      <c r="T78" s="116" t="s">
        <v>2687</v>
      </c>
      <c r="U78" s="114" t="s">
        <v>2688</v>
      </c>
      <c r="V78" s="115"/>
      <c r="W78" s="115"/>
      <c r="X78" s="115"/>
      <c r="Y78" s="115"/>
      <c r="Z78" s="114" t="s">
        <v>443</v>
      </c>
      <c r="AA78" s="115"/>
      <c r="AB78" s="115"/>
      <c r="AC78" s="115"/>
    </row>
    <row r="79">
      <c r="A79" s="113" t="s">
        <v>2689</v>
      </c>
      <c r="B79" s="114" t="s">
        <v>945</v>
      </c>
      <c r="C79" s="114" t="s">
        <v>178</v>
      </c>
      <c r="D79" s="115"/>
      <c r="E79" s="114" t="s">
        <v>2690</v>
      </c>
      <c r="F79" s="114" t="s">
        <v>1174</v>
      </c>
      <c r="G79" s="114" t="s">
        <v>2691</v>
      </c>
      <c r="H79" s="115"/>
      <c r="I79" s="114" t="s">
        <v>2018</v>
      </c>
      <c r="J79" s="115"/>
      <c r="K79" s="115"/>
      <c r="L79" s="115"/>
      <c r="M79" s="115"/>
      <c r="N79" s="114" t="s">
        <v>70</v>
      </c>
      <c r="O79" s="114" t="s">
        <v>2692</v>
      </c>
      <c r="P79" s="115"/>
      <c r="Q79" s="115"/>
      <c r="R79" s="114" t="s">
        <v>2384</v>
      </c>
      <c r="S79" s="114">
        <v>228.0</v>
      </c>
      <c r="T79" s="116" t="s">
        <v>2693</v>
      </c>
      <c r="U79" s="114" t="s">
        <v>2694</v>
      </c>
      <c r="V79" s="115"/>
      <c r="W79" s="115"/>
      <c r="X79" s="115"/>
      <c r="Y79" s="115"/>
      <c r="Z79" s="115"/>
      <c r="AA79" s="114" t="s">
        <v>199</v>
      </c>
      <c r="AB79" s="114" t="s">
        <v>75</v>
      </c>
      <c r="AC79" s="114" t="s">
        <v>250</v>
      </c>
    </row>
    <row r="80">
      <c r="A80" s="113" t="s">
        <v>2695</v>
      </c>
      <c r="B80" s="114" t="s">
        <v>945</v>
      </c>
      <c r="C80" s="114" t="s">
        <v>103</v>
      </c>
      <c r="D80" s="115"/>
      <c r="E80" s="114" t="s">
        <v>2380</v>
      </c>
      <c r="F80" s="114" t="s">
        <v>2214</v>
      </c>
      <c r="G80" s="115"/>
      <c r="H80" s="114" t="s">
        <v>2001</v>
      </c>
      <c r="I80" s="114" t="s">
        <v>2018</v>
      </c>
      <c r="J80" s="115"/>
      <c r="K80" s="115"/>
      <c r="L80" s="115"/>
      <c r="M80" s="115"/>
      <c r="N80" s="114" t="s">
        <v>70</v>
      </c>
      <c r="O80" s="115"/>
      <c r="P80" s="115"/>
      <c r="Q80" s="115"/>
      <c r="R80" s="114" t="s">
        <v>2384</v>
      </c>
      <c r="S80" s="114">
        <v>229.0</v>
      </c>
      <c r="T80" s="116" t="s">
        <v>2696</v>
      </c>
      <c r="U80" s="115"/>
      <c r="V80" s="115"/>
      <c r="W80" s="114" t="s">
        <v>108</v>
      </c>
      <c r="X80" s="114" t="s">
        <v>2542</v>
      </c>
      <c r="Y80" s="114" t="s">
        <v>570</v>
      </c>
      <c r="Z80" s="115"/>
      <c r="AA80" s="115"/>
      <c r="AB80" s="115"/>
      <c r="AC80" s="115"/>
    </row>
    <row r="81">
      <c r="A81" s="113" t="s">
        <v>2697</v>
      </c>
      <c r="B81" s="114" t="s">
        <v>444</v>
      </c>
      <c r="C81" s="114" t="s">
        <v>85</v>
      </c>
      <c r="D81" s="115"/>
      <c r="E81" s="114" t="s">
        <v>2380</v>
      </c>
      <c r="F81" s="114" t="s">
        <v>2214</v>
      </c>
      <c r="G81" s="114" t="s">
        <v>2698</v>
      </c>
      <c r="H81" s="114" t="s">
        <v>2001</v>
      </c>
      <c r="I81" s="114" t="s">
        <v>2018</v>
      </c>
      <c r="J81" s="114" t="s">
        <v>2312</v>
      </c>
      <c r="K81" s="114" t="s">
        <v>2699</v>
      </c>
      <c r="L81" s="115"/>
      <c r="M81" s="115"/>
      <c r="N81" s="114" t="s">
        <v>70</v>
      </c>
      <c r="O81" s="115"/>
      <c r="P81" s="115"/>
      <c r="Q81" s="115"/>
      <c r="R81" s="114" t="s">
        <v>2384</v>
      </c>
      <c r="S81" s="114">
        <v>229.0</v>
      </c>
      <c r="T81" s="116" t="s">
        <v>2700</v>
      </c>
      <c r="U81" s="115"/>
      <c r="V81" s="115"/>
      <c r="W81" s="114" t="s">
        <v>108</v>
      </c>
      <c r="X81" s="114" t="s">
        <v>130</v>
      </c>
      <c r="Y81" s="115"/>
      <c r="Z81" s="115"/>
      <c r="AA81" s="115"/>
      <c r="AB81" s="115"/>
      <c r="AC81" s="115"/>
    </row>
    <row r="82">
      <c r="A82" s="113" t="s">
        <v>2701</v>
      </c>
      <c r="B82" s="114" t="s">
        <v>1594</v>
      </c>
      <c r="C82" s="114" t="s">
        <v>140</v>
      </c>
      <c r="D82" s="115"/>
      <c r="E82" s="114" t="s">
        <v>2222</v>
      </c>
      <c r="F82" s="114" t="s">
        <v>2413</v>
      </c>
      <c r="G82" s="115"/>
      <c r="H82" s="114" t="s">
        <v>2001</v>
      </c>
      <c r="I82" s="114" t="s">
        <v>2018</v>
      </c>
      <c r="J82" s="114" t="s">
        <v>2312</v>
      </c>
      <c r="K82" s="114" t="s">
        <v>2508</v>
      </c>
      <c r="L82" s="114" t="s">
        <v>2702</v>
      </c>
      <c r="M82" s="115"/>
      <c r="N82" s="114" t="s">
        <v>70</v>
      </c>
      <c r="O82" s="115"/>
      <c r="P82" s="115"/>
      <c r="Q82" s="115"/>
      <c r="R82" s="114" t="s">
        <v>2384</v>
      </c>
      <c r="S82" s="114">
        <v>229.0</v>
      </c>
      <c r="T82" s="116" t="s">
        <v>2703</v>
      </c>
      <c r="U82" s="114" t="s">
        <v>2508</v>
      </c>
      <c r="V82" s="115"/>
      <c r="W82" s="114" t="s">
        <v>108</v>
      </c>
      <c r="X82" s="115"/>
      <c r="Y82" s="115"/>
      <c r="Z82" s="115"/>
      <c r="AA82" s="114" t="s">
        <v>199</v>
      </c>
      <c r="AB82" s="115"/>
      <c r="AC82" s="114" t="s">
        <v>250</v>
      </c>
    </row>
    <row r="83">
      <c r="A83" s="113" t="s">
        <v>2704</v>
      </c>
      <c r="B83" s="114" t="s">
        <v>1452</v>
      </c>
      <c r="C83" s="114" t="s">
        <v>65</v>
      </c>
      <c r="D83" s="115"/>
      <c r="E83" s="114" t="s">
        <v>2222</v>
      </c>
      <c r="F83" s="114" t="s">
        <v>2214</v>
      </c>
      <c r="G83" s="115"/>
      <c r="H83" s="114" t="s">
        <v>2001</v>
      </c>
      <c r="I83" s="114" t="s">
        <v>2018</v>
      </c>
      <c r="J83" s="114" t="s">
        <v>2312</v>
      </c>
      <c r="K83" s="114" t="s">
        <v>2705</v>
      </c>
      <c r="L83" s="115"/>
      <c r="M83" s="115"/>
      <c r="N83" s="114" t="s">
        <v>2508</v>
      </c>
      <c r="O83" s="115"/>
      <c r="P83" s="115"/>
      <c r="Q83" s="115"/>
      <c r="R83" s="114" t="s">
        <v>2384</v>
      </c>
      <c r="S83" s="114">
        <v>229.0</v>
      </c>
      <c r="T83" s="116" t="s">
        <v>2706</v>
      </c>
      <c r="U83" s="114" t="s">
        <v>2707</v>
      </c>
      <c r="V83" s="115"/>
      <c r="W83" s="115"/>
      <c r="X83" s="115"/>
      <c r="Y83" s="115"/>
      <c r="Z83" s="115"/>
      <c r="AA83" s="114" t="s">
        <v>199</v>
      </c>
      <c r="AB83" s="114" t="s">
        <v>75</v>
      </c>
      <c r="AC83" s="115"/>
    </row>
    <row r="84">
      <c r="A84" s="113" t="s">
        <v>2708</v>
      </c>
      <c r="B84" s="114" t="s">
        <v>672</v>
      </c>
      <c r="C84" s="114" t="s">
        <v>183</v>
      </c>
      <c r="D84" s="115"/>
      <c r="E84" s="114" t="s">
        <v>2380</v>
      </c>
      <c r="F84" s="114" t="s">
        <v>2223</v>
      </c>
      <c r="G84" s="114" t="s">
        <v>2568</v>
      </c>
      <c r="H84" s="114" t="s">
        <v>2001</v>
      </c>
      <c r="I84" s="114" t="s">
        <v>2018</v>
      </c>
      <c r="J84" s="115"/>
      <c r="K84" s="115"/>
      <c r="L84" s="115"/>
      <c r="M84" s="114" t="s">
        <v>39</v>
      </c>
      <c r="N84" s="114" t="s">
        <v>2222</v>
      </c>
      <c r="O84" s="114" t="s">
        <v>2709</v>
      </c>
      <c r="P84" s="115"/>
      <c r="Q84" s="115"/>
      <c r="R84" s="114" t="s">
        <v>2384</v>
      </c>
      <c r="S84" s="114">
        <v>229.0</v>
      </c>
      <c r="T84" s="116" t="s">
        <v>2710</v>
      </c>
      <c r="U84" s="115"/>
      <c r="V84" s="114" t="s">
        <v>123</v>
      </c>
      <c r="W84" s="115"/>
      <c r="X84" s="115"/>
      <c r="Y84" s="114" t="s">
        <v>2418</v>
      </c>
      <c r="Z84" s="115"/>
      <c r="AA84" s="114" t="s">
        <v>199</v>
      </c>
      <c r="AB84" s="114" t="s">
        <v>75</v>
      </c>
      <c r="AC84" s="114" t="s">
        <v>250</v>
      </c>
    </row>
    <row r="85">
      <c r="A85" s="113" t="s">
        <v>2711</v>
      </c>
      <c r="B85" s="114" t="s">
        <v>945</v>
      </c>
      <c r="C85" s="114" t="s">
        <v>76</v>
      </c>
      <c r="D85" s="115"/>
      <c r="E85" s="114" t="s">
        <v>2380</v>
      </c>
      <c r="F85" s="114" t="s">
        <v>78</v>
      </c>
      <c r="G85" s="114" t="s">
        <v>913</v>
      </c>
      <c r="H85" s="114" t="s">
        <v>2001</v>
      </c>
      <c r="I85" s="115"/>
      <c r="J85" s="115"/>
      <c r="K85" s="115"/>
      <c r="L85" s="115"/>
      <c r="M85" s="114" t="s">
        <v>39</v>
      </c>
      <c r="N85" s="114" t="s">
        <v>2222</v>
      </c>
      <c r="O85" s="115"/>
      <c r="P85" s="115"/>
      <c r="Q85" s="115"/>
      <c r="R85" s="114" t="s">
        <v>2384</v>
      </c>
      <c r="S85" s="114">
        <v>230.0</v>
      </c>
      <c r="T85" s="116" t="s">
        <v>2712</v>
      </c>
      <c r="U85" s="115"/>
      <c r="V85" s="115"/>
      <c r="W85" s="114" t="s">
        <v>2713</v>
      </c>
      <c r="X85" s="115"/>
      <c r="Y85" s="114" t="s">
        <v>570</v>
      </c>
      <c r="Z85" s="115"/>
      <c r="AA85" s="115"/>
      <c r="AB85" s="115"/>
      <c r="AC85" s="115"/>
    </row>
    <row r="86">
      <c r="A86" s="113" t="s">
        <v>2714</v>
      </c>
      <c r="B86" s="114" t="s">
        <v>444</v>
      </c>
      <c r="C86" s="114" t="s">
        <v>76</v>
      </c>
      <c r="D86" s="115"/>
      <c r="E86" s="114" t="s">
        <v>2380</v>
      </c>
      <c r="F86" s="114" t="s">
        <v>71</v>
      </c>
      <c r="G86" s="114" t="s">
        <v>2506</v>
      </c>
      <c r="H86" s="114" t="s">
        <v>2001</v>
      </c>
      <c r="I86" s="114" t="s">
        <v>2018</v>
      </c>
      <c r="J86" s="115"/>
      <c r="K86" s="115"/>
      <c r="L86" s="115"/>
      <c r="M86" s="115"/>
      <c r="N86" s="114" t="s">
        <v>70</v>
      </c>
      <c r="O86" s="115"/>
      <c r="P86" s="115"/>
      <c r="Q86" s="114" t="s">
        <v>2578</v>
      </c>
      <c r="R86" s="114" t="s">
        <v>2384</v>
      </c>
      <c r="S86" s="114">
        <v>230.0</v>
      </c>
      <c r="T86" s="116" t="s">
        <v>2715</v>
      </c>
      <c r="U86" s="114" t="s">
        <v>2716</v>
      </c>
      <c r="V86" s="114" t="s">
        <v>123</v>
      </c>
      <c r="W86" s="114" t="s">
        <v>108</v>
      </c>
      <c r="X86" s="114" t="s">
        <v>130</v>
      </c>
      <c r="Y86" s="114" t="s">
        <v>570</v>
      </c>
      <c r="Z86" s="114" t="s">
        <v>443</v>
      </c>
      <c r="AA86" s="115"/>
      <c r="AB86" s="115"/>
      <c r="AC86" s="115"/>
    </row>
    <row r="87">
      <c r="A87" s="113" t="s">
        <v>2717</v>
      </c>
      <c r="B87" s="114" t="s">
        <v>64</v>
      </c>
      <c r="C87" s="114" t="s">
        <v>76</v>
      </c>
      <c r="D87" s="115"/>
      <c r="E87" s="114" t="s">
        <v>2380</v>
      </c>
      <c r="F87" s="114" t="s">
        <v>2223</v>
      </c>
      <c r="G87" s="115"/>
      <c r="H87" s="114" t="s">
        <v>2001</v>
      </c>
      <c r="I87" s="114" t="s">
        <v>2018</v>
      </c>
      <c r="J87" s="114" t="s">
        <v>2312</v>
      </c>
      <c r="K87" s="114" t="s">
        <v>2718</v>
      </c>
      <c r="L87" s="115"/>
      <c r="M87" s="114" t="s">
        <v>39</v>
      </c>
      <c r="N87" s="114" t="s">
        <v>2222</v>
      </c>
      <c r="O87" s="115"/>
      <c r="P87" s="115"/>
      <c r="Q87" s="115"/>
      <c r="R87" s="114" t="s">
        <v>2384</v>
      </c>
      <c r="S87" s="114">
        <v>230.0</v>
      </c>
      <c r="T87" s="116" t="s">
        <v>2719</v>
      </c>
      <c r="U87" s="115"/>
      <c r="V87" s="114" t="s">
        <v>123</v>
      </c>
      <c r="W87" s="115"/>
      <c r="X87" s="115"/>
      <c r="Y87" s="115"/>
      <c r="Z87" s="115"/>
      <c r="AA87" s="114" t="s">
        <v>199</v>
      </c>
      <c r="AB87" s="114" t="s">
        <v>75</v>
      </c>
      <c r="AC87" s="115"/>
    </row>
    <row r="88">
      <c r="A88" s="113" t="s">
        <v>2720</v>
      </c>
      <c r="B88" s="114" t="s">
        <v>672</v>
      </c>
      <c r="C88" s="114" t="s">
        <v>76</v>
      </c>
      <c r="D88" s="115"/>
      <c r="E88" s="114" t="s">
        <v>2380</v>
      </c>
      <c r="F88" s="114" t="s">
        <v>1174</v>
      </c>
      <c r="G88" s="114" t="s">
        <v>2721</v>
      </c>
      <c r="H88" s="114" t="s">
        <v>2001</v>
      </c>
      <c r="I88" s="115"/>
      <c r="J88" s="114" t="s">
        <v>2312</v>
      </c>
      <c r="K88" s="114" t="s">
        <v>2722</v>
      </c>
      <c r="L88" s="115"/>
      <c r="M88" s="114" t="s">
        <v>39</v>
      </c>
      <c r="N88" s="114" t="s">
        <v>134</v>
      </c>
      <c r="O88" s="115"/>
      <c r="P88" s="115"/>
      <c r="Q88" s="115"/>
      <c r="R88" s="114" t="s">
        <v>2384</v>
      </c>
      <c r="S88" s="114">
        <v>230.0</v>
      </c>
      <c r="T88" s="116" t="s">
        <v>2723</v>
      </c>
      <c r="U88" s="115"/>
      <c r="V88" s="115"/>
      <c r="W88" s="115"/>
      <c r="X88" s="114" t="s">
        <v>2724</v>
      </c>
      <c r="Y88" s="114" t="s">
        <v>2418</v>
      </c>
      <c r="Z88" s="115"/>
      <c r="AA88" s="114" t="s">
        <v>199</v>
      </c>
      <c r="AB88" s="114" t="s">
        <v>75</v>
      </c>
      <c r="AC88" s="114" t="s">
        <v>250</v>
      </c>
    </row>
    <row r="89">
      <c r="A89" s="113" t="s">
        <v>2725</v>
      </c>
      <c r="B89" s="114" t="s">
        <v>672</v>
      </c>
      <c r="C89" s="114" t="s">
        <v>85</v>
      </c>
      <c r="D89" s="115"/>
      <c r="E89" s="114" t="s">
        <v>2380</v>
      </c>
      <c r="F89" s="114" t="s">
        <v>71</v>
      </c>
      <c r="G89" s="114" t="s">
        <v>2495</v>
      </c>
      <c r="H89" s="114" t="s">
        <v>2001</v>
      </c>
      <c r="I89" s="114" t="s">
        <v>2018</v>
      </c>
      <c r="J89" s="114" t="s">
        <v>2312</v>
      </c>
      <c r="K89" s="114" t="s">
        <v>2726</v>
      </c>
      <c r="L89" s="115"/>
      <c r="M89" s="115"/>
      <c r="N89" s="114" t="s">
        <v>1008</v>
      </c>
      <c r="O89" s="115"/>
      <c r="P89" s="115"/>
      <c r="Q89" s="115"/>
      <c r="R89" s="114" t="s">
        <v>2384</v>
      </c>
      <c r="S89" s="114">
        <v>230.0</v>
      </c>
      <c r="T89" s="116" t="s">
        <v>2727</v>
      </c>
      <c r="U89" s="115"/>
      <c r="V89" s="115"/>
      <c r="W89" s="115"/>
      <c r="X89" s="114" t="s">
        <v>130</v>
      </c>
      <c r="Y89" s="115"/>
      <c r="Z89" s="114" t="s">
        <v>443</v>
      </c>
      <c r="AA89" s="114" t="s">
        <v>199</v>
      </c>
      <c r="AB89" s="114" t="s">
        <v>75</v>
      </c>
      <c r="AC89" s="115"/>
    </row>
    <row r="90">
      <c r="A90" s="113" t="s">
        <v>2728</v>
      </c>
      <c r="B90" s="114" t="s">
        <v>945</v>
      </c>
      <c r="C90" s="114" t="s">
        <v>76</v>
      </c>
      <c r="D90" s="115"/>
      <c r="E90" s="114" t="s">
        <v>2380</v>
      </c>
      <c r="F90" s="114" t="s">
        <v>1174</v>
      </c>
      <c r="G90" s="114" t="s">
        <v>2581</v>
      </c>
      <c r="H90" s="114" t="s">
        <v>2001</v>
      </c>
      <c r="I90" s="114" t="s">
        <v>2018</v>
      </c>
      <c r="J90" s="115"/>
      <c r="K90" s="115"/>
      <c r="L90" s="115"/>
      <c r="M90" s="115"/>
      <c r="N90" s="114" t="s">
        <v>2268</v>
      </c>
      <c r="O90" s="115"/>
      <c r="P90" s="115"/>
      <c r="Q90" s="115"/>
      <c r="R90" s="114" t="s">
        <v>2384</v>
      </c>
      <c r="S90" s="114">
        <v>230.0</v>
      </c>
      <c r="T90" s="116" t="s">
        <v>2729</v>
      </c>
      <c r="U90" s="115"/>
      <c r="V90" s="115"/>
      <c r="W90" s="114" t="s">
        <v>108</v>
      </c>
      <c r="X90" s="114" t="s">
        <v>130</v>
      </c>
      <c r="Y90" s="114" t="s">
        <v>570</v>
      </c>
      <c r="Z90" s="114" t="s">
        <v>443</v>
      </c>
      <c r="AA90" s="115"/>
      <c r="AB90" s="114" t="s">
        <v>75</v>
      </c>
      <c r="AC90" s="115"/>
    </row>
    <row r="91">
      <c r="A91" s="113" t="s">
        <v>2730</v>
      </c>
      <c r="B91" s="114" t="s">
        <v>1223</v>
      </c>
      <c r="C91" s="114" t="s">
        <v>178</v>
      </c>
      <c r="D91" s="115"/>
      <c r="E91" s="114" t="s">
        <v>2380</v>
      </c>
      <c r="F91" s="114" t="s">
        <v>71</v>
      </c>
      <c r="G91" s="114" t="s">
        <v>2495</v>
      </c>
      <c r="H91" s="114" t="s">
        <v>2001</v>
      </c>
      <c r="I91" s="114" t="s">
        <v>2018</v>
      </c>
      <c r="J91" s="115"/>
      <c r="K91" s="115"/>
      <c r="L91" s="115"/>
      <c r="M91" s="115"/>
      <c r="N91" s="114" t="s">
        <v>1008</v>
      </c>
      <c r="O91" s="115"/>
      <c r="P91" s="115"/>
      <c r="Q91" s="115"/>
      <c r="R91" s="114" t="s">
        <v>2384</v>
      </c>
      <c r="S91" s="114">
        <v>230.0</v>
      </c>
      <c r="T91" s="116" t="s">
        <v>2731</v>
      </c>
      <c r="U91" s="115"/>
      <c r="V91" s="115"/>
      <c r="W91" s="114" t="s">
        <v>108</v>
      </c>
      <c r="X91" s="115"/>
      <c r="Y91" s="114" t="s">
        <v>570</v>
      </c>
      <c r="Z91" s="115"/>
      <c r="AA91" s="115"/>
      <c r="AB91" s="115"/>
      <c r="AC91" s="115"/>
    </row>
    <row r="92">
      <c r="A92" s="113" t="s">
        <v>2732</v>
      </c>
      <c r="B92" s="114" t="s">
        <v>1709</v>
      </c>
      <c r="C92" s="114" t="s">
        <v>76</v>
      </c>
      <c r="D92" s="115"/>
      <c r="E92" s="114" t="s">
        <v>2380</v>
      </c>
      <c r="F92" s="114" t="s">
        <v>2561</v>
      </c>
      <c r="G92" s="114" t="s">
        <v>2558</v>
      </c>
      <c r="H92" s="114" t="s">
        <v>2001</v>
      </c>
      <c r="I92" s="114" t="s">
        <v>2018</v>
      </c>
      <c r="J92" s="114" t="s">
        <v>2312</v>
      </c>
      <c r="K92" s="114" t="s">
        <v>2733</v>
      </c>
      <c r="L92" s="115"/>
      <c r="M92" s="114" t="s">
        <v>39</v>
      </c>
      <c r="N92" s="114" t="s">
        <v>2222</v>
      </c>
      <c r="O92" s="114" t="s">
        <v>2515</v>
      </c>
      <c r="P92" s="114" t="s">
        <v>1997</v>
      </c>
      <c r="Q92" s="114" t="s">
        <v>2734</v>
      </c>
      <c r="R92" s="114" t="s">
        <v>2384</v>
      </c>
      <c r="S92" s="114">
        <v>230.0</v>
      </c>
      <c r="T92" s="116" t="s">
        <v>2735</v>
      </c>
      <c r="U92" s="114" t="s">
        <v>2736</v>
      </c>
      <c r="V92" s="115"/>
      <c r="W92" s="115"/>
      <c r="X92" s="115"/>
      <c r="Y92" s="115"/>
      <c r="Z92" s="115"/>
      <c r="AA92" s="114" t="s">
        <v>199</v>
      </c>
      <c r="AB92" s="114" t="s">
        <v>75</v>
      </c>
      <c r="AC92" s="115"/>
    </row>
    <row r="93">
      <c r="A93" s="113" t="s">
        <v>2737</v>
      </c>
      <c r="B93" s="114" t="s">
        <v>1837</v>
      </c>
      <c r="C93" s="114" t="s">
        <v>103</v>
      </c>
      <c r="D93" s="115"/>
      <c r="E93" s="114" t="s">
        <v>2380</v>
      </c>
      <c r="F93" s="114" t="s">
        <v>1174</v>
      </c>
      <c r="G93" s="115"/>
      <c r="H93" s="115"/>
      <c r="I93" s="114" t="s">
        <v>2018</v>
      </c>
      <c r="J93" s="115"/>
      <c r="K93" s="115"/>
      <c r="L93" s="115"/>
      <c r="M93" s="115"/>
      <c r="N93" s="114" t="s">
        <v>2268</v>
      </c>
      <c r="O93" s="115"/>
      <c r="P93" s="115"/>
      <c r="Q93" s="115"/>
      <c r="R93" s="114" t="s">
        <v>2384</v>
      </c>
      <c r="S93" s="114">
        <v>231.0</v>
      </c>
      <c r="T93" s="116" t="s">
        <v>2738</v>
      </c>
      <c r="U93" s="115"/>
      <c r="V93" s="115"/>
      <c r="W93" s="115"/>
      <c r="X93" s="115"/>
      <c r="Y93" s="115"/>
      <c r="Z93" s="115"/>
      <c r="AA93" s="114" t="s">
        <v>199</v>
      </c>
      <c r="AB93" s="115"/>
      <c r="AC93" s="114" t="s">
        <v>250</v>
      </c>
    </row>
    <row r="94">
      <c r="A94" s="113" t="s">
        <v>2739</v>
      </c>
      <c r="B94" s="114" t="s">
        <v>1452</v>
      </c>
      <c r="C94" s="114" t="s">
        <v>76</v>
      </c>
      <c r="D94" s="115"/>
      <c r="E94" s="114" t="s">
        <v>2380</v>
      </c>
      <c r="F94" s="114" t="s">
        <v>78</v>
      </c>
      <c r="G94" s="114" t="s">
        <v>913</v>
      </c>
      <c r="H94" s="114" t="s">
        <v>2001</v>
      </c>
      <c r="I94" s="115"/>
      <c r="J94" s="115"/>
      <c r="K94" s="115"/>
      <c r="L94" s="115"/>
      <c r="M94" s="115"/>
      <c r="N94" s="114" t="s">
        <v>70</v>
      </c>
      <c r="O94" s="114" t="s">
        <v>2740</v>
      </c>
      <c r="P94" s="114" t="s">
        <v>2578</v>
      </c>
      <c r="Q94" s="114" t="s">
        <v>2741</v>
      </c>
      <c r="R94" s="114" t="s">
        <v>2384</v>
      </c>
      <c r="S94" s="114">
        <v>231.0</v>
      </c>
      <c r="T94" s="116" t="s">
        <v>2742</v>
      </c>
      <c r="U94" s="115"/>
      <c r="V94" s="115"/>
      <c r="W94" s="114" t="s">
        <v>2556</v>
      </c>
      <c r="X94" s="115"/>
      <c r="Y94" s="114" t="s">
        <v>570</v>
      </c>
      <c r="Z94" s="115"/>
      <c r="AA94" s="115"/>
      <c r="AB94" s="115"/>
      <c r="AC94" s="115"/>
    </row>
    <row r="95">
      <c r="A95" s="113" t="s">
        <v>2743</v>
      </c>
      <c r="B95" s="114" t="s">
        <v>444</v>
      </c>
      <c r="C95" s="114" t="s">
        <v>144</v>
      </c>
      <c r="D95" s="115"/>
      <c r="E95" s="114" t="s">
        <v>2380</v>
      </c>
      <c r="F95" s="114" t="s">
        <v>78</v>
      </c>
      <c r="G95" s="114" t="s">
        <v>913</v>
      </c>
      <c r="H95" s="114" t="s">
        <v>2001</v>
      </c>
      <c r="I95" s="114" t="s">
        <v>2018</v>
      </c>
      <c r="J95" s="115"/>
      <c r="K95" s="115"/>
      <c r="L95" s="115"/>
      <c r="M95" s="114" t="s">
        <v>39</v>
      </c>
      <c r="N95" s="114" t="s">
        <v>134</v>
      </c>
      <c r="O95" s="115"/>
      <c r="P95" s="115"/>
      <c r="Q95" s="115"/>
      <c r="R95" s="114" t="s">
        <v>2384</v>
      </c>
      <c r="S95" s="114">
        <v>231.0</v>
      </c>
      <c r="T95" s="116" t="s">
        <v>2744</v>
      </c>
      <c r="U95" s="115"/>
      <c r="V95" s="115"/>
      <c r="W95" s="114" t="s">
        <v>108</v>
      </c>
      <c r="X95" s="115"/>
      <c r="Y95" s="114" t="s">
        <v>570</v>
      </c>
      <c r="Z95" s="115"/>
      <c r="AA95" s="115"/>
      <c r="AB95" s="115"/>
      <c r="AC95" s="115"/>
    </row>
    <row r="96">
      <c r="A96" s="113" t="s">
        <v>2745</v>
      </c>
      <c r="B96" s="114" t="s">
        <v>444</v>
      </c>
      <c r="C96" s="114" t="s">
        <v>144</v>
      </c>
      <c r="D96" s="114" t="s">
        <v>28</v>
      </c>
      <c r="E96" s="114" t="s">
        <v>2380</v>
      </c>
      <c r="F96" s="114" t="s">
        <v>78</v>
      </c>
      <c r="G96" s="114" t="s">
        <v>913</v>
      </c>
      <c r="H96" s="114" t="s">
        <v>2001</v>
      </c>
      <c r="I96" s="114" t="s">
        <v>2018</v>
      </c>
      <c r="J96" s="115"/>
      <c r="K96" s="115"/>
      <c r="L96" s="115"/>
      <c r="M96" s="114" t="s">
        <v>39</v>
      </c>
      <c r="N96" s="114" t="s">
        <v>134</v>
      </c>
      <c r="O96" s="115"/>
      <c r="P96" s="115"/>
      <c r="Q96" s="115"/>
      <c r="R96" s="114" t="s">
        <v>2384</v>
      </c>
      <c r="S96" s="114">
        <v>231.0</v>
      </c>
      <c r="T96" s="116" t="s">
        <v>2746</v>
      </c>
      <c r="U96" s="115"/>
      <c r="V96" s="114" t="s">
        <v>123</v>
      </c>
      <c r="W96" s="114" t="s">
        <v>108</v>
      </c>
      <c r="X96" s="114" t="s">
        <v>130</v>
      </c>
      <c r="Y96" s="114" t="s">
        <v>570</v>
      </c>
      <c r="Z96" s="114" t="s">
        <v>443</v>
      </c>
      <c r="AA96" s="114" t="s">
        <v>199</v>
      </c>
      <c r="AB96" s="114" t="s">
        <v>75</v>
      </c>
      <c r="AC96" s="115"/>
    </row>
    <row r="97">
      <c r="A97" s="113" t="s">
        <v>2747</v>
      </c>
      <c r="B97" s="114" t="s">
        <v>444</v>
      </c>
      <c r="C97" s="114" t="s">
        <v>144</v>
      </c>
      <c r="D97" s="114" t="s">
        <v>28</v>
      </c>
      <c r="E97" s="114" t="s">
        <v>2380</v>
      </c>
      <c r="F97" s="114" t="s">
        <v>78</v>
      </c>
      <c r="G97" s="114" t="s">
        <v>913</v>
      </c>
      <c r="H97" s="114" t="s">
        <v>2001</v>
      </c>
      <c r="I97" s="114" t="s">
        <v>2018</v>
      </c>
      <c r="J97" s="114" t="s">
        <v>2312</v>
      </c>
      <c r="K97" s="114" t="s">
        <v>2748</v>
      </c>
      <c r="L97" s="115"/>
      <c r="M97" s="114" t="s">
        <v>39</v>
      </c>
      <c r="N97" s="114" t="s">
        <v>134</v>
      </c>
      <c r="O97" s="115"/>
      <c r="P97" s="115"/>
      <c r="Q97" s="115"/>
      <c r="R97" s="114" t="s">
        <v>2384</v>
      </c>
      <c r="S97" s="114">
        <v>231.0</v>
      </c>
      <c r="T97" s="116" t="s">
        <v>2749</v>
      </c>
      <c r="U97" s="115"/>
      <c r="V97" s="115"/>
      <c r="W97" s="114" t="s">
        <v>108</v>
      </c>
      <c r="X97" s="114" t="s">
        <v>130</v>
      </c>
      <c r="Y97" s="114" t="s">
        <v>570</v>
      </c>
      <c r="Z97" s="114" t="s">
        <v>443</v>
      </c>
      <c r="AA97" s="115"/>
      <c r="AB97" s="115"/>
      <c r="AC97" s="115"/>
    </row>
    <row r="98">
      <c r="A98" s="113" t="s">
        <v>2750</v>
      </c>
      <c r="B98" s="114" t="s">
        <v>672</v>
      </c>
      <c r="C98" s="114" t="s">
        <v>144</v>
      </c>
      <c r="D98" s="115"/>
      <c r="E98" s="114" t="s">
        <v>2380</v>
      </c>
      <c r="F98" s="114" t="s">
        <v>78</v>
      </c>
      <c r="G98" s="114" t="s">
        <v>913</v>
      </c>
      <c r="H98" s="114" t="s">
        <v>2001</v>
      </c>
      <c r="I98" s="114" t="s">
        <v>2018</v>
      </c>
      <c r="J98" s="114" t="s">
        <v>2312</v>
      </c>
      <c r="K98" s="114" t="s">
        <v>2751</v>
      </c>
      <c r="L98" s="115"/>
      <c r="M98" s="114" t="s">
        <v>39</v>
      </c>
      <c r="N98" s="114" t="s">
        <v>2222</v>
      </c>
      <c r="O98" s="114" t="s">
        <v>2508</v>
      </c>
      <c r="P98" s="115"/>
      <c r="Q98" s="115"/>
      <c r="R98" s="114" t="s">
        <v>2384</v>
      </c>
      <c r="S98" s="114">
        <v>231.0</v>
      </c>
      <c r="T98" s="116" t="s">
        <v>2752</v>
      </c>
      <c r="U98" s="115"/>
      <c r="V98" s="114" t="s">
        <v>123</v>
      </c>
      <c r="W98" s="115"/>
      <c r="X98" s="115"/>
      <c r="Y98" s="115"/>
      <c r="Z98" s="115"/>
      <c r="AA98" s="114" t="s">
        <v>199</v>
      </c>
      <c r="AB98" s="114" t="s">
        <v>75</v>
      </c>
      <c r="AC98" s="115"/>
    </row>
    <row r="99">
      <c r="A99" s="113" t="s">
        <v>2753</v>
      </c>
      <c r="B99" s="114" t="s">
        <v>1223</v>
      </c>
      <c r="C99" s="114" t="s">
        <v>103</v>
      </c>
      <c r="D99" s="115"/>
      <c r="E99" s="114" t="s">
        <v>2380</v>
      </c>
      <c r="F99" s="114" t="s">
        <v>2187</v>
      </c>
      <c r="G99" s="114" t="s">
        <v>2754</v>
      </c>
      <c r="H99" s="114" t="s">
        <v>2001</v>
      </c>
      <c r="I99" s="115"/>
      <c r="J99" s="115"/>
      <c r="K99" s="115"/>
      <c r="L99" s="115"/>
      <c r="M99" s="115"/>
      <c r="N99" s="114" t="s">
        <v>70</v>
      </c>
      <c r="O99" s="115"/>
      <c r="P99" s="115"/>
      <c r="Q99" s="115"/>
      <c r="R99" s="114" t="s">
        <v>2384</v>
      </c>
      <c r="S99" s="114">
        <v>233.0</v>
      </c>
      <c r="T99" s="116" t="s">
        <v>2755</v>
      </c>
      <c r="U99" s="115"/>
      <c r="V99" s="114" t="s">
        <v>123</v>
      </c>
      <c r="W99" s="114" t="s">
        <v>2539</v>
      </c>
      <c r="X99" s="115"/>
      <c r="Y99" s="114" t="s">
        <v>2484</v>
      </c>
      <c r="Z99" s="115"/>
      <c r="AA99" s="114" t="s">
        <v>199</v>
      </c>
      <c r="AB99" s="114" t="s">
        <v>75</v>
      </c>
      <c r="AC99" s="114" t="s">
        <v>250</v>
      </c>
    </row>
    <row r="100">
      <c r="A100" s="113" t="s">
        <v>2756</v>
      </c>
      <c r="B100" s="114" t="s">
        <v>444</v>
      </c>
      <c r="C100" s="114" t="s">
        <v>65</v>
      </c>
      <c r="D100" s="115"/>
      <c r="E100" s="114" t="s">
        <v>2380</v>
      </c>
      <c r="F100" s="114" t="s">
        <v>78</v>
      </c>
      <c r="G100" s="114" t="s">
        <v>78</v>
      </c>
      <c r="H100" s="114" t="s">
        <v>2001</v>
      </c>
      <c r="I100" s="114" t="s">
        <v>2018</v>
      </c>
      <c r="J100" s="115"/>
      <c r="K100" s="115"/>
      <c r="L100" s="115"/>
      <c r="M100" s="115"/>
      <c r="N100" s="114" t="s">
        <v>2268</v>
      </c>
      <c r="O100" s="115"/>
      <c r="P100" s="115"/>
      <c r="Q100" s="115"/>
      <c r="R100" s="114" t="s">
        <v>2384</v>
      </c>
      <c r="S100" s="114">
        <v>233.0</v>
      </c>
      <c r="T100" s="116" t="s">
        <v>2757</v>
      </c>
      <c r="U100" s="115"/>
      <c r="V100" s="114" t="s">
        <v>123</v>
      </c>
      <c r="W100" s="114" t="s">
        <v>2539</v>
      </c>
      <c r="X100" s="115"/>
      <c r="Y100" s="115"/>
      <c r="Z100" s="115"/>
      <c r="AA100" s="114" t="s">
        <v>199</v>
      </c>
      <c r="AB100" s="114" t="s">
        <v>75</v>
      </c>
      <c r="AC100" s="115"/>
    </row>
    <row r="101">
      <c r="A101" s="113" t="s">
        <v>2758</v>
      </c>
      <c r="B101" s="114" t="s">
        <v>1594</v>
      </c>
      <c r="C101" s="114" t="s">
        <v>85</v>
      </c>
      <c r="D101" s="115"/>
      <c r="E101" s="114" t="s">
        <v>2380</v>
      </c>
      <c r="F101" s="114" t="s">
        <v>1174</v>
      </c>
      <c r="G101" s="114" t="s">
        <v>2506</v>
      </c>
      <c r="H101" s="114" t="s">
        <v>2001</v>
      </c>
      <c r="I101" s="114" t="s">
        <v>2018</v>
      </c>
      <c r="J101" s="114" t="s">
        <v>2312</v>
      </c>
      <c r="K101" s="114" t="s">
        <v>2759</v>
      </c>
      <c r="L101" s="115"/>
      <c r="M101" s="115"/>
      <c r="N101" s="114" t="s">
        <v>70</v>
      </c>
      <c r="O101" s="114" t="s">
        <v>2382</v>
      </c>
      <c r="P101" s="114" t="s">
        <v>2076</v>
      </c>
      <c r="Q101" s="114" t="s">
        <v>2760</v>
      </c>
      <c r="R101" s="114" t="s">
        <v>2384</v>
      </c>
      <c r="S101" s="114">
        <v>233.0</v>
      </c>
      <c r="T101" s="116" t="s">
        <v>2761</v>
      </c>
      <c r="U101" s="114" t="s">
        <v>2762</v>
      </c>
      <c r="V101" s="115"/>
      <c r="W101" s="115"/>
      <c r="X101" s="115"/>
      <c r="Y101" s="115"/>
      <c r="Z101" s="115"/>
      <c r="AA101" s="114" t="s">
        <v>199</v>
      </c>
      <c r="AB101" s="114" t="s">
        <v>75</v>
      </c>
      <c r="AC101" s="115"/>
    </row>
    <row r="102">
      <c r="A102" s="113" t="s">
        <v>2763</v>
      </c>
      <c r="B102" s="114" t="s">
        <v>1452</v>
      </c>
      <c r="C102" s="114" t="s">
        <v>178</v>
      </c>
      <c r="D102" s="115"/>
      <c r="E102" s="114" t="s">
        <v>2380</v>
      </c>
      <c r="F102" s="114" t="s">
        <v>78</v>
      </c>
      <c r="G102" s="114" t="s">
        <v>78</v>
      </c>
      <c r="H102" s="114" t="s">
        <v>2001</v>
      </c>
      <c r="I102" s="114" t="s">
        <v>2018</v>
      </c>
      <c r="J102" s="114" t="s">
        <v>2312</v>
      </c>
      <c r="K102" s="114" t="s">
        <v>2764</v>
      </c>
      <c r="L102" s="115"/>
      <c r="M102" s="114" t="s">
        <v>39</v>
      </c>
      <c r="N102" s="114" t="s">
        <v>2222</v>
      </c>
      <c r="O102" s="115"/>
      <c r="P102" s="115"/>
      <c r="Q102" s="115"/>
      <c r="R102" s="114" t="s">
        <v>2384</v>
      </c>
      <c r="S102" s="114">
        <v>233.0</v>
      </c>
      <c r="T102" s="116" t="s">
        <v>2765</v>
      </c>
      <c r="U102" s="115"/>
      <c r="V102" s="115"/>
      <c r="W102" s="114" t="s">
        <v>108</v>
      </c>
      <c r="X102" s="115"/>
      <c r="Y102" s="114" t="s">
        <v>570</v>
      </c>
      <c r="Z102" s="115"/>
      <c r="AA102" s="115"/>
      <c r="AB102" s="115"/>
      <c r="AC102" s="115"/>
    </row>
    <row r="103">
      <c r="A103" s="113" t="s">
        <v>2766</v>
      </c>
      <c r="B103" s="114" t="s">
        <v>945</v>
      </c>
      <c r="C103" s="114" t="s">
        <v>178</v>
      </c>
      <c r="D103" s="115"/>
      <c r="E103" s="114" t="s">
        <v>2380</v>
      </c>
      <c r="F103" s="114" t="s">
        <v>2223</v>
      </c>
      <c r="G103" s="114" t="s">
        <v>2767</v>
      </c>
      <c r="H103" s="114" t="s">
        <v>2001</v>
      </c>
      <c r="I103" s="114" t="s">
        <v>2018</v>
      </c>
      <c r="J103" s="115"/>
      <c r="K103" s="115"/>
      <c r="L103" s="115"/>
      <c r="M103" s="115"/>
      <c r="N103" s="114" t="s">
        <v>70</v>
      </c>
      <c r="O103" s="115"/>
      <c r="P103" s="115"/>
      <c r="Q103" s="115"/>
      <c r="R103" s="114" t="s">
        <v>2384</v>
      </c>
      <c r="S103" s="114">
        <v>234.0</v>
      </c>
      <c r="T103" s="116" t="s">
        <v>2768</v>
      </c>
      <c r="U103" s="114" t="s">
        <v>2769</v>
      </c>
      <c r="V103" s="114" t="s">
        <v>123</v>
      </c>
      <c r="W103" s="114" t="s">
        <v>108</v>
      </c>
      <c r="X103" s="114" t="s">
        <v>130</v>
      </c>
      <c r="Y103" s="114" t="s">
        <v>570</v>
      </c>
      <c r="Z103" s="115"/>
      <c r="AA103" s="114" t="s">
        <v>199</v>
      </c>
      <c r="AB103" s="114" t="s">
        <v>75</v>
      </c>
      <c r="AC103" s="114" t="s">
        <v>250</v>
      </c>
    </row>
    <row r="104">
      <c r="A104" s="113" t="s">
        <v>2770</v>
      </c>
      <c r="B104" s="114" t="s">
        <v>444</v>
      </c>
      <c r="C104" s="114" t="s">
        <v>183</v>
      </c>
      <c r="D104" s="115"/>
      <c r="E104" s="114" t="s">
        <v>2380</v>
      </c>
      <c r="F104" s="114" t="s">
        <v>1174</v>
      </c>
      <c r="G104" s="114" t="s">
        <v>2506</v>
      </c>
      <c r="H104" s="114" t="s">
        <v>2001</v>
      </c>
      <c r="I104" s="115"/>
      <c r="J104" s="115"/>
      <c r="K104" s="115"/>
      <c r="L104" s="115"/>
      <c r="M104" s="115"/>
      <c r="N104" s="114" t="s">
        <v>70</v>
      </c>
      <c r="O104" s="114" t="s">
        <v>2401</v>
      </c>
      <c r="P104" s="114" t="s">
        <v>2052</v>
      </c>
      <c r="Q104" s="114" t="s">
        <v>2548</v>
      </c>
      <c r="R104" s="114" t="s">
        <v>2384</v>
      </c>
      <c r="S104" s="114">
        <v>234.0</v>
      </c>
      <c r="T104" s="116" t="s">
        <v>2771</v>
      </c>
      <c r="U104" s="114" t="s">
        <v>2545</v>
      </c>
      <c r="V104" s="114" t="s">
        <v>123</v>
      </c>
      <c r="W104" s="115"/>
      <c r="X104" s="115"/>
      <c r="Y104" s="115"/>
      <c r="Z104" s="115"/>
      <c r="AA104" s="115"/>
      <c r="AB104" s="115"/>
      <c r="AC104" s="115"/>
    </row>
    <row r="105">
      <c r="A105" s="113" t="s">
        <v>144</v>
      </c>
      <c r="B105" s="114" t="s">
        <v>1223</v>
      </c>
      <c r="C105" s="114" t="s">
        <v>144</v>
      </c>
      <c r="D105" s="114" t="s">
        <v>28</v>
      </c>
      <c r="E105" s="114" t="s">
        <v>2380</v>
      </c>
      <c r="F105" s="114" t="s">
        <v>78</v>
      </c>
      <c r="G105" s="115"/>
      <c r="H105" s="114" t="s">
        <v>2001</v>
      </c>
      <c r="I105" s="114" t="s">
        <v>2018</v>
      </c>
      <c r="J105" s="114" t="s">
        <v>2312</v>
      </c>
      <c r="K105" s="114" t="s">
        <v>2772</v>
      </c>
      <c r="L105" s="114" t="s">
        <v>2445</v>
      </c>
      <c r="M105" s="115"/>
      <c r="N105" s="114" t="s">
        <v>70</v>
      </c>
      <c r="O105" s="115"/>
      <c r="P105" s="115"/>
      <c r="Q105" s="115"/>
      <c r="R105" s="114" t="s">
        <v>2384</v>
      </c>
      <c r="S105" s="114">
        <v>234.0</v>
      </c>
      <c r="T105" s="116" t="s">
        <v>2773</v>
      </c>
      <c r="U105" s="115"/>
      <c r="V105" s="115"/>
      <c r="W105" s="114" t="s">
        <v>108</v>
      </c>
      <c r="X105" s="114" t="s">
        <v>2774</v>
      </c>
      <c r="Y105" s="115"/>
      <c r="Z105" s="115"/>
      <c r="AA105" s="115"/>
      <c r="AB105" s="115"/>
      <c r="AC105" s="115"/>
    </row>
    <row r="106">
      <c r="A106" s="113" t="s">
        <v>2775</v>
      </c>
      <c r="B106" s="114" t="s">
        <v>444</v>
      </c>
      <c r="C106" s="114" t="s">
        <v>76</v>
      </c>
      <c r="D106" s="115"/>
      <c r="E106" s="114" t="s">
        <v>2486</v>
      </c>
      <c r="F106" s="114" t="s">
        <v>78</v>
      </c>
      <c r="G106" s="114" t="s">
        <v>78</v>
      </c>
      <c r="H106" s="114" t="s">
        <v>2001</v>
      </c>
      <c r="I106" s="114" t="s">
        <v>2018</v>
      </c>
      <c r="J106" s="115"/>
      <c r="K106" s="115"/>
      <c r="L106" s="115"/>
      <c r="M106" s="114" t="s">
        <v>39</v>
      </c>
      <c r="N106" s="114" t="s">
        <v>2222</v>
      </c>
      <c r="O106" s="115"/>
      <c r="P106" s="115"/>
      <c r="Q106" s="115"/>
      <c r="R106" s="114" t="s">
        <v>2384</v>
      </c>
      <c r="S106" s="114">
        <v>234.0</v>
      </c>
      <c r="T106" s="116" t="s">
        <v>2776</v>
      </c>
      <c r="U106" s="115"/>
      <c r="V106" s="115"/>
      <c r="W106" s="114" t="s">
        <v>2713</v>
      </c>
      <c r="X106" s="115"/>
      <c r="Y106" s="114" t="s">
        <v>570</v>
      </c>
      <c r="Z106" s="115"/>
      <c r="AA106" s="115"/>
      <c r="AB106" s="115"/>
      <c r="AC106" s="115"/>
    </row>
    <row r="107">
      <c r="A107" s="113" t="s">
        <v>2777</v>
      </c>
      <c r="B107" s="114" t="s">
        <v>1709</v>
      </c>
      <c r="C107" s="114" t="s">
        <v>76</v>
      </c>
      <c r="D107" s="115"/>
      <c r="E107" s="114" t="s">
        <v>2486</v>
      </c>
      <c r="F107" s="114" t="s">
        <v>2214</v>
      </c>
      <c r="G107" s="114" t="s">
        <v>2499</v>
      </c>
      <c r="H107" s="114" t="s">
        <v>2001</v>
      </c>
      <c r="I107" s="115"/>
      <c r="J107" s="115"/>
      <c r="K107" s="115"/>
      <c r="L107" s="115"/>
      <c r="M107" s="115"/>
      <c r="N107" s="114" t="s">
        <v>70</v>
      </c>
      <c r="O107" s="114" t="s">
        <v>2481</v>
      </c>
      <c r="P107" s="115"/>
      <c r="Q107" s="115"/>
      <c r="R107" s="114" t="s">
        <v>2384</v>
      </c>
      <c r="S107" s="114">
        <v>234.0</v>
      </c>
      <c r="T107" s="116" t="s">
        <v>2778</v>
      </c>
      <c r="U107" s="115"/>
      <c r="V107" s="115"/>
      <c r="W107" s="114" t="s">
        <v>108</v>
      </c>
      <c r="X107" s="115"/>
      <c r="Y107" s="115"/>
      <c r="Z107" s="115"/>
      <c r="AA107" s="115"/>
      <c r="AB107" s="115"/>
      <c r="AC107" s="115"/>
    </row>
    <row r="108">
      <c r="A108" s="113" t="s">
        <v>2779</v>
      </c>
      <c r="B108" s="114" t="s">
        <v>1223</v>
      </c>
      <c r="C108" s="114" t="s">
        <v>183</v>
      </c>
      <c r="D108" s="115"/>
      <c r="E108" s="114" t="s">
        <v>2380</v>
      </c>
      <c r="F108" s="114" t="s">
        <v>1174</v>
      </c>
      <c r="G108" s="114" t="s">
        <v>2399</v>
      </c>
      <c r="H108" s="114" t="s">
        <v>2001</v>
      </c>
      <c r="I108" s="114" t="s">
        <v>2018</v>
      </c>
      <c r="J108" s="115"/>
      <c r="K108" s="115"/>
      <c r="L108" s="115"/>
      <c r="M108" s="114" t="s">
        <v>39</v>
      </c>
      <c r="N108" s="114" t="s">
        <v>2222</v>
      </c>
      <c r="O108" s="114" t="s">
        <v>2401</v>
      </c>
      <c r="P108" s="115"/>
      <c r="Q108" s="115"/>
      <c r="R108" s="114" t="s">
        <v>2384</v>
      </c>
      <c r="S108" s="114">
        <v>234.0</v>
      </c>
      <c r="T108" s="116" t="s">
        <v>2780</v>
      </c>
      <c r="U108" s="114" t="s">
        <v>2508</v>
      </c>
      <c r="V108" s="115"/>
      <c r="W108" s="114" t="s">
        <v>2404</v>
      </c>
      <c r="X108" s="114" t="s">
        <v>130</v>
      </c>
      <c r="Y108" s="115"/>
      <c r="Z108" s="115"/>
      <c r="AA108" s="115"/>
      <c r="AB108" s="114" t="s">
        <v>75</v>
      </c>
      <c r="AC108" s="115"/>
    </row>
    <row r="109">
      <c r="A109" s="113" t="s">
        <v>2781</v>
      </c>
      <c r="B109" s="114" t="s">
        <v>1837</v>
      </c>
      <c r="C109" s="114" t="s">
        <v>183</v>
      </c>
      <c r="D109" s="115"/>
      <c r="E109" s="114" t="s">
        <v>2380</v>
      </c>
      <c r="F109" s="114" t="s">
        <v>1174</v>
      </c>
      <c r="G109" s="114" t="s">
        <v>2506</v>
      </c>
      <c r="H109" s="114" t="s">
        <v>2001</v>
      </c>
      <c r="I109" s="114" t="s">
        <v>2018</v>
      </c>
      <c r="J109" s="115"/>
      <c r="K109" s="115"/>
      <c r="L109" s="115"/>
      <c r="M109" s="114" t="s">
        <v>39</v>
      </c>
      <c r="N109" s="114" t="s">
        <v>2268</v>
      </c>
      <c r="O109" s="114" t="s">
        <v>2401</v>
      </c>
      <c r="P109" s="115"/>
      <c r="Q109" s="115"/>
      <c r="R109" s="114" t="s">
        <v>2384</v>
      </c>
      <c r="S109" s="114">
        <v>235.0</v>
      </c>
      <c r="T109" s="116" t="s">
        <v>2782</v>
      </c>
      <c r="U109" s="114" t="s">
        <v>2783</v>
      </c>
      <c r="V109" s="114" t="s">
        <v>123</v>
      </c>
      <c r="W109" s="115"/>
      <c r="X109" s="115"/>
      <c r="Y109" s="115"/>
      <c r="Z109" s="115"/>
      <c r="AA109" s="114" t="s">
        <v>199</v>
      </c>
      <c r="AB109" s="114" t="s">
        <v>75</v>
      </c>
      <c r="AC109" s="114" t="s">
        <v>250</v>
      </c>
    </row>
    <row r="110">
      <c r="A110" s="113" t="s">
        <v>2784</v>
      </c>
      <c r="B110" s="114" t="s">
        <v>1452</v>
      </c>
      <c r="C110" s="114" t="s">
        <v>183</v>
      </c>
      <c r="D110" s="115"/>
      <c r="E110" s="114" t="s">
        <v>2380</v>
      </c>
      <c r="F110" s="114" t="s">
        <v>1174</v>
      </c>
      <c r="G110" s="114" t="s">
        <v>2785</v>
      </c>
      <c r="H110" s="114" t="s">
        <v>2001</v>
      </c>
      <c r="I110" s="114" t="s">
        <v>2018</v>
      </c>
      <c r="J110" s="115"/>
      <c r="K110" s="115"/>
      <c r="L110" s="115"/>
      <c r="M110" s="114" t="s">
        <v>39</v>
      </c>
      <c r="N110" s="114" t="s">
        <v>2222</v>
      </c>
      <c r="O110" s="114" t="s">
        <v>2401</v>
      </c>
      <c r="P110" s="115"/>
      <c r="Q110" s="115"/>
      <c r="R110" s="114" t="s">
        <v>2384</v>
      </c>
      <c r="S110" s="114">
        <v>235.0</v>
      </c>
      <c r="T110" s="116" t="s">
        <v>2786</v>
      </c>
      <c r="U110" s="114" t="s">
        <v>2508</v>
      </c>
      <c r="V110" s="114" t="s">
        <v>123</v>
      </c>
      <c r="W110" s="114" t="s">
        <v>2539</v>
      </c>
      <c r="X110" s="115"/>
      <c r="Y110" s="114" t="s">
        <v>2418</v>
      </c>
      <c r="Z110" s="115"/>
      <c r="AA110" s="114" t="s">
        <v>199</v>
      </c>
      <c r="AB110" s="114" t="s">
        <v>75</v>
      </c>
      <c r="AC110" s="115"/>
    </row>
    <row r="111">
      <c r="A111" s="113" t="s">
        <v>2787</v>
      </c>
      <c r="B111" s="114" t="s">
        <v>1594</v>
      </c>
      <c r="C111" s="114" t="s">
        <v>103</v>
      </c>
      <c r="D111" s="114" t="s">
        <v>28</v>
      </c>
      <c r="E111" s="114" t="s">
        <v>2222</v>
      </c>
      <c r="F111" s="114" t="s">
        <v>71</v>
      </c>
      <c r="G111" s="114" t="s">
        <v>2788</v>
      </c>
      <c r="H111" s="114" t="s">
        <v>2001</v>
      </c>
      <c r="I111" s="114" t="s">
        <v>2018</v>
      </c>
      <c r="J111" s="114" t="s">
        <v>2312</v>
      </c>
      <c r="K111" s="114" t="s">
        <v>2789</v>
      </c>
      <c r="L111" s="114" t="s">
        <v>2476</v>
      </c>
      <c r="M111" s="115"/>
      <c r="N111" s="114" t="s">
        <v>2446</v>
      </c>
      <c r="O111" s="115"/>
      <c r="P111" s="115"/>
      <c r="Q111" s="115"/>
      <c r="R111" s="114" t="s">
        <v>2384</v>
      </c>
      <c r="S111" s="114">
        <v>235.0</v>
      </c>
      <c r="T111" s="116" t="s">
        <v>2790</v>
      </c>
      <c r="U111" s="115"/>
      <c r="V111" s="115"/>
      <c r="W111" s="115"/>
      <c r="X111" s="115"/>
      <c r="Y111" s="115"/>
      <c r="Z111" s="115"/>
      <c r="AA111" s="114" t="s">
        <v>199</v>
      </c>
      <c r="AB111" s="115"/>
      <c r="AC111" s="115"/>
    </row>
    <row r="112">
      <c r="A112" s="113" t="s">
        <v>2791</v>
      </c>
      <c r="B112" s="114" t="s">
        <v>1452</v>
      </c>
      <c r="C112" s="114" t="s">
        <v>65</v>
      </c>
      <c r="D112" s="115"/>
      <c r="E112" s="114" t="s">
        <v>2222</v>
      </c>
      <c r="F112" s="114" t="s">
        <v>2508</v>
      </c>
      <c r="G112" s="114" t="s">
        <v>2506</v>
      </c>
      <c r="H112" s="114" t="s">
        <v>2001</v>
      </c>
      <c r="I112" s="114" t="s">
        <v>2018</v>
      </c>
      <c r="J112" s="114" t="s">
        <v>2312</v>
      </c>
      <c r="K112" s="114" t="s">
        <v>2792</v>
      </c>
      <c r="L112" s="115"/>
      <c r="M112" s="115"/>
      <c r="N112" s="114" t="s">
        <v>1008</v>
      </c>
      <c r="O112" s="114" t="s">
        <v>2508</v>
      </c>
      <c r="P112" s="114" t="s">
        <v>2508</v>
      </c>
      <c r="Q112" s="114" t="s">
        <v>2508</v>
      </c>
      <c r="R112" s="114" t="s">
        <v>2384</v>
      </c>
      <c r="S112" s="114">
        <v>236.0</v>
      </c>
      <c r="T112" s="116" t="s">
        <v>2793</v>
      </c>
      <c r="U112" s="115"/>
      <c r="V112" s="114" t="s">
        <v>123</v>
      </c>
      <c r="W112" s="115"/>
      <c r="X112" s="114" t="s">
        <v>2794</v>
      </c>
      <c r="Y112" s="115"/>
      <c r="Z112" s="115"/>
      <c r="AA112" s="114" t="s">
        <v>199</v>
      </c>
      <c r="AB112" s="115"/>
      <c r="AC112" s="114" t="s">
        <v>250</v>
      </c>
    </row>
    <row r="113">
      <c r="A113" s="113" t="s">
        <v>2795</v>
      </c>
      <c r="B113" s="114" t="s">
        <v>64</v>
      </c>
      <c r="C113" s="114" t="s">
        <v>85</v>
      </c>
      <c r="D113" s="115"/>
      <c r="E113" s="114" t="s">
        <v>2380</v>
      </c>
      <c r="F113" s="114" t="s">
        <v>2214</v>
      </c>
      <c r="G113" s="114" t="s">
        <v>2508</v>
      </c>
      <c r="H113" s="114" t="s">
        <v>2001</v>
      </c>
      <c r="I113" s="114" t="s">
        <v>2018</v>
      </c>
      <c r="J113" s="115"/>
      <c r="K113" s="115"/>
      <c r="L113" s="115"/>
      <c r="M113" s="115"/>
      <c r="N113" s="114" t="s">
        <v>70</v>
      </c>
      <c r="O113" s="115"/>
      <c r="P113" s="115"/>
      <c r="Q113" s="115"/>
      <c r="R113" s="114" t="s">
        <v>2384</v>
      </c>
      <c r="S113" s="114">
        <v>236.0</v>
      </c>
      <c r="T113" s="116" t="s">
        <v>2796</v>
      </c>
      <c r="U113" s="115"/>
      <c r="V113" s="115"/>
      <c r="W113" s="114" t="s">
        <v>2404</v>
      </c>
      <c r="X113" s="114" t="s">
        <v>130</v>
      </c>
      <c r="Y113" s="115"/>
      <c r="Z113" s="115"/>
      <c r="AA113" s="115"/>
      <c r="AB113" s="115"/>
      <c r="AC113" s="115"/>
    </row>
    <row r="114">
      <c r="A114" s="113" t="s">
        <v>2797</v>
      </c>
      <c r="B114" s="114" t="s">
        <v>1837</v>
      </c>
      <c r="C114" s="114" t="s">
        <v>76</v>
      </c>
      <c r="D114" s="115"/>
      <c r="E114" s="114" t="s">
        <v>2380</v>
      </c>
      <c r="F114" s="114" t="s">
        <v>2187</v>
      </c>
      <c r="G114" s="114" t="s">
        <v>2798</v>
      </c>
      <c r="H114" s="114" t="s">
        <v>2001</v>
      </c>
      <c r="I114" s="114" t="s">
        <v>2018</v>
      </c>
      <c r="J114" s="114" t="s">
        <v>2312</v>
      </c>
      <c r="K114" s="114" t="s">
        <v>2799</v>
      </c>
      <c r="L114" s="115"/>
      <c r="M114" s="114" t="s">
        <v>39</v>
      </c>
      <c r="N114" s="114" t="s">
        <v>2222</v>
      </c>
      <c r="O114" s="114" t="s">
        <v>2508</v>
      </c>
      <c r="P114" s="115"/>
      <c r="Q114" s="115"/>
      <c r="R114" s="114" t="s">
        <v>2384</v>
      </c>
      <c r="S114" s="114">
        <v>236.0</v>
      </c>
      <c r="T114" s="116" t="s">
        <v>2800</v>
      </c>
      <c r="U114" s="115"/>
      <c r="V114" s="115"/>
      <c r="W114" s="114" t="s">
        <v>108</v>
      </c>
      <c r="X114" s="114" t="s">
        <v>130</v>
      </c>
      <c r="Y114" s="115"/>
      <c r="Z114" s="115"/>
      <c r="AA114" s="115"/>
      <c r="AB114" s="114" t="s">
        <v>75</v>
      </c>
      <c r="AC114" s="115"/>
    </row>
    <row r="115">
      <c r="A115" s="113" t="s">
        <v>2801</v>
      </c>
      <c r="B115" s="114" t="s">
        <v>64</v>
      </c>
      <c r="C115" s="114" t="s">
        <v>76</v>
      </c>
      <c r="D115" s="115"/>
      <c r="E115" s="114" t="s">
        <v>2380</v>
      </c>
      <c r="F115" s="114" t="s">
        <v>2223</v>
      </c>
      <c r="G115" s="114" t="s">
        <v>2491</v>
      </c>
      <c r="H115" s="114" t="s">
        <v>2001</v>
      </c>
      <c r="I115" s="114" t="s">
        <v>2018</v>
      </c>
      <c r="J115" s="115"/>
      <c r="K115" s="115"/>
      <c r="L115" s="115"/>
      <c r="M115" s="115"/>
      <c r="N115" s="114" t="s">
        <v>70</v>
      </c>
      <c r="O115" s="114" t="s">
        <v>2573</v>
      </c>
      <c r="P115" s="114" t="s">
        <v>2076</v>
      </c>
      <c r="Q115" s="114" t="s">
        <v>2802</v>
      </c>
      <c r="R115" s="114" t="s">
        <v>2384</v>
      </c>
      <c r="S115" s="114">
        <v>237.0</v>
      </c>
      <c r="T115" s="116" t="s">
        <v>2803</v>
      </c>
      <c r="U115" s="115"/>
      <c r="V115" s="115"/>
      <c r="W115" s="115"/>
      <c r="X115" s="115"/>
      <c r="Y115" s="115"/>
      <c r="Z115" s="115"/>
      <c r="AA115" s="115"/>
      <c r="AB115" s="115"/>
      <c r="AC115" s="114" t="s">
        <v>250</v>
      </c>
    </row>
    <row r="116">
      <c r="A116" s="113" t="s">
        <v>2804</v>
      </c>
      <c r="B116" s="114" t="s">
        <v>945</v>
      </c>
      <c r="C116" s="114" t="s">
        <v>85</v>
      </c>
      <c r="D116" s="115"/>
      <c r="E116" s="114" t="s">
        <v>2380</v>
      </c>
      <c r="F116" s="114" t="s">
        <v>71</v>
      </c>
      <c r="G116" s="114" t="s">
        <v>2805</v>
      </c>
      <c r="H116" s="114" t="s">
        <v>2001</v>
      </c>
      <c r="I116" s="114" t="s">
        <v>2018</v>
      </c>
      <c r="J116" s="115"/>
      <c r="K116" s="115"/>
      <c r="L116" s="115"/>
      <c r="M116" s="114" t="s">
        <v>39</v>
      </c>
      <c r="N116" s="114" t="s">
        <v>2268</v>
      </c>
      <c r="O116" s="115"/>
      <c r="P116" s="115"/>
      <c r="Q116" s="115"/>
      <c r="R116" s="114" t="s">
        <v>2384</v>
      </c>
      <c r="S116" s="114">
        <v>237.0</v>
      </c>
      <c r="T116" s="116" t="s">
        <v>2806</v>
      </c>
      <c r="U116" s="114" t="s">
        <v>2807</v>
      </c>
      <c r="V116" s="115"/>
      <c r="W116" s="115"/>
      <c r="X116" s="115"/>
      <c r="Y116" s="114" t="s">
        <v>570</v>
      </c>
      <c r="Z116" s="115"/>
      <c r="AA116" s="115"/>
      <c r="AB116" s="115"/>
      <c r="AC116" s="115"/>
    </row>
    <row r="117">
      <c r="A117" s="113" t="s">
        <v>2808</v>
      </c>
      <c r="B117" s="114" t="s">
        <v>672</v>
      </c>
      <c r="C117" s="114" t="s">
        <v>85</v>
      </c>
      <c r="D117" s="115"/>
      <c r="E117" s="114" t="s">
        <v>2380</v>
      </c>
      <c r="F117" s="114" t="s">
        <v>71</v>
      </c>
      <c r="G117" s="114" t="s">
        <v>2506</v>
      </c>
      <c r="H117" s="114" t="s">
        <v>2001</v>
      </c>
      <c r="I117" s="114" t="s">
        <v>2018</v>
      </c>
      <c r="J117" s="114" t="s">
        <v>2312</v>
      </c>
      <c r="K117" s="114" t="s">
        <v>2809</v>
      </c>
      <c r="L117" s="115"/>
      <c r="M117" s="114" t="s">
        <v>39</v>
      </c>
      <c r="N117" s="114" t="s">
        <v>2268</v>
      </c>
      <c r="O117" s="115"/>
      <c r="P117" s="115"/>
      <c r="Q117" s="115"/>
      <c r="R117" s="114" t="s">
        <v>2384</v>
      </c>
      <c r="S117" s="114">
        <v>237.0</v>
      </c>
      <c r="T117" s="116" t="s">
        <v>2810</v>
      </c>
      <c r="U117" s="114" t="s">
        <v>2811</v>
      </c>
      <c r="V117" s="114" t="s">
        <v>123</v>
      </c>
      <c r="W117" s="114" t="s">
        <v>108</v>
      </c>
      <c r="X117" s="114" t="s">
        <v>130</v>
      </c>
      <c r="Y117" s="115"/>
      <c r="Z117" s="115"/>
      <c r="AA117" s="115"/>
      <c r="AB117" s="114" t="s">
        <v>75</v>
      </c>
      <c r="AC117" s="115"/>
    </row>
    <row r="118">
      <c r="A118" s="113" t="s">
        <v>2812</v>
      </c>
      <c r="B118" s="114" t="s">
        <v>672</v>
      </c>
      <c r="C118" s="114" t="s">
        <v>85</v>
      </c>
      <c r="D118" s="115"/>
      <c r="E118" s="114" t="s">
        <v>2380</v>
      </c>
      <c r="F118" s="114" t="s">
        <v>2214</v>
      </c>
      <c r="G118" s="114" t="s">
        <v>2813</v>
      </c>
      <c r="H118" s="114" t="s">
        <v>2001</v>
      </c>
      <c r="I118" s="114" t="s">
        <v>2018</v>
      </c>
      <c r="J118" s="114" t="s">
        <v>2312</v>
      </c>
      <c r="K118" s="114" t="s">
        <v>2814</v>
      </c>
      <c r="L118" s="115"/>
      <c r="M118" s="114" t="s">
        <v>39</v>
      </c>
      <c r="N118" s="114" t="s">
        <v>2222</v>
      </c>
      <c r="O118" s="114" t="s">
        <v>2815</v>
      </c>
      <c r="P118" s="115"/>
      <c r="Q118" s="115"/>
      <c r="R118" s="114" t="s">
        <v>2384</v>
      </c>
      <c r="S118" s="114">
        <v>237.0</v>
      </c>
      <c r="T118" s="116" t="s">
        <v>2816</v>
      </c>
      <c r="U118" s="115"/>
      <c r="V118" s="115"/>
      <c r="W118" s="115"/>
      <c r="X118" s="115"/>
      <c r="Y118" s="115"/>
      <c r="Z118" s="115"/>
      <c r="AA118" s="114" t="s">
        <v>199</v>
      </c>
      <c r="AB118" s="114" t="s">
        <v>75</v>
      </c>
      <c r="AC118" s="115"/>
    </row>
    <row r="119">
      <c r="A119" s="113" t="s">
        <v>2817</v>
      </c>
      <c r="B119" s="114" t="s">
        <v>444</v>
      </c>
      <c r="C119" s="114" t="s">
        <v>103</v>
      </c>
      <c r="D119" s="115"/>
      <c r="E119" s="114" t="s">
        <v>2486</v>
      </c>
      <c r="F119" s="114" t="s">
        <v>78</v>
      </c>
      <c r="G119" s="114" t="s">
        <v>2818</v>
      </c>
      <c r="H119" s="114" t="s">
        <v>2001</v>
      </c>
      <c r="I119" s="115"/>
      <c r="J119" s="115"/>
      <c r="K119" s="115"/>
      <c r="L119" s="115"/>
      <c r="M119" s="114" t="s">
        <v>39</v>
      </c>
      <c r="N119" s="114" t="s">
        <v>2222</v>
      </c>
      <c r="O119" s="114" t="s">
        <v>2819</v>
      </c>
      <c r="P119" s="114" t="s">
        <v>2106</v>
      </c>
      <c r="Q119" s="114" t="s">
        <v>2820</v>
      </c>
      <c r="R119" s="114" t="s">
        <v>2384</v>
      </c>
      <c r="S119" s="114">
        <v>237.0</v>
      </c>
      <c r="T119" s="116" t="s">
        <v>2821</v>
      </c>
      <c r="U119" s="114" t="s">
        <v>2545</v>
      </c>
      <c r="V119" s="115"/>
      <c r="W119" s="115"/>
      <c r="X119" s="115"/>
      <c r="Y119" s="114" t="s">
        <v>2617</v>
      </c>
      <c r="Z119" s="114" t="s">
        <v>443</v>
      </c>
      <c r="AA119" s="115"/>
      <c r="AB119" s="115"/>
      <c r="AC119" s="115"/>
    </row>
    <row r="120">
      <c r="A120" s="113" t="s">
        <v>2822</v>
      </c>
      <c r="B120" s="114" t="s">
        <v>444</v>
      </c>
      <c r="C120" s="114" t="s">
        <v>103</v>
      </c>
      <c r="D120" s="115"/>
      <c r="E120" s="114" t="s">
        <v>2380</v>
      </c>
      <c r="F120" s="114" t="s">
        <v>2513</v>
      </c>
      <c r="G120" s="114" t="s">
        <v>2823</v>
      </c>
      <c r="H120" s="114" t="s">
        <v>2001</v>
      </c>
      <c r="I120" s="114" t="s">
        <v>2018</v>
      </c>
      <c r="J120" s="115"/>
      <c r="K120" s="115"/>
      <c r="L120" s="115"/>
      <c r="M120" s="114" t="s">
        <v>39</v>
      </c>
      <c r="N120" s="114" t="s">
        <v>2222</v>
      </c>
      <c r="O120" s="114" t="s">
        <v>2819</v>
      </c>
      <c r="P120" s="115"/>
      <c r="Q120" s="115"/>
      <c r="R120" s="114" t="s">
        <v>2384</v>
      </c>
      <c r="S120" s="114">
        <v>238.0</v>
      </c>
      <c r="T120" s="116" t="s">
        <v>2824</v>
      </c>
      <c r="U120" s="115"/>
      <c r="V120" s="115"/>
      <c r="W120" s="115"/>
      <c r="X120" s="114" t="s">
        <v>130</v>
      </c>
      <c r="Y120" s="115"/>
      <c r="Z120" s="115"/>
      <c r="AA120" s="115"/>
      <c r="AB120" s="115"/>
      <c r="AC120" s="115"/>
    </row>
    <row r="121">
      <c r="A121" s="113" t="s">
        <v>2825</v>
      </c>
      <c r="B121" s="114" t="s">
        <v>672</v>
      </c>
      <c r="C121" s="114" t="s">
        <v>183</v>
      </c>
      <c r="D121" s="115"/>
      <c r="E121" s="114" t="s">
        <v>2380</v>
      </c>
      <c r="F121" s="114" t="s">
        <v>1174</v>
      </c>
      <c r="G121" s="114" t="s">
        <v>2499</v>
      </c>
      <c r="H121" s="114" t="s">
        <v>2001</v>
      </c>
      <c r="I121" s="114" t="s">
        <v>2018</v>
      </c>
      <c r="J121" s="115"/>
      <c r="K121" s="115"/>
      <c r="L121" s="115"/>
      <c r="M121" s="115"/>
      <c r="N121" s="114" t="s">
        <v>2222</v>
      </c>
      <c r="O121" s="114" t="s">
        <v>2401</v>
      </c>
      <c r="P121" s="115"/>
      <c r="Q121" s="115"/>
      <c r="R121" s="114" t="s">
        <v>2384</v>
      </c>
      <c r="S121" s="114">
        <v>238.0</v>
      </c>
      <c r="T121" s="116" t="s">
        <v>2826</v>
      </c>
      <c r="U121" s="115"/>
      <c r="V121" s="114" t="s">
        <v>123</v>
      </c>
      <c r="W121" s="115"/>
      <c r="X121" s="115"/>
      <c r="Y121" s="115"/>
      <c r="Z121" s="115"/>
      <c r="AA121" s="115"/>
      <c r="AB121" s="115"/>
      <c r="AC121" s="114" t="s">
        <v>250</v>
      </c>
    </row>
    <row r="122">
      <c r="A122" s="113" t="s">
        <v>2827</v>
      </c>
      <c r="B122" s="114" t="s">
        <v>1709</v>
      </c>
      <c r="C122" s="114" t="s">
        <v>85</v>
      </c>
      <c r="D122" s="115"/>
      <c r="E122" s="114" t="s">
        <v>2380</v>
      </c>
      <c r="F122" s="114" t="s">
        <v>78</v>
      </c>
      <c r="G122" s="114" t="s">
        <v>78</v>
      </c>
      <c r="H122" s="114" t="s">
        <v>2001</v>
      </c>
      <c r="I122" s="114" t="s">
        <v>2018</v>
      </c>
      <c r="J122" s="115"/>
      <c r="K122" s="115"/>
      <c r="L122" s="115"/>
      <c r="M122" s="115"/>
      <c r="N122" s="114" t="s">
        <v>2828</v>
      </c>
      <c r="O122" s="115"/>
      <c r="P122" s="115"/>
      <c r="Q122" s="115"/>
      <c r="R122" s="114" t="s">
        <v>2384</v>
      </c>
      <c r="S122" s="114">
        <v>238.0</v>
      </c>
      <c r="T122" s="116" t="s">
        <v>2829</v>
      </c>
      <c r="U122" s="114" t="s">
        <v>2830</v>
      </c>
      <c r="V122" s="114" t="s">
        <v>123</v>
      </c>
      <c r="W122" s="114" t="s">
        <v>108</v>
      </c>
      <c r="X122" s="115"/>
      <c r="Y122" s="115"/>
      <c r="Z122" s="115"/>
      <c r="AA122" s="114" t="s">
        <v>199</v>
      </c>
      <c r="AB122" s="114" t="s">
        <v>75</v>
      </c>
      <c r="AC122" s="114" t="s">
        <v>250</v>
      </c>
    </row>
    <row r="123">
      <c r="A123" s="113" t="s">
        <v>2831</v>
      </c>
      <c r="B123" s="114" t="s">
        <v>1223</v>
      </c>
      <c r="C123" s="114" t="s">
        <v>103</v>
      </c>
      <c r="D123" s="115"/>
      <c r="E123" s="114" t="s">
        <v>2380</v>
      </c>
      <c r="F123" s="114" t="s">
        <v>2513</v>
      </c>
      <c r="G123" s="114" t="s">
        <v>2823</v>
      </c>
      <c r="H123" s="114" t="s">
        <v>2001</v>
      </c>
      <c r="I123" s="114" t="s">
        <v>2018</v>
      </c>
      <c r="J123" s="114" t="s">
        <v>2312</v>
      </c>
      <c r="K123" s="114" t="s">
        <v>2832</v>
      </c>
      <c r="L123" s="115"/>
      <c r="M123" s="114" t="s">
        <v>39</v>
      </c>
      <c r="N123" s="114" t="s">
        <v>2222</v>
      </c>
      <c r="O123" s="114" t="s">
        <v>2833</v>
      </c>
      <c r="P123" s="114" t="s">
        <v>2011</v>
      </c>
      <c r="Q123" s="114" t="s">
        <v>2548</v>
      </c>
      <c r="R123" s="114" t="s">
        <v>2384</v>
      </c>
      <c r="S123" s="114">
        <v>238.0</v>
      </c>
      <c r="T123" s="116" t="s">
        <v>2834</v>
      </c>
      <c r="U123" s="115"/>
      <c r="V123" s="115"/>
      <c r="W123" s="115"/>
      <c r="X123" s="115"/>
      <c r="Y123" s="115"/>
      <c r="Z123" s="115"/>
      <c r="AA123" s="114" t="s">
        <v>199</v>
      </c>
      <c r="AB123" s="115"/>
      <c r="AC123" s="115"/>
    </row>
    <row r="124">
      <c r="A124" s="113" t="s">
        <v>2835</v>
      </c>
      <c r="B124" s="114" t="s">
        <v>444</v>
      </c>
      <c r="C124" s="114" t="s">
        <v>85</v>
      </c>
      <c r="D124" s="115"/>
      <c r="E124" s="114" t="s">
        <v>2486</v>
      </c>
      <c r="F124" s="114" t="s">
        <v>78</v>
      </c>
      <c r="G124" s="114" t="s">
        <v>78</v>
      </c>
      <c r="H124" s="114" t="s">
        <v>2001</v>
      </c>
      <c r="I124" s="114" t="s">
        <v>2018</v>
      </c>
      <c r="J124" s="115"/>
      <c r="K124" s="115"/>
      <c r="L124" s="115"/>
      <c r="M124" s="114" t="s">
        <v>39</v>
      </c>
      <c r="N124" s="114" t="s">
        <v>134</v>
      </c>
      <c r="O124" s="115"/>
      <c r="P124" s="115"/>
      <c r="Q124" s="115"/>
      <c r="R124" s="114" t="s">
        <v>2384</v>
      </c>
      <c r="S124" s="114">
        <v>238.0</v>
      </c>
      <c r="T124" s="116" t="s">
        <v>2836</v>
      </c>
      <c r="U124" s="115"/>
      <c r="V124" s="115"/>
      <c r="W124" s="115"/>
      <c r="X124" s="115"/>
      <c r="Y124" s="115"/>
      <c r="Z124" s="115"/>
      <c r="AA124" s="114" t="s">
        <v>199</v>
      </c>
      <c r="AB124" s="114" t="s">
        <v>75</v>
      </c>
      <c r="AC124" s="114" t="s">
        <v>250</v>
      </c>
    </row>
    <row r="125">
      <c r="A125" s="113" t="s">
        <v>2837</v>
      </c>
      <c r="B125" s="114" t="s">
        <v>1594</v>
      </c>
      <c r="C125" s="114" t="s">
        <v>140</v>
      </c>
      <c r="D125" s="115"/>
      <c r="E125" s="114" t="s">
        <v>2380</v>
      </c>
      <c r="F125" s="114" t="s">
        <v>78</v>
      </c>
      <c r="G125" s="114" t="s">
        <v>2838</v>
      </c>
      <c r="H125" s="114" t="s">
        <v>2001</v>
      </c>
      <c r="I125" s="114" t="s">
        <v>2018</v>
      </c>
      <c r="J125" s="115"/>
      <c r="K125" s="115"/>
      <c r="L125" s="115"/>
      <c r="M125" s="114" t="s">
        <v>39</v>
      </c>
      <c r="N125" s="114" t="s">
        <v>2222</v>
      </c>
      <c r="O125" s="114" t="s">
        <v>2401</v>
      </c>
      <c r="P125" s="115"/>
      <c r="Q125" s="115"/>
      <c r="R125" s="114" t="s">
        <v>2384</v>
      </c>
      <c r="S125" s="114">
        <v>238.0</v>
      </c>
      <c r="T125" s="116" t="s">
        <v>2839</v>
      </c>
      <c r="U125" s="115"/>
      <c r="V125" s="114" t="s">
        <v>123</v>
      </c>
      <c r="W125" s="115"/>
      <c r="X125" s="115"/>
      <c r="Y125" s="115"/>
      <c r="Z125" s="115"/>
      <c r="AA125" s="114" t="s">
        <v>199</v>
      </c>
      <c r="AB125" s="114" t="s">
        <v>75</v>
      </c>
      <c r="AC125" s="114" t="s">
        <v>250</v>
      </c>
    </row>
    <row r="126">
      <c r="A126" s="113" t="s">
        <v>2840</v>
      </c>
      <c r="B126" s="114" t="s">
        <v>1223</v>
      </c>
      <c r="C126" s="114" t="s">
        <v>85</v>
      </c>
      <c r="D126" s="115"/>
      <c r="E126" s="114" t="s">
        <v>134</v>
      </c>
      <c r="F126" s="114" t="s">
        <v>2223</v>
      </c>
      <c r="G126" s="114" t="s">
        <v>2841</v>
      </c>
      <c r="H126" s="114" t="s">
        <v>2001</v>
      </c>
      <c r="I126" s="114" t="s">
        <v>2018</v>
      </c>
      <c r="J126" s="115"/>
      <c r="K126" s="115"/>
      <c r="L126" s="115"/>
      <c r="M126" s="115"/>
      <c r="N126" s="114" t="s">
        <v>70</v>
      </c>
      <c r="O126" s="115"/>
      <c r="P126" s="115"/>
      <c r="Q126" s="115"/>
      <c r="R126" s="114" t="s">
        <v>2384</v>
      </c>
      <c r="S126" s="114">
        <v>239.0</v>
      </c>
      <c r="T126" s="116" t="s">
        <v>2842</v>
      </c>
      <c r="U126" s="115"/>
      <c r="V126" s="115"/>
      <c r="W126" s="115"/>
      <c r="X126" s="115"/>
      <c r="Y126" s="115"/>
      <c r="Z126" s="115"/>
      <c r="AA126" s="114" t="s">
        <v>199</v>
      </c>
      <c r="AB126" s="115"/>
      <c r="AC126" s="115"/>
    </row>
    <row r="127">
      <c r="A127" s="113" t="s">
        <v>2843</v>
      </c>
      <c r="B127" s="114" t="s">
        <v>444</v>
      </c>
      <c r="C127" s="114" t="s">
        <v>76</v>
      </c>
      <c r="D127" s="115"/>
      <c r="E127" s="114" t="s">
        <v>2380</v>
      </c>
      <c r="F127" s="114" t="s">
        <v>1174</v>
      </c>
      <c r="G127" s="114" t="s">
        <v>2844</v>
      </c>
      <c r="H127" s="114" t="s">
        <v>2001</v>
      </c>
      <c r="I127" s="115"/>
      <c r="J127" s="115"/>
      <c r="K127" s="115"/>
      <c r="L127" s="115"/>
      <c r="M127" s="114" t="s">
        <v>39</v>
      </c>
      <c r="N127" s="114" t="s">
        <v>2222</v>
      </c>
      <c r="O127" s="114" t="s">
        <v>2845</v>
      </c>
      <c r="P127" s="115"/>
      <c r="Q127" s="115"/>
      <c r="R127" s="114" t="s">
        <v>2384</v>
      </c>
      <c r="S127" s="114">
        <v>239.0</v>
      </c>
      <c r="T127" s="116" t="s">
        <v>2846</v>
      </c>
      <c r="U127" s="115"/>
      <c r="V127" s="114" t="s">
        <v>123</v>
      </c>
      <c r="W127" s="114" t="s">
        <v>2550</v>
      </c>
      <c r="X127" s="114" t="s">
        <v>130</v>
      </c>
      <c r="Y127" s="115"/>
      <c r="Z127" s="115"/>
      <c r="AA127" s="115"/>
      <c r="AB127" s="115"/>
      <c r="AC127" s="115"/>
    </row>
    <row r="128">
      <c r="A128" s="113" t="s">
        <v>2847</v>
      </c>
      <c r="B128" s="114" t="s">
        <v>444</v>
      </c>
      <c r="C128" s="114" t="s">
        <v>140</v>
      </c>
      <c r="D128" s="115"/>
      <c r="E128" s="114" t="s">
        <v>2380</v>
      </c>
      <c r="F128" s="114" t="s">
        <v>78</v>
      </c>
      <c r="G128" s="114" t="s">
        <v>78</v>
      </c>
      <c r="H128" s="114" t="s">
        <v>2001</v>
      </c>
      <c r="I128" s="114" t="s">
        <v>2018</v>
      </c>
      <c r="J128" s="114" t="s">
        <v>2312</v>
      </c>
      <c r="K128" s="114" t="s">
        <v>2848</v>
      </c>
      <c r="L128" s="115"/>
      <c r="M128" s="115"/>
      <c r="N128" s="114" t="s">
        <v>2268</v>
      </c>
      <c r="O128" s="115"/>
      <c r="P128" s="115"/>
      <c r="Q128" s="115"/>
      <c r="R128" s="114" t="s">
        <v>2384</v>
      </c>
      <c r="S128" s="114">
        <v>239.0</v>
      </c>
      <c r="T128" s="116" t="s">
        <v>2849</v>
      </c>
      <c r="U128" s="114" t="s">
        <v>2850</v>
      </c>
      <c r="V128" s="115"/>
      <c r="W128" s="114" t="s">
        <v>2426</v>
      </c>
      <c r="X128" s="115"/>
      <c r="Y128" s="115"/>
      <c r="Z128" s="115"/>
      <c r="AA128" s="114" t="s">
        <v>199</v>
      </c>
      <c r="AB128" s="114" t="s">
        <v>75</v>
      </c>
      <c r="AC128" s="115"/>
    </row>
    <row r="129">
      <c r="A129" s="113" t="s">
        <v>2851</v>
      </c>
      <c r="B129" s="114" t="s">
        <v>945</v>
      </c>
      <c r="C129" s="114" t="s">
        <v>65</v>
      </c>
      <c r="D129" s="115"/>
      <c r="E129" s="114" t="s">
        <v>2380</v>
      </c>
      <c r="F129" s="114" t="s">
        <v>78</v>
      </c>
      <c r="G129" s="114" t="s">
        <v>2852</v>
      </c>
      <c r="H129" s="114" t="s">
        <v>2001</v>
      </c>
      <c r="I129" s="114" t="s">
        <v>2018</v>
      </c>
      <c r="J129" s="114" t="s">
        <v>2312</v>
      </c>
      <c r="K129" s="114" t="s">
        <v>2853</v>
      </c>
      <c r="L129" s="115"/>
      <c r="M129" s="114" t="s">
        <v>39</v>
      </c>
      <c r="N129" s="114" t="s">
        <v>2222</v>
      </c>
      <c r="O129" s="114" t="s">
        <v>2401</v>
      </c>
      <c r="P129" s="115"/>
      <c r="Q129" s="115"/>
      <c r="R129" s="114" t="s">
        <v>2384</v>
      </c>
      <c r="S129" s="114">
        <v>239.0</v>
      </c>
      <c r="T129" s="116" t="s">
        <v>2854</v>
      </c>
      <c r="U129" s="115"/>
      <c r="V129" s="114" t="s">
        <v>123</v>
      </c>
      <c r="W129" s="115"/>
      <c r="X129" s="115"/>
      <c r="Y129" s="115"/>
      <c r="Z129" s="115"/>
      <c r="AA129" s="114" t="s">
        <v>199</v>
      </c>
      <c r="AB129" s="114" t="s">
        <v>75</v>
      </c>
      <c r="AC129" s="114" t="s">
        <v>250</v>
      </c>
    </row>
    <row r="130">
      <c r="A130" s="113" t="s">
        <v>2855</v>
      </c>
      <c r="B130" s="114" t="s">
        <v>444</v>
      </c>
      <c r="C130" s="114" t="s">
        <v>85</v>
      </c>
      <c r="D130" s="115"/>
      <c r="E130" s="114" t="s">
        <v>2856</v>
      </c>
      <c r="F130" s="114" t="s">
        <v>1174</v>
      </c>
      <c r="G130" s="114" t="s">
        <v>2857</v>
      </c>
      <c r="H130" s="114" t="s">
        <v>2001</v>
      </c>
      <c r="I130" s="115"/>
      <c r="J130" s="114" t="s">
        <v>2312</v>
      </c>
      <c r="K130" s="114" t="s">
        <v>2858</v>
      </c>
      <c r="L130" s="115"/>
      <c r="M130" s="115"/>
      <c r="N130" s="114" t="s">
        <v>2222</v>
      </c>
      <c r="O130" s="115"/>
      <c r="P130" s="115"/>
      <c r="Q130" s="115"/>
      <c r="R130" s="114" t="s">
        <v>2384</v>
      </c>
      <c r="S130" s="114">
        <v>239.0</v>
      </c>
      <c r="T130" s="116" t="s">
        <v>2859</v>
      </c>
      <c r="U130" s="115"/>
      <c r="V130" s="114" t="s">
        <v>123</v>
      </c>
      <c r="W130" s="115"/>
      <c r="X130" s="115"/>
      <c r="Y130" s="115"/>
      <c r="Z130" s="115"/>
      <c r="AA130" s="114" t="s">
        <v>199</v>
      </c>
      <c r="AB130" s="114" t="s">
        <v>75</v>
      </c>
      <c r="AC130" s="115"/>
    </row>
    <row r="131">
      <c r="A131" s="113" t="s">
        <v>2860</v>
      </c>
      <c r="B131" s="114" t="s">
        <v>1837</v>
      </c>
      <c r="C131" s="114" t="s">
        <v>183</v>
      </c>
      <c r="D131" s="115"/>
      <c r="E131" s="114" t="s">
        <v>2380</v>
      </c>
      <c r="F131" s="114" t="s">
        <v>2561</v>
      </c>
      <c r="G131" s="114" t="s">
        <v>2506</v>
      </c>
      <c r="H131" s="114" t="s">
        <v>2001</v>
      </c>
      <c r="I131" s="114" t="s">
        <v>2018</v>
      </c>
      <c r="J131" s="114" t="s">
        <v>2312</v>
      </c>
      <c r="K131" s="114" t="s">
        <v>2861</v>
      </c>
      <c r="L131" s="115"/>
      <c r="M131" s="115"/>
      <c r="N131" s="114" t="s">
        <v>70</v>
      </c>
      <c r="O131" s="114" t="s">
        <v>2862</v>
      </c>
      <c r="P131" s="114" t="s">
        <v>2052</v>
      </c>
      <c r="Q131" s="114" t="s">
        <v>2863</v>
      </c>
      <c r="R131" s="114" t="s">
        <v>2384</v>
      </c>
      <c r="S131" s="114">
        <v>239.0</v>
      </c>
      <c r="T131" s="116" t="s">
        <v>2864</v>
      </c>
      <c r="U131" s="115"/>
      <c r="V131" s="114" t="s">
        <v>123</v>
      </c>
      <c r="W131" s="115"/>
      <c r="X131" s="114" t="s">
        <v>130</v>
      </c>
      <c r="Y131" s="115"/>
      <c r="Z131" s="115"/>
      <c r="AA131" s="114" t="s">
        <v>199</v>
      </c>
      <c r="AB131" s="115"/>
      <c r="AC131" s="114" t="s">
        <v>250</v>
      </c>
    </row>
    <row r="132">
      <c r="A132" s="113" t="s">
        <v>2865</v>
      </c>
      <c r="B132" s="114" t="s">
        <v>945</v>
      </c>
      <c r="C132" s="114" t="s">
        <v>140</v>
      </c>
      <c r="D132" s="114" t="s">
        <v>28</v>
      </c>
      <c r="E132" s="114" t="s">
        <v>2380</v>
      </c>
      <c r="F132" s="114" t="s">
        <v>71</v>
      </c>
      <c r="G132" s="114" t="s">
        <v>2495</v>
      </c>
      <c r="H132" s="114" t="s">
        <v>2001</v>
      </c>
      <c r="I132" s="114" t="s">
        <v>2018</v>
      </c>
      <c r="J132" s="114" t="s">
        <v>2312</v>
      </c>
      <c r="K132" s="114" t="s">
        <v>2866</v>
      </c>
      <c r="L132" s="115"/>
      <c r="M132" s="115"/>
      <c r="N132" s="114" t="s">
        <v>2268</v>
      </c>
      <c r="O132" s="115"/>
      <c r="P132" s="115"/>
      <c r="Q132" s="115"/>
      <c r="R132" s="114" t="s">
        <v>2384</v>
      </c>
      <c r="S132" s="114">
        <v>240.0</v>
      </c>
      <c r="T132" s="116" t="s">
        <v>2867</v>
      </c>
      <c r="U132" s="115"/>
      <c r="V132" s="114" t="s">
        <v>123</v>
      </c>
      <c r="W132" s="114" t="s">
        <v>108</v>
      </c>
      <c r="X132" s="114" t="s">
        <v>130</v>
      </c>
      <c r="Y132" s="115"/>
      <c r="Z132" s="115"/>
      <c r="AA132" s="114" t="s">
        <v>199</v>
      </c>
      <c r="AB132" s="115"/>
      <c r="AC132" s="115"/>
    </row>
    <row r="133">
      <c r="A133" s="113" t="s">
        <v>2868</v>
      </c>
      <c r="B133" s="114" t="s">
        <v>444</v>
      </c>
      <c r="C133" s="114" t="s">
        <v>103</v>
      </c>
      <c r="D133" s="114" t="s">
        <v>28</v>
      </c>
      <c r="E133" s="114" t="s">
        <v>2268</v>
      </c>
      <c r="F133" s="114" t="s">
        <v>2413</v>
      </c>
      <c r="G133" s="115"/>
      <c r="H133" s="114" t="s">
        <v>2001</v>
      </c>
      <c r="I133" s="114" t="s">
        <v>2018</v>
      </c>
      <c r="J133" s="114" t="s">
        <v>2312</v>
      </c>
      <c r="K133" s="114" t="s">
        <v>2869</v>
      </c>
      <c r="L133" s="114" t="s">
        <v>2870</v>
      </c>
      <c r="M133" s="115"/>
      <c r="N133" s="114" t="s">
        <v>70</v>
      </c>
      <c r="O133" s="115"/>
      <c r="P133" s="115"/>
      <c r="Q133" s="115"/>
      <c r="R133" s="114" t="s">
        <v>2384</v>
      </c>
      <c r="S133" s="114">
        <v>240.0</v>
      </c>
      <c r="T133" s="116" t="s">
        <v>2871</v>
      </c>
      <c r="U133" s="115"/>
      <c r="V133" s="115"/>
      <c r="W133" s="115"/>
      <c r="X133" s="115"/>
      <c r="Y133" s="115"/>
      <c r="Z133" s="115"/>
      <c r="AA133" s="114" t="s">
        <v>199</v>
      </c>
      <c r="AB133" s="115"/>
      <c r="AC133" s="115"/>
    </row>
    <row r="134">
      <c r="A134" s="113" t="s">
        <v>2872</v>
      </c>
      <c r="B134" s="114" t="s">
        <v>672</v>
      </c>
      <c r="C134" s="114" t="s">
        <v>103</v>
      </c>
      <c r="D134" s="115"/>
      <c r="E134" s="114" t="s">
        <v>134</v>
      </c>
      <c r="F134" s="114" t="s">
        <v>2214</v>
      </c>
      <c r="G134" s="115"/>
      <c r="H134" s="114" t="s">
        <v>2001</v>
      </c>
      <c r="I134" s="114" t="s">
        <v>2018</v>
      </c>
      <c r="J134" s="115"/>
      <c r="K134" s="115"/>
      <c r="L134" s="115"/>
      <c r="M134" s="115"/>
      <c r="N134" s="114" t="s">
        <v>70</v>
      </c>
      <c r="O134" s="115"/>
      <c r="P134" s="115"/>
      <c r="Q134" s="115"/>
      <c r="R134" s="114" t="s">
        <v>2384</v>
      </c>
      <c r="S134" s="114">
        <v>240.0</v>
      </c>
      <c r="T134" s="116" t="s">
        <v>2873</v>
      </c>
      <c r="U134" s="115"/>
      <c r="V134" s="115"/>
      <c r="W134" s="115"/>
      <c r="X134" s="115"/>
      <c r="Y134" s="114" t="s">
        <v>570</v>
      </c>
      <c r="Z134" s="115"/>
      <c r="AA134" s="115"/>
      <c r="AB134" s="115"/>
      <c r="AC134" s="115"/>
    </row>
    <row r="135">
      <c r="A135" s="113" t="s">
        <v>2874</v>
      </c>
      <c r="B135" s="114" t="s">
        <v>1594</v>
      </c>
      <c r="C135" s="114" t="s">
        <v>144</v>
      </c>
      <c r="D135" s="115"/>
      <c r="E135" s="114" t="s">
        <v>2222</v>
      </c>
      <c r="F135" s="114" t="s">
        <v>78</v>
      </c>
      <c r="G135" s="115"/>
      <c r="H135" s="114" t="s">
        <v>2001</v>
      </c>
      <c r="I135" s="114" t="s">
        <v>2018</v>
      </c>
      <c r="J135" s="114" t="s">
        <v>2312</v>
      </c>
      <c r="K135" s="114" t="s">
        <v>2875</v>
      </c>
      <c r="L135" s="114" t="s">
        <v>2591</v>
      </c>
      <c r="M135" s="114" t="s">
        <v>39</v>
      </c>
      <c r="N135" s="114" t="s">
        <v>2876</v>
      </c>
      <c r="O135" s="115"/>
      <c r="P135" s="115"/>
      <c r="Q135" s="115"/>
      <c r="R135" s="114" t="s">
        <v>2384</v>
      </c>
      <c r="S135" s="114">
        <v>240.0</v>
      </c>
      <c r="T135" s="116" t="s">
        <v>2877</v>
      </c>
      <c r="U135" s="115"/>
      <c r="V135" s="114" t="s">
        <v>123</v>
      </c>
      <c r="W135" s="114" t="s">
        <v>108</v>
      </c>
      <c r="X135" s="114" t="s">
        <v>130</v>
      </c>
      <c r="Y135" s="115"/>
      <c r="Z135" s="115"/>
      <c r="AA135" s="115"/>
      <c r="AB135" s="115"/>
      <c r="AC135" s="115"/>
    </row>
    <row r="136">
      <c r="A136" s="113" t="s">
        <v>2878</v>
      </c>
      <c r="B136" s="114" t="s">
        <v>672</v>
      </c>
      <c r="C136" s="114" t="s">
        <v>144</v>
      </c>
      <c r="D136" s="115"/>
      <c r="E136" s="114" t="s">
        <v>2380</v>
      </c>
      <c r="F136" s="114" t="s">
        <v>2223</v>
      </c>
      <c r="G136" s="114" t="s">
        <v>2879</v>
      </c>
      <c r="H136" s="114" t="s">
        <v>2001</v>
      </c>
      <c r="I136" s="114" t="s">
        <v>2018</v>
      </c>
      <c r="J136" s="115"/>
      <c r="K136" s="115"/>
      <c r="L136" s="115"/>
      <c r="M136" s="115"/>
      <c r="N136" s="114" t="s">
        <v>70</v>
      </c>
      <c r="O136" s="115"/>
      <c r="P136" s="115"/>
      <c r="Q136" s="115"/>
      <c r="R136" s="114" t="s">
        <v>2384</v>
      </c>
      <c r="S136" s="114">
        <v>241.0</v>
      </c>
      <c r="T136" s="116" t="s">
        <v>2880</v>
      </c>
      <c r="U136" s="115"/>
      <c r="V136" s="115"/>
      <c r="W136" s="114" t="s">
        <v>108</v>
      </c>
      <c r="X136" s="114" t="s">
        <v>130</v>
      </c>
      <c r="Y136" s="115"/>
      <c r="Z136" s="114" t="s">
        <v>443</v>
      </c>
      <c r="AA136" s="115"/>
      <c r="AB136" s="115"/>
      <c r="AC136" s="115"/>
    </row>
    <row r="137">
      <c r="A137" s="113" t="s">
        <v>2881</v>
      </c>
      <c r="B137" s="114" t="s">
        <v>1709</v>
      </c>
      <c r="C137" s="114" t="s">
        <v>140</v>
      </c>
      <c r="D137" s="115"/>
      <c r="E137" s="114" t="s">
        <v>2380</v>
      </c>
      <c r="F137" s="114" t="s">
        <v>1174</v>
      </c>
      <c r="G137" s="114" t="s">
        <v>2506</v>
      </c>
      <c r="H137" s="114" t="s">
        <v>2001</v>
      </c>
      <c r="I137" s="114" t="s">
        <v>2018</v>
      </c>
      <c r="J137" s="115"/>
      <c r="K137" s="115"/>
      <c r="L137" s="115"/>
      <c r="M137" s="115"/>
      <c r="N137" s="114" t="s">
        <v>70</v>
      </c>
      <c r="O137" s="114" t="s">
        <v>2526</v>
      </c>
      <c r="P137" s="114" t="s">
        <v>2039</v>
      </c>
      <c r="Q137" s="114" t="s">
        <v>2882</v>
      </c>
      <c r="R137" s="114" t="s">
        <v>2384</v>
      </c>
      <c r="S137" s="114">
        <v>241.0</v>
      </c>
      <c r="T137" s="116" t="s">
        <v>2883</v>
      </c>
      <c r="U137" s="115"/>
      <c r="V137" s="115"/>
      <c r="W137" s="115"/>
      <c r="X137" s="115"/>
      <c r="Y137" s="115"/>
      <c r="Z137" s="115"/>
      <c r="AA137" s="114" t="s">
        <v>199</v>
      </c>
      <c r="AB137" s="114" t="s">
        <v>75</v>
      </c>
      <c r="AC137" s="114" t="s">
        <v>250</v>
      </c>
    </row>
    <row r="138">
      <c r="A138" s="113" t="s">
        <v>2884</v>
      </c>
      <c r="B138" s="114" t="s">
        <v>64</v>
      </c>
      <c r="C138" s="114" t="s">
        <v>76</v>
      </c>
      <c r="D138" s="115"/>
      <c r="E138" s="114" t="s">
        <v>2380</v>
      </c>
      <c r="F138" s="114" t="s">
        <v>2223</v>
      </c>
      <c r="G138" s="114" t="s">
        <v>2885</v>
      </c>
      <c r="H138" s="114" t="s">
        <v>2001</v>
      </c>
      <c r="I138" s="114" t="s">
        <v>2018</v>
      </c>
      <c r="J138" s="115"/>
      <c r="K138" s="115"/>
      <c r="L138" s="115"/>
      <c r="M138" s="115"/>
      <c r="N138" s="114" t="s">
        <v>70</v>
      </c>
      <c r="O138" s="114" t="s">
        <v>2573</v>
      </c>
      <c r="P138" s="114" t="s">
        <v>1997</v>
      </c>
      <c r="Q138" s="114" t="s">
        <v>2802</v>
      </c>
      <c r="R138" s="114" t="s">
        <v>2384</v>
      </c>
      <c r="S138" s="114">
        <v>242.0</v>
      </c>
      <c r="T138" s="116" t="s">
        <v>2886</v>
      </c>
      <c r="U138" s="115"/>
      <c r="V138" s="115"/>
      <c r="W138" s="115"/>
      <c r="X138" s="115"/>
      <c r="Y138" s="115"/>
      <c r="Z138" s="115"/>
      <c r="AA138" s="114" t="s">
        <v>199</v>
      </c>
      <c r="AB138" s="114" t="s">
        <v>75</v>
      </c>
      <c r="AC138" s="115"/>
    </row>
    <row r="139">
      <c r="A139" s="113" t="s">
        <v>2887</v>
      </c>
      <c r="B139" s="114" t="s">
        <v>1223</v>
      </c>
      <c r="C139" s="114" t="s">
        <v>76</v>
      </c>
      <c r="D139" s="115"/>
      <c r="E139" s="114" t="s">
        <v>2380</v>
      </c>
      <c r="F139" s="114" t="s">
        <v>78</v>
      </c>
      <c r="G139" s="114" t="s">
        <v>78</v>
      </c>
      <c r="H139" s="114" t="s">
        <v>2001</v>
      </c>
      <c r="I139" s="114" t="s">
        <v>2018</v>
      </c>
      <c r="J139" s="114" t="s">
        <v>2312</v>
      </c>
      <c r="K139" s="114" t="s">
        <v>2888</v>
      </c>
      <c r="L139" s="115"/>
      <c r="M139" s="115"/>
      <c r="N139" s="114" t="s">
        <v>134</v>
      </c>
      <c r="O139" s="115"/>
      <c r="P139" s="114" t="s">
        <v>2889</v>
      </c>
      <c r="Q139" s="114" t="s">
        <v>2890</v>
      </c>
      <c r="R139" s="114" t="s">
        <v>2384</v>
      </c>
      <c r="S139" s="114">
        <v>242.0</v>
      </c>
      <c r="T139" s="116" t="s">
        <v>2891</v>
      </c>
      <c r="U139" s="115"/>
      <c r="V139" s="115"/>
      <c r="W139" s="115"/>
      <c r="X139" s="115"/>
      <c r="Y139" s="115"/>
      <c r="Z139" s="115"/>
      <c r="AA139" s="114" t="s">
        <v>199</v>
      </c>
      <c r="AB139" s="115"/>
      <c r="AC139" s="115"/>
    </row>
    <row r="140">
      <c r="A140" s="113" t="s">
        <v>2892</v>
      </c>
      <c r="B140" s="114" t="s">
        <v>1709</v>
      </c>
      <c r="C140" s="114" t="s">
        <v>76</v>
      </c>
      <c r="D140" s="115"/>
      <c r="E140" s="114" t="s">
        <v>2380</v>
      </c>
      <c r="F140" s="114" t="s">
        <v>2561</v>
      </c>
      <c r="G140" s="114" t="s">
        <v>2893</v>
      </c>
      <c r="H140" s="114" t="s">
        <v>2001</v>
      </c>
      <c r="I140" s="114" t="s">
        <v>2018</v>
      </c>
      <c r="J140" s="115"/>
      <c r="K140" s="115"/>
      <c r="L140" s="115"/>
      <c r="M140" s="115"/>
      <c r="N140" s="114" t="s">
        <v>70</v>
      </c>
      <c r="O140" s="114" t="s">
        <v>2515</v>
      </c>
      <c r="P140" s="114" t="s">
        <v>1997</v>
      </c>
      <c r="Q140" s="114" t="s">
        <v>2894</v>
      </c>
      <c r="R140" s="114" t="s">
        <v>2384</v>
      </c>
      <c r="S140" s="114">
        <v>242.0</v>
      </c>
      <c r="T140" s="116" t="s">
        <v>2895</v>
      </c>
      <c r="U140" s="115"/>
      <c r="V140" s="115"/>
      <c r="W140" s="114" t="s">
        <v>108</v>
      </c>
      <c r="X140" s="114" t="s">
        <v>130</v>
      </c>
      <c r="Y140" s="115"/>
      <c r="Z140" s="115"/>
      <c r="AA140" s="115"/>
      <c r="AB140" s="115"/>
      <c r="AC140" s="115"/>
    </row>
    <row r="141">
      <c r="A141" s="113" t="s">
        <v>2896</v>
      </c>
      <c r="B141" s="114" t="s">
        <v>945</v>
      </c>
      <c r="C141" s="114" t="s">
        <v>76</v>
      </c>
      <c r="D141" s="115"/>
      <c r="E141" s="114" t="s">
        <v>2380</v>
      </c>
      <c r="F141" s="114" t="s">
        <v>2561</v>
      </c>
      <c r="G141" s="114" t="s">
        <v>2558</v>
      </c>
      <c r="H141" s="114" t="s">
        <v>2001</v>
      </c>
      <c r="I141" s="114" t="s">
        <v>2018</v>
      </c>
      <c r="J141" s="114" t="s">
        <v>2312</v>
      </c>
      <c r="K141" s="114" t="s">
        <v>2733</v>
      </c>
      <c r="L141" s="115"/>
      <c r="M141" s="115"/>
      <c r="N141" s="114" t="s">
        <v>70</v>
      </c>
      <c r="O141" s="114" t="s">
        <v>2515</v>
      </c>
      <c r="P141" s="114" t="s">
        <v>1997</v>
      </c>
      <c r="Q141" s="114" t="s">
        <v>2584</v>
      </c>
      <c r="R141" s="114" t="s">
        <v>2384</v>
      </c>
      <c r="S141" s="114">
        <v>241.0</v>
      </c>
      <c r="T141" s="116" t="s">
        <v>2897</v>
      </c>
      <c r="U141" s="114" t="s">
        <v>2545</v>
      </c>
      <c r="V141" s="115"/>
      <c r="W141" s="114" t="s">
        <v>2550</v>
      </c>
      <c r="X141" s="115"/>
      <c r="Y141" s="115"/>
      <c r="Z141" s="115"/>
      <c r="AA141" s="114" t="s">
        <v>199</v>
      </c>
      <c r="AB141" s="114" t="s">
        <v>75</v>
      </c>
      <c r="AC141" s="115"/>
    </row>
    <row r="142">
      <c r="A142" s="113" t="s">
        <v>2898</v>
      </c>
      <c r="B142" s="114" t="s">
        <v>672</v>
      </c>
      <c r="C142" s="114" t="s">
        <v>76</v>
      </c>
      <c r="D142" s="115"/>
      <c r="E142" s="114" t="s">
        <v>2486</v>
      </c>
      <c r="F142" s="114" t="s">
        <v>78</v>
      </c>
      <c r="G142" s="115"/>
      <c r="H142" s="114" t="s">
        <v>2001</v>
      </c>
      <c r="I142" s="114" t="s">
        <v>2018</v>
      </c>
      <c r="J142" s="114" t="s">
        <v>2312</v>
      </c>
      <c r="K142" s="114" t="s">
        <v>2899</v>
      </c>
      <c r="L142" s="115"/>
      <c r="M142" s="114" t="s">
        <v>39</v>
      </c>
      <c r="N142" s="114" t="s">
        <v>134</v>
      </c>
      <c r="O142" s="114" t="s">
        <v>2900</v>
      </c>
      <c r="P142" s="114" t="s">
        <v>1997</v>
      </c>
      <c r="Q142" s="114" t="s">
        <v>2548</v>
      </c>
      <c r="R142" s="114" t="s">
        <v>2384</v>
      </c>
      <c r="S142" s="114">
        <v>242.0</v>
      </c>
      <c r="T142" s="116" t="s">
        <v>2901</v>
      </c>
      <c r="U142" s="114" t="s">
        <v>2902</v>
      </c>
      <c r="V142" s="115"/>
      <c r="W142" s="115"/>
      <c r="X142" s="114" t="s">
        <v>130</v>
      </c>
      <c r="Y142" s="115"/>
      <c r="Z142" s="115"/>
      <c r="AA142" s="115"/>
      <c r="AB142" s="115"/>
      <c r="AC142" s="115"/>
    </row>
    <row r="143">
      <c r="A143" s="113" t="s">
        <v>2903</v>
      </c>
      <c r="B143" s="114" t="s">
        <v>1452</v>
      </c>
      <c r="C143" s="114" t="s">
        <v>76</v>
      </c>
      <c r="D143" s="115"/>
      <c r="E143" s="114" t="s">
        <v>2380</v>
      </c>
      <c r="F143" s="114" t="s">
        <v>1174</v>
      </c>
      <c r="G143" s="114" t="s">
        <v>2904</v>
      </c>
      <c r="H143" s="114" t="s">
        <v>2001</v>
      </c>
      <c r="I143" s="114" t="s">
        <v>2312</v>
      </c>
      <c r="J143" s="114" t="s">
        <v>2312</v>
      </c>
      <c r="K143" s="114" t="s">
        <v>2905</v>
      </c>
      <c r="L143" s="115"/>
      <c r="M143" s="115"/>
      <c r="N143" s="114" t="s">
        <v>70</v>
      </c>
      <c r="O143" s="114" t="s">
        <v>2515</v>
      </c>
      <c r="P143" s="114" t="s">
        <v>2906</v>
      </c>
      <c r="Q143" s="114" t="s">
        <v>2907</v>
      </c>
      <c r="R143" s="114" t="s">
        <v>2384</v>
      </c>
      <c r="S143" s="114">
        <v>242.0</v>
      </c>
      <c r="T143" s="116" t="s">
        <v>2908</v>
      </c>
      <c r="U143" s="114" t="s">
        <v>2909</v>
      </c>
      <c r="V143" s="115"/>
      <c r="W143" s="114" t="s">
        <v>108</v>
      </c>
      <c r="X143" s="115"/>
      <c r="Y143" s="114" t="s">
        <v>2501</v>
      </c>
      <c r="Z143" s="115"/>
      <c r="AA143" s="115"/>
      <c r="AB143" s="115"/>
      <c r="AC143" s="115"/>
    </row>
    <row r="144">
      <c r="A144" s="113" t="s">
        <v>2910</v>
      </c>
      <c r="B144" s="114" t="s">
        <v>672</v>
      </c>
      <c r="C144" s="114" t="s">
        <v>103</v>
      </c>
      <c r="D144" s="115"/>
      <c r="E144" s="114" t="s">
        <v>2380</v>
      </c>
      <c r="F144" s="114" t="s">
        <v>1174</v>
      </c>
      <c r="G144" s="114" t="s">
        <v>2911</v>
      </c>
      <c r="H144" s="114" t="s">
        <v>2001</v>
      </c>
      <c r="I144" s="114" t="s">
        <v>2018</v>
      </c>
      <c r="J144" s="114" t="s">
        <v>2312</v>
      </c>
      <c r="K144" s="114" t="s">
        <v>2912</v>
      </c>
      <c r="L144" s="115"/>
      <c r="M144" s="114" t="s">
        <v>39</v>
      </c>
      <c r="N144" s="114" t="s">
        <v>2222</v>
      </c>
      <c r="O144" s="114" t="s">
        <v>2515</v>
      </c>
      <c r="P144" s="114" t="s">
        <v>1997</v>
      </c>
      <c r="Q144" s="114" t="s">
        <v>2455</v>
      </c>
      <c r="R144" s="114" t="s">
        <v>2384</v>
      </c>
      <c r="S144" s="114">
        <v>242.0</v>
      </c>
      <c r="T144" s="116" t="s">
        <v>2913</v>
      </c>
      <c r="U144" s="114" t="s">
        <v>2545</v>
      </c>
      <c r="V144" s="115"/>
      <c r="W144" s="114" t="s">
        <v>2550</v>
      </c>
      <c r="X144" s="114" t="s">
        <v>130</v>
      </c>
      <c r="Y144" s="115"/>
      <c r="Z144" s="115"/>
      <c r="AA144" s="114" t="s">
        <v>199</v>
      </c>
      <c r="AB144" s="115"/>
      <c r="AC144" s="115"/>
    </row>
    <row r="145">
      <c r="A145" s="113" t="s">
        <v>2914</v>
      </c>
      <c r="B145" s="114" t="s">
        <v>1594</v>
      </c>
      <c r="C145" s="114" t="s">
        <v>85</v>
      </c>
      <c r="D145" s="115"/>
      <c r="E145" s="114" t="s">
        <v>2380</v>
      </c>
      <c r="F145" s="114" t="s">
        <v>1174</v>
      </c>
      <c r="G145" s="114" t="s">
        <v>2506</v>
      </c>
      <c r="H145" s="114" t="s">
        <v>2001</v>
      </c>
      <c r="I145" s="114" t="s">
        <v>2018</v>
      </c>
      <c r="J145" s="114" t="s">
        <v>2312</v>
      </c>
      <c r="K145" s="114" t="s">
        <v>2915</v>
      </c>
      <c r="L145" s="115"/>
      <c r="M145" s="114" t="s">
        <v>39</v>
      </c>
      <c r="N145" s="114" t="s">
        <v>2222</v>
      </c>
      <c r="O145" s="114" t="s">
        <v>2815</v>
      </c>
      <c r="P145" s="115"/>
      <c r="Q145" s="115"/>
      <c r="R145" s="114" t="s">
        <v>2384</v>
      </c>
      <c r="S145" s="114">
        <v>243.0</v>
      </c>
      <c r="T145" s="116" t="s">
        <v>2916</v>
      </c>
      <c r="U145" s="115"/>
      <c r="V145" s="115"/>
      <c r="W145" s="115"/>
      <c r="X145" s="115"/>
      <c r="Y145" s="115"/>
      <c r="Z145" s="115"/>
      <c r="AA145" s="114" t="s">
        <v>199</v>
      </c>
      <c r="AB145" s="115"/>
      <c r="AC145" s="114" t="s">
        <v>250</v>
      </c>
    </row>
    <row r="146">
      <c r="A146" s="113" t="s">
        <v>2917</v>
      </c>
      <c r="B146" s="114" t="s">
        <v>945</v>
      </c>
      <c r="C146" s="114" t="s">
        <v>85</v>
      </c>
      <c r="D146" s="115"/>
      <c r="E146" s="114" t="s">
        <v>2380</v>
      </c>
      <c r="F146" s="114" t="s">
        <v>71</v>
      </c>
      <c r="G146" s="114" t="s">
        <v>2495</v>
      </c>
      <c r="H146" s="114" t="s">
        <v>2001</v>
      </c>
      <c r="I146" s="114" t="s">
        <v>2018</v>
      </c>
      <c r="J146" s="114" t="s">
        <v>2312</v>
      </c>
      <c r="K146" s="114" t="s">
        <v>2918</v>
      </c>
      <c r="L146" s="115"/>
      <c r="M146" s="114" t="s">
        <v>39</v>
      </c>
      <c r="N146" s="114" t="s">
        <v>134</v>
      </c>
      <c r="O146" s="115"/>
      <c r="P146" s="115"/>
      <c r="Q146" s="115"/>
      <c r="R146" s="114" t="s">
        <v>2384</v>
      </c>
      <c r="S146" s="114">
        <v>243.0</v>
      </c>
      <c r="T146" s="116" t="s">
        <v>2919</v>
      </c>
      <c r="U146" s="114" t="s">
        <v>2811</v>
      </c>
      <c r="V146" s="115"/>
      <c r="W146" s="115"/>
      <c r="X146" s="115"/>
      <c r="Y146" s="115"/>
      <c r="Z146" s="115"/>
      <c r="AA146" s="114" t="s">
        <v>199</v>
      </c>
      <c r="AB146" s="114" t="s">
        <v>75</v>
      </c>
      <c r="AC146" s="114" t="s">
        <v>250</v>
      </c>
    </row>
    <row r="147">
      <c r="A147" s="113" t="s">
        <v>2920</v>
      </c>
      <c r="B147" s="114" t="s">
        <v>444</v>
      </c>
      <c r="C147" s="114" t="s">
        <v>103</v>
      </c>
      <c r="D147" s="115"/>
      <c r="E147" s="114" t="s">
        <v>2380</v>
      </c>
      <c r="F147" s="114" t="s">
        <v>2223</v>
      </c>
      <c r="G147" s="114" t="s">
        <v>2558</v>
      </c>
      <c r="H147" s="114" t="s">
        <v>2001</v>
      </c>
      <c r="I147" s="114" t="s">
        <v>2018</v>
      </c>
      <c r="J147" s="115"/>
      <c r="K147" s="115"/>
      <c r="L147" s="115"/>
      <c r="M147" s="114" t="s">
        <v>39</v>
      </c>
      <c r="N147" s="114" t="s">
        <v>2268</v>
      </c>
      <c r="O147" s="115"/>
      <c r="P147" s="115"/>
      <c r="Q147" s="115"/>
      <c r="R147" s="114" t="s">
        <v>2384</v>
      </c>
      <c r="S147" s="114">
        <v>243.0</v>
      </c>
      <c r="T147" s="116" t="s">
        <v>2921</v>
      </c>
      <c r="U147" s="114" t="s">
        <v>2922</v>
      </c>
      <c r="V147" s="115"/>
      <c r="W147" s="114" t="s">
        <v>2556</v>
      </c>
      <c r="X147" s="114" t="s">
        <v>130</v>
      </c>
      <c r="Y147" s="115"/>
      <c r="Z147" s="114" t="s">
        <v>443</v>
      </c>
      <c r="AA147" s="114" t="s">
        <v>199</v>
      </c>
      <c r="AB147" s="114" t="s">
        <v>75</v>
      </c>
      <c r="AC147" s="115"/>
    </row>
    <row r="148">
      <c r="A148" s="113" t="s">
        <v>2923</v>
      </c>
      <c r="B148" s="114" t="s">
        <v>1594</v>
      </c>
      <c r="C148" s="114" t="s">
        <v>178</v>
      </c>
      <c r="D148" s="114" t="s">
        <v>28</v>
      </c>
      <c r="E148" s="114" t="s">
        <v>134</v>
      </c>
      <c r="F148" s="114" t="s">
        <v>71</v>
      </c>
      <c r="G148" s="114" t="s">
        <v>2924</v>
      </c>
      <c r="H148" s="114" t="s">
        <v>2001</v>
      </c>
      <c r="I148" s="114" t="s">
        <v>2018</v>
      </c>
      <c r="J148" s="114" t="s">
        <v>2312</v>
      </c>
      <c r="K148" s="114" t="s">
        <v>2925</v>
      </c>
      <c r="L148" s="114" t="s">
        <v>2476</v>
      </c>
      <c r="M148" s="115"/>
      <c r="N148" s="114" t="s">
        <v>2876</v>
      </c>
      <c r="O148" s="115"/>
      <c r="P148" s="114" t="s">
        <v>2926</v>
      </c>
      <c r="Q148" s="114" t="s">
        <v>2488</v>
      </c>
      <c r="R148" s="114" t="s">
        <v>2384</v>
      </c>
      <c r="S148" s="114">
        <v>243.0</v>
      </c>
      <c r="T148" s="116" t="s">
        <v>2927</v>
      </c>
      <c r="U148" s="115"/>
      <c r="V148" s="115"/>
      <c r="W148" s="114" t="s">
        <v>108</v>
      </c>
      <c r="X148" s="115"/>
      <c r="Y148" s="115"/>
      <c r="Z148" s="115"/>
      <c r="AA148" s="115"/>
      <c r="AB148" s="115"/>
      <c r="AC148" s="115"/>
    </row>
    <row r="149">
      <c r="A149" s="113" t="s">
        <v>2928</v>
      </c>
      <c r="B149" s="114" t="s">
        <v>1709</v>
      </c>
      <c r="C149" s="114" t="s">
        <v>76</v>
      </c>
      <c r="D149" s="115"/>
      <c r="E149" s="114" t="s">
        <v>2380</v>
      </c>
      <c r="F149" s="114" t="s">
        <v>2929</v>
      </c>
      <c r="G149" s="114" t="s">
        <v>2930</v>
      </c>
      <c r="H149" s="114" t="s">
        <v>2001</v>
      </c>
      <c r="I149" s="114" t="s">
        <v>2018</v>
      </c>
      <c r="J149" s="114" t="s">
        <v>2312</v>
      </c>
      <c r="K149" s="114" t="s">
        <v>2931</v>
      </c>
      <c r="L149" s="114" t="s">
        <v>2668</v>
      </c>
      <c r="M149" s="115"/>
      <c r="N149" s="114" t="s">
        <v>2268</v>
      </c>
      <c r="O149" s="114" t="s">
        <v>2692</v>
      </c>
      <c r="P149" s="115"/>
      <c r="Q149" s="115"/>
      <c r="R149" s="114" t="s">
        <v>2384</v>
      </c>
      <c r="S149" s="114">
        <v>243.0</v>
      </c>
      <c r="T149" s="116" t="s">
        <v>2932</v>
      </c>
      <c r="U149" s="115"/>
      <c r="V149" s="114" t="s">
        <v>123</v>
      </c>
      <c r="W149" s="115"/>
      <c r="X149" s="115"/>
      <c r="Y149" s="115"/>
      <c r="Z149" s="115"/>
      <c r="AA149" s="114" t="s">
        <v>199</v>
      </c>
      <c r="AB149" s="115"/>
      <c r="AC149" s="114" t="s">
        <v>250</v>
      </c>
    </row>
    <row r="150">
      <c r="A150" s="113" t="s">
        <v>2933</v>
      </c>
      <c r="B150" s="114" t="s">
        <v>1919</v>
      </c>
      <c r="C150" s="114" t="s">
        <v>144</v>
      </c>
      <c r="D150" s="115"/>
      <c r="E150" s="114" t="s">
        <v>2222</v>
      </c>
      <c r="F150" s="114" t="s">
        <v>71</v>
      </c>
      <c r="G150" s="114" t="s">
        <v>2495</v>
      </c>
      <c r="H150" s="114" t="s">
        <v>2001</v>
      </c>
      <c r="I150" s="114" t="s">
        <v>2018</v>
      </c>
      <c r="J150" s="114" t="s">
        <v>2312</v>
      </c>
      <c r="K150" s="114" t="s">
        <v>2934</v>
      </c>
      <c r="L150" s="115"/>
      <c r="M150" s="115"/>
      <c r="N150" s="114" t="s">
        <v>1008</v>
      </c>
      <c r="O150" s="115"/>
      <c r="P150" s="115"/>
      <c r="Q150" s="115"/>
      <c r="R150" s="114" t="s">
        <v>2384</v>
      </c>
      <c r="S150" s="114">
        <v>244.0</v>
      </c>
      <c r="T150" s="116" t="s">
        <v>2935</v>
      </c>
      <c r="U150" s="115"/>
      <c r="V150" s="114" t="s">
        <v>123</v>
      </c>
      <c r="W150" s="115"/>
      <c r="X150" s="114" t="s">
        <v>130</v>
      </c>
      <c r="Y150" s="115"/>
      <c r="Z150" s="115"/>
      <c r="AA150" s="114" t="s">
        <v>199</v>
      </c>
      <c r="AB150" s="115"/>
      <c r="AC150" s="114" t="s">
        <v>250</v>
      </c>
    </row>
    <row r="151">
      <c r="A151" s="113" t="s">
        <v>2936</v>
      </c>
      <c r="B151" s="114" t="s">
        <v>1223</v>
      </c>
      <c r="C151" s="114" t="s">
        <v>178</v>
      </c>
      <c r="D151" s="115"/>
      <c r="E151" s="114" t="s">
        <v>2380</v>
      </c>
      <c r="F151" s="114" t="s">
        <v>71</v>
      </c>
      <c r="G151" s="114" t="s">
        <v>2495</v>
      </c>
      <c r="H151" s="114" t="s">
        <v>2001</v>
      </c>
      <c r="I151" s="114" t="s">
        <v>2018</v>
      </c>
      <c r="J151" s="114" t="s">
        <v>2312</v>
      </c>
      <c r="K151" s="114" t="s">
        <v>2937</v>
      </c>
      <c r="L151" s="115"/>
      <c r="M151" s="115"/>
      <c r="N151" s="114" t="s">
        <v>2268</v>
      </c>
      <c r="O151" s="115"/>
      <c r="P151" s="115"/>
      <c r="Q151" s="115"/>
      <c r="R151" s="114" t="s">
        <v>2384</v>
      </c>
      <c r="S151" s="114">
        <v>244.0</v>
      </c>
      <c r="T151" s="116" t="s">
        <v>2938</v>
      </c>
      <c r="U151" s="115"/>
      <c r="V151" s="114" t="s">
        <v>123</v>
      </c>
      <c r="W151" s="114" t="s">
        <v>108</v>
      </c>
      <c r="X151" s="114" t="s">
        <v>130</v>
      </c>
      <c r="Y151" s="114" t="s">
        <v>2501</v>
      </c>
      <c r="Z151" s="114" t="s">
        <v>443</v>
      </c>
      <c r="AA151" s="115"/>
      <c r="AB151" s="115"/>
      <c r="AC151" s="115"/>
    </row>
    <row r="152">
      <c r="A152" s="113" t="s">
        <v>2939</v>
      </c>
      <c r="B152" s="114" t="s">
        <v>64</v>
      </c>
      <c r="C152" s="114" t="s">
        <v>183</v>
      </c>
      <c r="D152" s="115"/>
      <c r="E152" s="114" t="s">
        <v>2380</v>
      </c>
      <c r="F152" s="114" t="s">
        <v>78</v>
      </c>
      <c r="G152" s="114" t="s">
        <v>2940</v>
      </c>
      <c r="H152" s="115"/>
      <c r="I152" s="114" t="s">
        <v>2018</v>
      </c>
      <c r="J152" s="114" t="s">
        <v>2312</v>
      </c>
      <c r="K152" s="114" t="s">
        <v>2941</v>
      </c>
      <c r="L152" s="115"/>
      <c r="M152" s="114" t="s">
        <v>39</v>
      </c>
      <c r="N152" s="114" t="s">
        <v>2222</v>
      </c>
      <c r="O152" s="115"/>
      <c r="P152" s="115"/>
      <c r="Q152" s="115"/>
      <c r="R152" s="114" t="s">
        <v>2384</v>
      </c>
      <c r="S152" s="114">
        <v>244.0</v>
      </c>
      <c r="T152" s="116" t="s">
        <v>2942</v>
      </c>
      <c r="U152" s="115"/>
      <c r="V152" s="114" t="s">
        <v>123</v>
      </c>
      <c r="W152" s="115"/>
      <c r="X152" s="115"/>
      <c r="Y152" s="115"/>
      <c r="Z152" s="115"/>
      <c r="AA152" s="114" t="s">
        <v>199</v>
      </c>
      <c r="AB152" s="114" t="s">
        <v>75</v>
      </c>
      <c r="AC152" s="114" t="s">
        <v>250</v>
      </c>
    </row>
    <row r="153">
      <c r="A153" s="113" t="s">
        <v>2943</v>
      </c>
      <c r="B153" s="114" t="s">
        <v>945</v>
      </c>
      <c r="C153" s="114" t="s">
        <v>85</v>
      </c>
      <c r="D153" s="115"/>
      <c r="E153" s="114" t="s">
        <v>2380</v>
      </c>
      <c r="F153" s="114" t="s">
        <v>71</v>
      </c>
      <c r="G153" s="114" t="s">
        <v>2495</v>
      </c>
      <c r="H153" s="114" t="s">
        <v>2001</v>
      </c>
      <c r="I153" s="114" t="s">
        <v>2018</v>
      </c>
      <c r="J153" s="114" t="s">
        <v>2312</v>
      </c>
      <c r="K153" s="114" t="s">
        <v>2944</v>
      </c>
      <c r="L153" s="115"/>
      <c r="M153" s="114" t="s">
        <v>39</v>
      </c>
      <c r="N153" s="114" t="s">
        <v>2268</v>
      </c>
      <c r="O153" s="115"/>
      <c r="P153" s="115"/>
      <c r="Q153" s="115"/>
      <c r="R153" s="114" t="s">
        <v>2384</v>
      </c>
      <c r="S153" s="114">
        <v>244.0</v>
      </c>
      <c r="T153" s="116" t="s">
        <v>2945</v>
      </c>
      <c r="U153" s="115"/>
      <c r="V153" s="115"/>
      <c r="W153" s="115"/>
      <c r="X153" s="114" t="s">
        <v>2605</v>
      </c>
      <c r="Y153" s="115"/>
      <c r="Z153" s="115"/>
      <c r="AA153" s="114" t="s">
        <v>199</v>
      </c>
      <c r="AB153" s="114" t="s">
        <v>75</v>
      </c>
      <c r="AC153" s="114" t="s">
        <v>250</v>
      </c>
    </row>
    <row r="154">
      <c r="A154" s="113" t="s">
        <v>2946</v>
      </c>
      <c r="B154" s="114" t="s">
        <v>1919</v>
      </c>
      <c r="C154" s="114" t="s">
        <v>103</v>
      </c>
      <c r="D154" s="115"/>
      <c r="E154" s="114" t="s">
        <v>2380</v>
      </c>
      <c r="F154" s="114" t="s">
        <v>1174</v>
      </c>
      <c r="G154" s="114" t="s">
        <v>2947</v>
      </c>
      <c r="H154" s="114" t="s">
        <v>2001</v>
      </c>
      <c r="I154" s="114" t="s">
        <v>2018</v>
      </c>
      <c r="J154" s="114" t="s">
        <v>2312</v>
      </c>
      <c r="K154" s="114" t="s">
        <v>2576</v>
      </c>
      <c r="L154" s="114" t="s">
        <v>2948</v>
      </c>
      <c r="M154" s="114" t="s">
        <v>39</v>
      </c>
      <c r="N154" s="114" t="s">
        <v>2222</v>
      </c>
      <c r="O154" s="115"/>
      <c r="P154" s="115"/>
      <c r="Q154" s="115"/>
      <c r="R154" s="114" t="s">
        <v>2384</v>
      </c>
      <c r="S154" s="114">
        <v>244.0</v>
      </c>
      <c r="T154" s="116" t="s">
        <v>2949</v>
      </c>
      <c r="U154" s="115"/>
      <c r="V154" s="115"/>
      <c r="W154" s="114" t="s">
        <v>108</v>
      </c>
      <c r="X154" s="115"/>
      <c r="Y154" s="115"/>
      <c r="Z154" s="115"/>
      <c r="AA154" s="114" t="s">
        <v>199</v>
      </c>
      <c r="AB154" s="114" t="s">
        <v>75</v>
      </c>
      <c r="AC154" s="115"/>
    </row>
    <row r="155">
      <c r="A155" s="113" t="s">
        <v>2950</v>
      </c>
      <c r="B155" s="114" t="s">
        <v>1452</v>
      </c>
      <c r="C155" s="114" t="s">
        <v>183</v>
      </c>
      <c r="D155" s="115"/>
      <c r="E155" s="114" t="s">
        <v>2222</v>
      </c>
      <c r="F155" s="114" t="s">
        <v>1174</v>
      </c>
      <c r="G155" s="114" t="s">
        <v>2506</v>
      </c>
      <c r="H155" s="114" t="s">
        <v>2001</v>
      </c>
      <c r="I155" s="115"/>
      <c r="J155" s="115"/>
      <c r="K155" s="115"/>
      <c r="L155" s="115"/>
      <c r="M155" s="115"/>
      <c r="N155" s="114" t="s">
        <v>2951</v>
      </c>
      <c r="O155" s="114" t="s">
        <v>2401</v>
      </c>
      <c r="P155" s="114" t="s">
        <v>2692</v>
      </c>
      <c r="Q155" s="114" t="s">
        <v>2692</v>
      </c>
      <c r="R155" s="114" t="s">
        <v>2384</v>
      </c>
      <c r="S155" s="114">
        <v>244.0</v>
      </c>
      <c r="T155" s="116" t="s">
        <v>2952</v>
      </c>
      <c r="U155" s="114" t="s">
        <v>2953</v>
      </c>
      <c r="V155" s="114" t="s">
        <v>123</v>
      </c>
      <c r="W155" s="114" t="s">
        <v>108</v>
      </c>
      <c r="X155" s="114" t="s">
        <v>130</v>
      </c>
      <c r="Y155" s="114" t="s">
        <v>570</v>
      </c>
      <c r="Z155" s="115"/>
      <c r="AA155" s="114" t="s">
        <v>199</v>
      </c>
      <c r="AB155" s="115"/>
      <c r="AC155" s="115"/>
    </row>
    <row r="156">
      <c r="A156" s="113" t="s">
        <v>2954</v>
      </c>
      <c r="B156" s="114" t="s">
        <v>672</v>
      </c>
      <c r="C156" s="114" t="s">
        <v>140</v>
      </c>
      <c r="D156" s="114" t="s">
        <v>28</v>
      </c>
      <c r="E156" s="114" t="s">
        <v>2380</v>
      </c>
      <c r="F156" s="114" t="s">
        <v>71</v>
      </c>
      <c r="G156" s="114" t="s">
        <v>2955</v>
      </c>
      <c r="H156" s="114" t="s">
        <v>2001</v>
      </c>
      <c r="I156" s="114" t="s">
        <v>2018</v>
      </c>
      <c r="J156" s="114" t="s">
        <v>2312</v>
      </c>
      <c r="K156" s="114" t="s">
        <v>2956</v>
      </c>
      <c r="L156" s="115"/>
      <c r="M156" s="115"/>
      <c r="N156" s="114" t="s">
        <v>2433</v>
      </c>
      <c r="O156" s="115"/>
      <c r="P156" s="115"/>
      <c r="Q156" s="115"/>
      <c r="R156" s="114" t="s">
        <v>2384</v>
      </c>
      <c r="S156" s="114">
        <v>245.0</v>
      </c>
      <c r="T156" s="116" t="s">
        <v>2957</v>
      </c>
      <c r="U156" s="115"/>
      <c r="V156" s="115"/>
      <c r="W156" s="114" t="s">
        <v>108</v>
      </c>
      <c r="X156" s="115"/>
      <c r="Y156" s="115"/>
      <c r="Z156" s="115"/>
      <c r="AA156" s="114" t="s">
        <v>199</v>
      </c>
      <c r="AB156" s="115"/>
      <c r="AC156" s="115"/>
    </row>
    <row r="157">
      <c r="A157" s="113" t="s">
        <v>2958</v>
      </c>
      <c r="B157" s="114" t="s">
        <v>1223</v>
      </c>
      <c r="C157" s="114" t="s">
        <v>85</v>
      </c>
      <c r="D157" s="115"/>
      <c r="E157" s="114" t="s">
        <v>2380</v>
      </c>
      <c r="F157" s="114" t="s">
        <v>2214</v>
      </c>
      <c r="G157" s="114" t="s">
        <v>2508</v>
      </c>
      <c r="H157" s="114" t="s">
        <v>2001</v>
      </c>
      <c r="I157" s="114" t="s">
        <v>2018</v>
      </c>
      <c r="J157" s="115"/>
      <c r="K157" s="115"/>
      <c r="L157" s="115"/>
      <c r="M157" s="114" t="s">
        <v>39</v>
      </c>
      <c r="N157" s="114" t="s">
        <v>134</v>
      </c>
      <c r="O157" s="115"/>
      <c r="P157" s="115"/>
      <c r="Q157" s="115"/>
      <c r="R157" s="114" t="s">
        <v>2384</v>
      </c>
      <c r="S157" s="114">
        <v>245.0</v>
      </c>
      <c r="T157" s="116" t="s">
        <v>2959</v>
      </c>
      <c r="U157" s="115"/>
      <c r="V157" s="115"/>
      <c r="W157" s="115"/>
      <c r="X157" s="114" t="s">
        <v>130</v>
      </c>
      <c r="Y157" s="115"/>
      <c r="Z157" s="115"/>
      <c r="AA157" s="115"/>
      <c r="AB157" s="115"/>
      <c r="AC157" s="115"/>
    </row>
    <row r="158">
      <c r="A158" s="113" t="s">
        <v>2960</v>
      </c>
      <c r="B158" s="114" t="s">
        <v>1837</v>
      </c>
      <c r="C158" s="114" t="s">
        <v>85</v>
      </c>
      <c r="D158" s="115"/>
      <c r="E158" s="114" t="s">
        <v>2380</v>
      </c>
      <c r="F158" s="114" t="s">
        <v>78</v>
      </c>
      <c r="G158" s="114" t="s">
        <v>78</v>
      </c>
      <c r="H158" s="114" t="s">
        <v>2001</v>
      </c>
      <c r="I158" s="115"/>
      <c r="J158" s="115"/>
      <c r="K158" s="115"/>
      <c r="L158" s="115"/>
      <c r="M158" s="115"/>
      <c r="N158" s="114" t="s">
        <v>2268</v>
      </c>
      <c r="O158" s="115"/>
      <c r="P158" s="115"/>
      <c r="Q158" s="115"/>
      <c r="R158" s="114" t="s">
        <v>2384</v>
      </c>
      <c r="S158" s="114">
        <v>245.0</v>
      </c>
      <c r="T158" s="116" t="s">
        <v>2961</v>
      </c>
      <c r="U158" s="115"/>
      <c r="V158" s="114" t="s">
        <v>123</v>
      </c>
      <c r="W158" s="115"/>
      <c r="X158" s="115"/>
      <c r="Y158" s="115"/>
      <c r="Z158" s="115"/>
      <c r="AA158" s="115"/>
      <c r="AB158" s="115"/>
      <c r="AC158" s="114" t="s">
        <v>250</v>
      </c>
    </row>
    <row r="159">
      <c r="A159" s="113" t="s">
        <v>2962</v>
      </c>
      <c r="B159" s="114" t="s">
        <v>1594</v>
      </c>
      <c r="C159" s="114" t="s">
        <v>178</v>
      </c>
      <c r="D159" s="115"/>
      <c r="E159" s="114" t="s">
        <v>2380</v>
      </c>
      <c r="F159" s="114" t="s">
        <v>78</v>
      </c>
      <c r="G159" s="114" t="s">
        <v>2632</v>
      </c>
      <c r="H159" s="114" t="s">
        <v>2001</v>
      </c>
      <c r="I159" s="114" t="s">
        <v>2018</v>
      </c>
      <c r="J159" s="114" t="s">
        <v>2312</v>
      </c>
      <c r="K159" s="114" t="s">
        <v>2963</v>
      </c>
      <c r="L159" s="115"/>
      <c r="M159" s="114" t="s">
        <v>39</v>
      </c>
      <c r="N159" s="114" t="s">
        <v>2222</v>
      </c>
      <c r="O159" s="115"/>
      <c r="P159" s="115"/>
      <c r="Q159" s="115"/>
      <c r="R159" s="114" t="s">
        <v>2384</v>
      </c>
      <c r="S159" s="114">
        <v>245.0</v>
      </c>
      <c r="T159" s="116" t="s">
        <v>2964</v>
      </c>
      <c r="U159" s="114" t="s">
        <v>2965</v>
      </c>
      <c r="V159" s="115"/>
      <c r="W159" s="115"/>
      <c r="X159" s="115"/>
      <c r="Y159" s="115"/>
      <c r="Z159" s="115"/>
      <c r="AA159" s="114" t="s">
        <v>199</v>
      </c>
      <c r="AB159" s="114" t="s">
        <v>75</v>
      </c>
      <c r="AC159" s="115"/>
    </row>
    <row r="160">
      <c r="A160" s="113" t="s">
        <v>2966</v>
      </c>
      <c r="B160" s="114" t="s">
        <v>945</v>
      </c>
      <c r="C160" s="114" t="s">
        <v>178</v>
      </c>
      <c r="D160" s="115"/>
      <c r="E160" s="114" t="s">
        <v>2268</v>
      </c>
      <c r="F160" s="114" t="s">
        <v>71</v>
      </c>
      <c r="G160" s="114" t="s">
        <v>2508</v>
      </c>
      <c r="H160" s="114" t="s">
        <v>2001</v>
      </c>
      <c r="I160" s="114" t="s">
        <v>2018</v>
      </c>
      <c r="J160" s="114" t="s">
        <v>2312</v>
      </c>
      <c r="K160" s="114" t="s">
        <v>2967</v>
      </c>
      <c r="L160" s="114" t="s">
        <v>2968</v>
      </c>
      <c r="M160" s="115"/>
      <c r="N160" s="114" t="s">
        <v>2969</v>
      </c>
      <c r="O160" s="115"/>
      <c r="P160" s="115"/>
      <c r="Q160" s="115"/>
      <c r="R160" s="114" t="s">
        <v>2384</v>
      </c>
      <c r="S160" s="114">
        <v>245.0</v>
      </c>
      <c r="T160" s="116" t="s">
        <v>2970</v>
      </c>
      <c r="U160" s="114" t="s">
        <v>2508</v>
      </c>
      <c r="V160" s="114" t="s">
        <v>123</v>
      </c>
      <c r="W160" s="114" t="s">
        <v>108</v>
      </c>
      <c r="X160" s="115"/>
      <c r="Y160" s="115"/>
      <c r="Z160" s="115"/>
      <c r="AA160" s="114" t="s">
        <v>199</v>
      </c>
      <c r="AB160" s="115"/>
      <c r="AC160" s="115"/>
    </row>
    <row r="161">
      <c r="A161" s="113" t="s">
        <v>2971</v>
      </c>
      <c r="B161" s="114" t="s">
        <v>444</v>
      </c>
      <c r="C161" s="114" t="s">
        <v>85</v>
      </c>
      <c r="D161" s="115"/>
      <c r="E161" s="114" t="s">
        <v>2380</v>
      </c>
      <c r="F161" s="114" t="s">
        <v>71</v>
      </c>
      <c r="G161" s="115"/>
      <c r="H161" s="114" t="s">
        <v>2001</v>
      </c>
      <c r="I161" s="114" t="s">
        <v>2018</v>
      </c>
      <c r="J161" s="114" t="s">
        <v>2312</v>
      </c>
      <c r="K161" s="114" t="s">
        <v>2972</v>
      </c>
      <c r="L161" s="115"/>
      <c r="M161" s="115"/>
      <c r="N161" s="114" t="s">
        <v>70</v>
      </c>
      <c r="O161" s="115"/>
      <c r="P161" s="115"/>
      <c r="Q161" s="115"/>
      <c r="R161" s="114" t="s">
        <v>2384</v>
      </c>
      <c r="S161" s="114">
        <v>246.0</v>
      </c>
      <c r="T161" s="116" t="s">
        <v>2973</v>
      </c>
      <c r="U161" s="115"/>
      <c r="V161" s="115"/>
      <c r="W161" s="115"/>
      <c r="X161" s="114" t="s">
        <v>130</v>
      </c>
      <c r="Y161" s="115"/>
      <c r="Z161" s="114" t="s">
        <v>443</v>
      </c>
      <c r="AA161" s="115"/>
      <c r="AB161" s="115"/>
      <c r="AC161" s="115"/>
    </row>
    <row r="162">
      <c r="A162" s="113" t="s">
        <v>2974</v>
      </c>
      <c r="B162" s="114" t="s">
        <v>1223</v>
      </c>
      <c r="C162" s="114" t="s">
        <v>103</v>
      </c>
      <c r="D162" s="115"/>
      <c r="E162" s="114" t="s">
        <v>2486</v>
      </c>
      <c r="F162" s="114" t="s">
        <v>2214</v>
      </c>
      <c r="G162" s="115"/>
      <c r="H162" s="114" t="s">
        <v>2001</v>
      </c>
      <c r="I162" s="114" t="s">
        <v>2018</v>
      </c>
      <c r="J162" s="115"/>
      <c r="K162" s="115"/>
      <c r="L162" s="115"/>
      <c r="M162" s="114" t="s">
        <v>39</v>
      </c>
      <c r="N162" s="114" t="s">
        <v>2222</v>
      </c>
      <c r="O162" s="114" t="s">
        <v>2382</v>
      </c>
      <c r="P162" s="115"/>
      <c r="Q162" s="115"/>
      <c r="R162" s="114" t="s">
        <v>2384</v>
      </c>
      <c r="S162" s="114">
        <v>246.0</v>
      </c>
      <c r="T162" s="116" t="s">
        <v>2975</v>
      </c>
      <c r="U162" s="115"/>
      <c r="V162" s="115"/>
      <c r="W162" s="114" t="s">
        <v>2404</v>
      </c>
      <c r="X162" s="114" t="s">
        <v>130</v>
      </c>
      <c r="Y162" s="115"/>
      <c r="Z162" s="114" t="s">
        <v>443</v>
      </c>
      <c r="AA162" s="115"/>
      <c r="AB162" s="115"/>
      <c r="AC162" s="115"/>
    </row>
    <row r="163">
      <c r="A163" s="113" t="s">
        <v>2976</v>
      </c>
      <c r="B163" s="114" t="s">
        <v>444</v>
      </c>
      <c r="C163" s="114" t="s">
        <v>103</v>
      </c>
      <c r="D163" s="115"/>
      <c r="E163" s="114" t="s">
        <v>2380</v>
      </c>
      <c r="F163" s="114" t="s">
        <v>1174</v>
      </c>
      <c r="G163" s="114" t="s">
        <v>2977</v>
      </c>
      <c r="H163" s="114" t="s">
        <v>2001</v>
      </c>
      <c r="I163" s="114" t="s">
        <v>2018</v>
      </c>
      <c r="J163" s="114" t="s">
        <v>2312</v>
      </c>
      <c r="K163" s="114" t="s">
        <v>2978</v>
      </c>
      <c r="L163" s="115"/>
      <c r="M163" s="115"/>
      <c r="N163" s="114" t="s">
        <v>2222</v>
      </c>
      <c r="O163" s="114" t="s">
        <v>2382</v>
      </c>
      <c r="P163" s="115"/>
      <c r="Q163" s="115"/>
      <c r="R163" s="114" t="s">
        <v>2384</v>
      </c>
      <c r="S163" s="114">
        <v>246.0</v>
      </c>
      <c r="T163" s="116" t="s">
        <v>2979</v>
      </c>
      <c r="U163" s="115"/>
      <c r="V163" s="115"/>
      <c r="W163" s="115"/>
      <c r="X163" s="115"/>
      <c r="Y163" s="115"/>
      <c r="Z163" s="115"/>
      <c r="AA163" s="114" t="s">
        <v>199</v>
      </c>
      <c r="AB163" s="115"/>
      <c r="AC163" s="115"/>
    </row>
    <row r="164">
      <c r="A164" s="113" t="s">
        <v>2980</v>
      </c>
      <c r="B164" s="114" t="s">
        <v>1223</v>
      </c>
      <c r="C164" s="114" t="s">
        <v>65</v>
      </c>
      <c r="D164" s="115"/>
      <c r="E164" s="114" t="s">
        <v>2380</v>
      </c>
      <c r="F164" s="114" t="s">
        <v>71</v>
      </c>
      <c r="G164" s="114" t="s">
        <v>2981</v>
      </c>
      <c r="H164" s="114" t="s">
        <v>2001</v>
      </c>
      <c r="I164" s="114" t="s">
        <v>2018</v>
      </c>
      <c r="J164" s="115"/>
      <c r="K164" s="115"/>
      <c r="L164" s="115"/>
      <c r="M164" s="114" t="s">
        <v>39</v>
      </c>
      <c r="N164" s="114" t="s">
        <v>2222</v>
      </c>
      <c r="O164" s="115"/>
      <c r="P164" s="115"/>
      <c r="Q164" s="115"/>
      <c r="R164" s="114" t="s">
        <v>2384</v>
      </c>
      <c r="S164" s="114">
        <v>246.0</v>
      </c>
      <c r="T164" s="116" t="s">
        <v>2982</v>
      </c>
      <c r="U164" s="115"/>
      <c r="V164" s="114" t="s">
        <v>123</v>
      </c>
      <c r="W164" s="115"/>
      <c r="X164" s="114" t="s">
        <v>2605</v>
      </c>
      <c r="Y164" s="115"/>
      <c r="Z164" s="115"/>
      <c r="AA164" s="114" t="s">
        <v>199</v>
      </c>
      <c r="AB164" s="114" t="s">
        <v>75</v>
      </c>
      <c r="AC164" s="115"/>
    </row>
    <row r="165">
      <c r="A165" s="113" t="s">
        <v>2983</v>
      </c>
      <c r="B165" s="114" t="s">
        <v>1452</v>
      </c>
      <c r="C165" s="114" t="s">
        <v>178</v>
      </c>
      <c r="D165" s="115"/>
      <c r="E165" s="114" t="s">
        <v>2380</v>
      </c>
      <c r="F165" s="114" t="s">
        <v>71</v>
      </c>
      <c r="G165" s="114" t="s">
        <v>2506</v>
      </c>
      <c r="H165" s="114" t="s">
        <v>2001</v>
      </c>
      <c r="I165" s="114" t="s">
        <v>2018</v>
      </c>
      <c r="J165" s="114" t="s">
        <v>2312</v>
      </c>
      <c r="K165" s="114" t="s">
        <v>2984</v>
      </c>
      <c r="L165" s="114" t="s">
        <v>2591</v>
      </c>
      <c r="M165" s="115"/>
      <c r="N165" s="114" t="s">
        <v>70</v>
      </c>
      <c r="O165" s="115"/>
      <c r="P165" s="115"/>
      <c r="Q165" s="115"/>
      <c r="R165" s="114" t="s">
        <v>2384</v>
      </c>
      <c r="S165" s="114">
        <v>246.0</v>
      </c>
      <c r="T165" s="116" t="s">
        <v>2985</v>
      </c>
      <c r="U165" s="115"/>
      <c r="V165" s="114" t="s">
        <v>123</v>
      </c>
      <c r="W165" s="114" t="s">
        <v>108</v>
      </c>
      <c r="X165" s="114" t="s">
        <v>130</v>
      </c>
      <c r="Y165" s="115"/>
      <c r="Z165" s="115"/>
      <c r="AA165" s="115"/>
      <c r="AB165" s="115"/>
      <c r="AC165" s="115"/>
    </row>
    <row r="166">
      <c r="A166" s="113" t="s">
        <v>2986</v>
      </c>
      <c r="B166" s="114" t="s">
        <v>1223</v>
      </c>
      <c r="C166" s="114" t="s">
        <v>103</v>
      </c>
      <c r="D166" s="115"/>
      <c r="E166" s="114" t="s">
        <v>2380</v>
      </c>
      <c r="F166" s="114" t="s">
        <v>2214</v>
      </c>
      <c r="G166" s="115"/>
      <c r="H166" s="114" t="s">
        <v>2001</v>
      </c>
      <c r="I166" s="115"/>
      <c r="J166" s="115"/>
      <c r="K166" s="115"/>
      <c r="L166" s="115"/>
      <c r="M166" s="115"/>
      <c r="N166" s="114" t="s">
        <v>1008</v>
      </c>
      <c r="O166" s="114" t="s">
        <v>2987</v>
      </c>
      <c r="P166" s="114" t="s">
        <v>2026</v>
      </c>
      <c r="Q166" s="114" t="s">
        <v>2988</v>
      </c>
      <c r="R166" s="114" t="s">
        <v>2384</v>
      </c>
      <c r="S166" s="114">
        <v>246.0</v>
      </c>
      <c r="T166" s="116" t="s">
        <v>2989</v>
      </c>
      <c r="U166" s="115"/>
      <c r="V166" s="115"/>
      <c r="W166" s="114" t="s">
        <v>108</v>
      </c>
      <c r="X166" s="115"/>
      <c r="Y166" s="114" t="s">
        <v>2501</v>
      </c>
      <c r="Z166" s="115"/>
      <c r="AA166" s="115"/>
      <c r="AB166" s="115"/>
      <c r="AC166" s="115"/>
    </row>
    <row r="167">
      <c r="A167" s="113" t="s">
        <v>2990</v>
      </c>
      <c r="B167" s="114" t="s">
        <v>1594</v>
      </c>
      <c r="C167" s="114" t="s">
        <v>178</v>
      </c>
      <c r="D167" s="115"/>
      <c r="E167" s="114" t="s">
        <v>134</v>
      </c>
      <c r="F167" s="114" t="s">
        <v>71</v>
      </c>
      <c r="G167" s="114" t="s">
        <v>2508</v>
      </c>
      <c r="H167" s="114" t="s">
        <v>2001</v>
      </c>
      <c r="I167" s="114" t="s">
        <v>2018</v>
      </c>
      <c r="J167" s="114" t="s">
        <v>2312</v>
      </c>
      <c r="K167" s="114" t="s">
        <v>2991</v>
      </c>
      <c r="L167" s="114" t="s">
        <v>2870</v>
      </c>
      <c r="M167" s="115"/>
      <c r="N167" s="114" t="s">
        <v>347</v>
      </c>
      <c r="O167" s="115"/>
      <c r="P167" s="115"/>
      <c r="Q167" s="115"/>
      <c r="R167" s="114" t="s">
        <v>2384</v>
      </c>
      <c r="S167" s="114">
        <v>248.0</v>
      </c>
      <c r="T167" s="116" t="s">
        <v>2992</v>
      </c>
      <c r="U167" s="115"/>
      <c r="V167" s="114" t="s">
        <v>123</v>
      </c>
      <c r="W167" s="115"/>
      <c r="X167" s="115"/>
      <c r="Y167" s="115"/>
      <c r="Z167" s="115"/>
      <c r="AA167" s="114" t="s">
        <v>199</v>
      </c>
      <c r="AB167" s="115"/>
      <c r="AC167" s="115"/>
    </row>
    <row r="168">
      <c r="A168" s="113" t="s">
        <v>2993</v>
      </c>
      <c r="B168" s="114" t="s">
        <v>64</v>
      </c>
      <c r="C168" s="114" t="s">
        <v>144</v>
      </c>
      <c r="D168" s="115"/>
      <c r="E168" s="114" t="s">
        <v>2380</v>
      </c>
      <c r="F168" s="114" t="s">
        <v>71</v>
      </c>
      <c r="G168" s="114" t="s">
        <v>2495</v>
      </c>
      <c r="H168" s="114" t="s">
        <v>2001</v>
      </c>
      <c r="I168" s="114" t="s">
        <v>2018</v>
      </c>
      <c r="J168" s="115"/>
      <c r="K168" s="115"/>
      <c r="L168" s="115"/>
      <c r="M168" s="114" t="s">
        <v>39</v>
      </c>
      <c r="N168" s="114" t="s">
        <v>2222</v>
      </c>
      <c r="O168" s="115"/>
      <c r="P168" s="115"/>
      <c r="Q168" s="115"/>
      <c r="R168" s="114" t="s">
        <v>2384</v>
      </c>
      <c r="S168" s="114">
        <v>248.0</v>
      </c>
      <c r="T168" s="116" t="s">
        <v>2994</v>
      </c>
      <c r="U168" s="115"/>
      <c r="V168" s="115"/>
      <c r="W168" s="114" t="s">
        <v>108</v>
      </c>
      <c r="X168" s="114" t="s">
        <v>130</v>
      </c>
      <c r="Y168" s="115"/>
      <c r="Z168" s="115"/>
      <c r="AA168" s="115"/>
      <c r="AB168" s="115"/>
      <c r="AC168" s="115"/>
    </row>
    <row r="169">
      <c r="A169" s="113" t="s">
        <v>2995</v>
      </c>
      <c r="B169" s="114" t="s">
        <v>444</v>
      </c>
      <c r="C169" s="114" t="s">
        <v>76</v>
      </c>
      <c r="D169" s="115"/>
      <c r="E169" s="114" t="s">
        <v>2380</v>
      </c>
      <c r="F169" s="114" t="s">
        <v>2223</v>
      </c>
      <c r="G169" s="114" t="s">
        <v>2506</v>
      </c>
      <c r="H169" s="114" t="s">
        <v>2001</v>
      </c>
      <c r="I169" s="114" t="s">
        <v>2018</v>
      </c>
      <c r="J169" s="115"/>
      <c r="K169" s="115"/>
      <c r="L169" s="115"/>
      <c r="M169" s="115"/>
      <c r="N169" s="114" t="s">
        <v>2519</v>
      </c>
      <c r="O169" s="114" t="s">
        <v>2573</v>
      </c>
      <c r="P169" s="114" t="s">
        <v>2026</v>
      </c>
      <c r="Q169" s="114" t="s">
        <v>2863</v>
      </c>
      <c r="R169" s="114" t="s">
        <v>2384</v>
      </c>
      <c r="S169" s="114">
        <v>248.0</v>
      </c>
      <c r="T169" s="116" t="s">
        <v>2996</v>
      </c>
      <c r="U169" s="114" t="s">
        <v>2545</v>
      </c>
      <c r="V169" s="115"/>
      <c r="W169" s="114" t="s">
        <v>108</v>
      </c>
      <c r="X169" s="115"/>
      <c r="Y169" s="115"/>
      <c r="Z169" s="115"/>
      <c r="AA169" s="115"/>
      <c r="AB169" s="115"/>
      <c r="AC169" s="115"/>
    </row>
    <row r="170">
      <c r="A170" s="113" t="s">
        <v>2997</v>
      </c>
      <c r="B170" s="114" t="s">
        <v>672</v>
      </c>
      <c r="C170" s="114" t="s">
        <v>76</v>
      </c>
      <c r="D170" s="115"/>
      <c r="E170" s="114" t="s">
        <v>2380</v>
      </c>
      <c r="F170" s="114" t="s">
        <v>78</v>
      </c>
      <c r="G170" s="114" t="s">
        <v>2998</v>
      </c>
      <c r="H170" s="114" t="s">
        <v>2001</v>
      </c>
      <c r="I170" s="114" t="s">
        <v>2018</v>
      </c>
      <c r="J170" s="114" t="s">
        <v>2312</v>
      </c>
      <c r="K170" s="114" t="s">
        <v>2999</v>
      </c>
      <c r="L170" s="115"/>
      <c r="M170" s="114" t="s">
        <v>39</v>
      </c>
      <c r="N170" s="114" t="s">
        <v>2222</v>
      </c>
      <c r="O170" s="114" t="s">
        <v>2819</v>
      </c>
      <c r="P170" s="115"/>
      <c r="Q170" s="115"/>
      <c r="R170" s="114" t="s">
        <v>2384</v>
      </c>
      <c r="S170" s="114">
        <v>248.0</v>
      </c>
      <c r="T170" s="116" t="s">
        <v>3000</v>
      </c>
      <c r="U170" s="115"/>
      <c r="V170" s="115"/>
      <c r="W170" s="114" t="s">
        <v>2556</v>
      </c>
      <c r="X170" s="114" t="s">
        <v>130</v>
      </c>
      <c r="Y170" s="115"/>
      <c r="Z170" s="115"/>
      <c r="AA170" s="114" t="s">
        <v>199</v>
      </c>
      <c r="AB170" s="114" t="s">
        <v>75</v>
      </c>
      <c r="AC170" s="115"/>
    </row>
    <row r="171">
      <c r="A171" s="113" t="s">
        <v>3001</v>
      </c>
      <c r="B171" s="114" t="s">
        <v>444</v>
      </c>
      <c r="C171" s="114" t="s">
        <v>103</v>
      </c>
      <c r="D171" s="115"/>
      <c r="E171" s="114" t="s">
        <v>2486</v>
      </c>
      <c r="F171" s="114" t="s">
        <v>78</v>
      </c>
      <c r="G171" s="114" t="s">
        <v>78</v>
      </c>
      <c r="H171" s="114" t="s">
        <v>2001</v>
      </c>
      <c r="I171" s="115"/>
      <c r="J171" s="115"/>
      <c r="K171" s="115"/>
      <c r="L171" s="115"/>
      <c r="M171" s="114" t="s">
        <v>39</v>
      </c>
      <c r="N171" s="114" t="s">
        <v>2222</v>
      </c>
      <c r="O171" s="114" t="s">
        <v>2515</v>
      </c>
      <c r="P171" s="114" t="s">
        <v>2106</v>
      </c>
      <c r="Q171" s="114" t="s">
        <v>2802</v>
      </c>
      <c r="R171" s="114" t="s">
        <v>2384</v>
      </c>
      <c r="S171" s="114">
        <v>249.0</v>
      </c>
      <c r="T171" s="116" t="s">
        <v>3002</v>
      </c>
      <c r="U171" s="114" t="s">
        <v>2555</v>
      </c>
      <c r="V171" s="115"/>
      <c r="W171" s="115"/>
      <c r="X171" s="115"/>
      <c r="Y171" s="115"/>
      <c r="Z171" s="114" t="s">
        <v>443</v>
      </c>
      <c r="AA171" s="115"/>
      <c r="AB171" s="115"/>
      <c r="AC171" s="115"/>
    </row>
    <row r="172">
      <c r="A172" s="113" t="s">
        <v>3003</v>
      </c>
      <c r="B172" s="114" t="s">
        <v>1452</v>
      </c>
      <c r="C172" s="114" t="s">
        <v>76</v>
      </c>
      <c r="D172" s="115"/>
      <c r="E172" s="114" t="s">
        <v>347</v>
      </c>
      <c r="F172" s="114" t="s">
        <v>71</v>
      </c>
      <c r="G172" s="114" t="s">
        <v>3004</v>
      </c>
      <c r="H172" s="114" t="s">
        <v>2001</v>
      </c>
      <c r="I172" s="114" t="s">
        <v>2018</v>
      </c>
      <c r="J172" s="114" t="s">
        <v>2312</v>
      </c>
      <c r="K172" s="114" t="s">
        <v>3005</v>
      </c>
      <c r="L172" s="114" t="s">
        <v>2476</v>
      </c>
      <c r="M172" s="115"/>
      <c r="N172" s="114" t="s">
        <v>2446</v>
      </c>
      <c r="O172" s="115"/>
      <c r="P172" s="115"/>
      <c r="Q172" s="115"/>
      <c r="R172" s="114" t="s">
        <v>2384</v>
      </c>
      <c r="S172" s="114">
        <v>249.0</v>
      </c>
      <c r="T172" s="116" t="s">
        <v>3006</v>
      </c>
      <c r="U172" s="115"/>
      <c r="V172" s="115"/>
      <c r="W172" s="114" t="s">
        <v>108</v>
      </c>
      <c r="X172" s="115"/>
      <c r="Y172" s="115"/>
      <c r="Z172" s="115"/>
      <c r="AA172" s="115"/>
      <c r="AB172" s="115"/>
      <c r="AC172" s="115"/>
    </row>
    <row r="173">
      <c r="A173" s="113" t="s">
        <v>3007</v>
      </c>
      <c r="B173" s="114" t="s">
        <v>1223</v>
      </c>
      <c r="C173" s="114" t="s">
        <v>65</v>
      </c>
      <c r="D173" s="115"/>
      <c r="E173" s="114" t="s">
        <v>134</v>
      </c>
      <c r="F173" s="114" t="s">
        <v>2675</v>
      </c>
      <c r="G173" s="114" t="s">
        <v>3008</v>
      </c>
      <c r="H173" s="114" t="s">
        <v>2001</v>
      </c>
      <c r="I173" s="114" t="s">
        <v>2018</v>
      </c>
      <c r="J173" s="114" t="s">
        <v>2312</v>
      </c>
      <c r="K173" s="114" t="s">
        <v>3009</v>
      </c>
      <c r="L173" s="115"/>
      <c r="M173" s="115"/>
      <c r="N173" s="114" t="s">
        <v>347</v>
      </c>
      <c r="O173" s="115"/>
      <c r="P173" s="115"/>
      <c r="Q173" s="115"/>
      <c r="R173" s="114" t="s">
        <v>2384</v>
      </c>
      <c r="S173" s="114">
        <v>249.0</v>
      </c>
      <c r="T173" s="116" t="s">
        <v>3010</v>
      </c>
      <c r="U173" s="115"/>
      <c r="V173" s="114" t="s">
        <v>123</v>
      </c>
      <c r="W173" s="115"/>
      <c r="X173" s="114" t="s">
        <v>130</v>
      </c>
      <c r="Y173" s="115"/>
      <c r="Z173" s="115"/>
      <c r="AA173" s="114" t="s">
        <v>199</v>
      </c>
      <c r="AB173" s="115"/>
      <c r="AC173" s="114" t="s">
        <v>250</v>
      </c>
    </row>
    <row r="174">
      <c r="A174" s="113" t="s">
        <v>3011</v>
      </c>
      <c r="B174" s="114" t="s">
        <v>1594</v>
      </c>
      <c r="C174" s="114" t="s">
        <v>140</v>
      </c>
      <c r="D174" s="115"/>
      <c r="E174" s="114" t="s">
        <v>2380</v>
      </c>
      <c r="F174" s="114" t="s">
        <v>1174</v>
      </c>
      <c r="G174" s="114" t="s">
        <v>2506</v>
      </c>
      <c r="H174" s="114" t="s">
        <v>2001</v>
      </c>
      <c r="I174" s="114" t="s">
        <v>2018</v>
      </c>
      <c r="J174" s="115"/>
      <c r="K174" s="115"/>
      <c r="L174" s="115"/>
      <c r="M174" s="115"/>
      <c r="N174" s="114" t="s">
        <v>70</v>
      </c>
      <c r="O174" s="114" t="s">
        <v>2526</v>
      </c>
      <c r="P174" s="114" t="s">
        <v>2039</v>
      </c>
      <c r="Q174" s="114" t="s">
        <v>3012</v>
      </c>
      <c r="R174" s="114" t="s">
        <v>2384</v>
      </c>
      <c r="S174" s="114">
        <v>249.0</v>
      </c>
      <c r="T174" s="116" t="s">
        <v>3013</v>
      </c>
      <c r="U174" s="115"/>
      <c r="V174" s="115"/>
      <c r="W174" s="114" t="s">
        <v>108</v>
      </c>
      <c r="X174" s="115"/>
      <c r="Y174" s="115"/>
      <c r="Z174" s="115"/>
      <c r="AA174" s="115"/>
      <c r="AB174" s="115"/>
      <c r="AC174" s="115"/>
    </row>
    <row r="175">
      <c r="A175" s="113" t="s">
        <v>3014</v>
      </c>
      <c r="B175" s="114" t="s">
        <v>945</v>
      </c>
      <c r="C175" s="114" t="s">
        <v>85</v>
      </c>
      <c r="D175" s="115"/>
      <c r="E175" s="114" t="s">
        <v>2380</v>
      </c>
      <c r="F175" s="114" t="s">
        <v>2214</v>
      </c>
      <c r="G175" s="114" t="s">
        <v>2495</v>
      </c>
      <c r="H175" s="114" t="s">
        <v>2001</v>
      </c>
      <c r="I175" s="114" t="s">
        <v>2018</v>
      </c>
      <c r="J175" s="114" t="s">
        <v>2312</v>
      </c>
      <c r="K175" s="114" t="s">
        <v>3015</v>
      </c>
      <c r="L175" s="115"/>
      <c r="M175" s="114" t="s">
        <v>39</v>
      </c>
      <c r="N175" s="114" t="s">
        <v>2222</v>
      </c>
      <c r="O175" s="115"/>
      <c r="P175" s="115"/>
      <c r="Q175" s="115"/>
      <c r="R175" s="114" t="s">
        <v>2384</v>
      </c>
      <c r="S175" s="114">
        <v>250.0</v>
      </c>
      <c r="T175" s="116" t="s">
        <v>3016</v>
      </c>
      <c r="U175" s="115"/>
      <c r="V175" s="115"/>
      <c r="W175" s="115"/>
      <c r="X175" s="114" t="s">
        <v>2794</v>
      </c>
      <c r="Y175" s="114" t="s">
        <v>2484</v>
      </c>
      <c r="Z175" s="115"/>
      <c r="AA175" s="114" t="s">
        <v>199</v>
      </c>
      <c r="AB175" s="114" t="s">
        <v>75</v>
      </c>
      <c r="AC175" s="115"/>
    </row>
    <row r="176">
      <c r="A176" s="113" t="s">
        <v>3017</v>
      </c>
      <c r="B176" s="114" t="s">
        <v>1594</v>
      </c>
      <c r="C176" s="114" t="s">
        <v>76</v>
      </c>
      <c r="D176" s="115"/>
      <c r="E176" s="114" t="s">
        <v>2380</v>
      </c>
      <c r="F176" s="114" t="s">
        <v>1174</v>
      </c>
      <c r="G176" s="114" t="s">
        <v>2506</v>
      </c>
      <c r="H176" s="114" t="s">
        <v>2001</v>
      </c>
      <c r="I176" s="114" t="s">
        <v>2018</v>
      </c>
      <c r="J176" s="115"/>
      <c r="K176" s="115"/>
      <c r="L176" s="115"/>
      <c r="M176" s="115"/>
      <c r="N176" s="114" t="s">
        <v>70</v>
      </c>
      <c r="O176" s="115"/>
      <c r="P176" s="115"/>
      <c r="Q176" s="114" t="s">
        <v>3018</v>
      </c>
      <c r="R176" s="114" t="s">
        <v>2384</v>
      </c>
      <c r="S176" s="114">
        <v>250.0</v>
      </c>
      <c r="T176" s="116" t="s">
        <v>3019</v>
      </c>
      <c r="U176" s="114" t="s">
        <v>3020</v>
      </c>
      <c r="V176" s="115"/>
      <c r="W176" s="114" t="s">
        <v>108</v>
      </c>
      <c r="X176" s="114" t="s">
        <v>130</v>
      </c>
      <c r="Y176" s="115"/>
      <c r="Z176" s="115"/>
      <c r="AA176" s="115"/>
      <c r="AB176" s="115"/>
      <c r="AC176" s="115"/>
    </row>
    <row r="177">
      <c r="A177" s="113" t="s">
        <v>3021</v>
      </c>
      <c r="B177" s="114" t="s">
        <v>444</v>
      </c>
      <c r="C177" s="114" t="s">
        <v>76</v>
      </c>
      <c r="D177" s="115"/>
      <c r="E177" s="114" t="s">
        <v>2486</v>
      </c>
      <c r="F177" s="114" t="s">
        <v>1174</v>
      </c>
      <c r="G177" s="114" t="s">
        <v>2506</v>
      </c>
      <c r="H177" s="114" t="s">
        <v>2001</v>
      </c>
      <c r="I177" s="115"/>
      <c r="J177" s="115"/>
      <c r="K177" s="115"/>
      <c r="L177" s="115"/>
      <c r="M177" s="115"/>
      <c r="N177" s="114" t="s">
        <v>70</v>
      </c>
      <c r="O177" s="115"/>
      <c r="P177" s="115"/>
      <c r="Q177" s="115"/>
      <c r="R177" s="114" t="s">
        <v>2384</v>
      </c>
      <c r="S177" s="114">
        <v>250.0</v>
      </c>
      <c r="T177" s="116" t="s">
        <v>3022</v>
      </c>
      <c r="U177" s="114" t="s">
        <v>3023</v>
      </c>
      <c r="V177" s="114" t="s">
        <v>123</v>
      </c>
      <c r="W177" s="114" t="s">
        <v>108</v>
      </c>
      <c r="X177" s="114" t="s">
        <v>130</v>
      </c>
      <c r="Y177" s="115"/>
      <c r="Z177" s="115"/>
      <c r="AA177" s="115"/>
      <c r="AB177" s="115"/>
      <c r="AC177" s="115"/>
    </row>
    <row r="178">
      <c r="A178" s="113" t="s">
        <v>3024</v>
      </c>
      <c r="B178" s="114" t="s">
        <v>672</v>
      </c>
      <c r="C178" s="114" t="s">
        <v>85</v>
      </c>
      <c r="D178" s="115"/>
      <c r="E178" s="114" t="s">
        <v>2380</v>
      </c>
      <c r="F178" s="114" t="s">
        <v>1174</v>
      </c>
      <c r="G178" s="114" t="s">
        <v>3025</v>
      </c>
      <c r="H178" s="114" t="s">
        <v>2001</v>
      </c>
      <c r="I178" s="114" t="s">
        <v>2018</v>
      </c>
      <c r="J178" s="114" t="s">
        <v>2312</v>
      </c>
      <c r="K178" s="114" t="s">
        <v>3026</v>
      </c>
      <c r="L178" s="115"/>
      <c r="M178" s="114" t="s">
        <v>39</v>
      </c>
      <c r="N178" s="114" t="s">
        <v>2222</v>
      </c>
      <c r="O178" s="114" t="s">
        <v>2508</v>
      </c>
      <c r="P178" s="114" t="s">
        <v>1997</v>
      </c>
      <c r="Q178" s="114" t="s">
        <v>2890</v>
      </c>
      <c r="R178" s="114" t="s">
        <v>2384</v>
      </c>
      <c r="S178" s="114">
        <v>250.0</v>
      </c>
      <c r="T178" s="116" t="s">
        <v>3027</v>
      </c>
      <c r="U178" s="114" t="s">
        <v>2529</v>
      </c>
      <c r="V178" s="114" t="s">
        <v>123</v>
      </c>
      <c r="W178" s="115"/>
      <c r="X178" s="114" t="s">
        <v>130</v>
      </c>
      <c r="Y178" s="115"/>
      <c r="Z178" s="115"/>
      <c r="AA178" s="115"/>
      <c r="AB178" s="115"/>
      <c r="AC178" s="115"/>
    </row>
    <row r="179">
      <c r="A179" s="113" t="s">
        <v>3028</v>
      </c>
      <c r="B179" s="114" t="s">
        <v>444</v>
      </c>
      <c r="C179" s="114" t="s">
        <v>76</v>
      </c>
      <c r="D179" s="115"/>
      <c r="E179" s="114" t="s">
        <v>3029</v>
      </c>
      <c r="F179" s="114" t="s">
        <v>1174</v>
      </c>
      <c r="G179" s="114" t="s">
        <v>3030</v>
      </c>
      <c r="H179" s="114" t="s">
        <v>2001</v>
      </c>
      <c r="I179" s="114" t="s">
        <v>2018</v>
      </c>
      <c r="J179" s="115"/>
      <c r="K179" s="115"/>
      <c r="L179" s="115"/>
      <c r="M179" s="115"/>
      <c r="N179" s="114" t="s">
        <v>70</v>
      </c>
      <c r="O179" s="114" t="s">
        <v>2515</v>
      </c>
      <c r="P179" s="114" t="s">
        <v>1997</v>
      </c>
      <c r="Q179" s="114" t="s">
        <v>3031</v>
      </c>
      <c r="R179" s="114" t="s">
        <v>2384</v>
      </c>
      <c r="S179" s="114">
        <v>250.0</v>
      </c>
      <c r="T179" s="116" t="s">
        <v>3032</v>
      </c>
      <c r="U179" s="114" t="s">
        <v>2555</v>
      </c>
      <c r="V179" s="115"/>
      <c r="W179" s="115"/>
      <c r="X179" s="115"/>
      <c r="Y179" s="114" t="s">
        <v>2418</v>
      </c>
      <c r="Z179" s="115"/>
      <c r="AA179" s="115"/>
      <c r="AB179" s="115"/>
      <c r="AC179" s="114" t="s">
        <v>250</v>
      </c>
    </row>
    <row r="180">
      <c r="A180" s="113" t="s">
        <v>3033</v>
      </c>
      <c r="B180" s="114" t="s">
        <v>1594</v>
      </c>
      <c r="C180" s="114" t="s">
        <v>103</v>
      </c>
      <c r="D180" s="115"/>
      <c r="E180" s="114" t="s">
        <v>134</v>
      </c>
      <c r="F180" s="114" t="s">
        <v>2214</v>
      </c>
      <c r="G180" s="114" t="s">
        <v>3034</v>
      </c>
      <c r="H180" s="114" t="s">
        <v>2001</v>
      </c>
      <c r="I180" s="114" t="s">
        <v>2018</v>
      </c>
      <c r="J180" s="114" t="s">
        <v>2312</v>
      </c>
      <c r="K180" s="114" t="s">
        <v>3035</v>
      </c>
      <c r="L180" s="114" t="s">
        <v>2476</v>
      </c>
      <c r="M180" s="115"/>
      <c r="N180" s="114" t="s">
        <v>70</v>
      </c>
      <c r="O180" s="115"/>
      <c r="P180" s="115"/>
      <c r="Q180" s="115"/>
      <c r="R180" s="114" t="s">
        <v>2384</v>
      </c>
      <c r="S180" s="114">
        <v>250.0</v>
      </c>
      <c r="T180" s="116" t="s">
        <v>3036</v>
      </c>
      <c r="U180" s="115"/>
      <c r="V180" s="115"/>
      <c r="W180" s="114" t="s">
        <v>108</v>
      </c>
      <c r="X180" s="114" t="s">
        <v>130</v>
      </c>
      <c r="Y180" s="115"/>
      <c r="Z180" s="115"/>
      <c r="AA180" s="115"/>
      <c r="AB180" s="115"/>
      <c r="AC180" s="115"/>
    </row>
    <row r="181">
      <c r="A181" s="113" t="s">
        <v>3037</v>
      </c>
      <c r="B181" s="114" t="s">
        <v>444</v>
      </c>
      <c r="C181" s="114" t="s">
        <v>183</v>
      </c>
      <c r="D181" s="115"/>
      <c r="E181" s="114" t="s">
        <v>2380</v>
      </c>
      <c r="F181" s="114" t="s">
        <v>71</v>
      </c>
      <c r="G181" s="114" t="s">
        <v>2495</v>
      </c>
      <c r="H181" s="114" t="s">
        <v>2001</v>
      </c>
      <c r="I181" s="114" t="s">
        <v>2018</v>
      </c>
      <c r="J181" s="115"/>
      <c r="K181" s="115"/>
      <c r="L181" s="115"/>
      <c r="M181" s="114" t="s">
        <v>39</v>
      </c>
      <c r="N181" s="114" t="s">
        <v>2222</v>
      </c>
      <c r="O181" s="115"/>
      <c r="P181" s="115"/>
      <c r="Q181" s="115"/>
      <c r="R181" s="114" t="s">
        <v>2384</v>
      </c>
      <c r="S181" s="114">
        <v>250.0</v>
      </c>
      <c r="T181" s="116" t="s">
        <v>3038</v>
      </c>
      <c r="U181" s="114" t="s">
        <v>3039</v>
      </c>
      <c r="V181" s="114" t="s">
        <v>123</v>
      </c>
      <c r="W181" s="115"/>
      <c r="X181" s="115"/>
      <c r="Y181" s="114" t="s">
        <v>570</v>
      </c>
      <c r="Z181" s="115"/>
      <c r="AA181" s="115"/>
      <c r="AB181" s="115"/>
      <c r="AC181" s="115"/>
    </row>
    <row r="182">
      <c r="A182" s="113" t="s">
        <v>3040</v>
      </c>
      <c r="B182" s="114" t="s">
        <v>444</v>
      </c>
      <c r="C182" s="114" t="s">
        <v>183</v>
      </c>
      <c r="D182" s="115"/>
      <c r="E182" s="114" t="s">
        <v>2486</v>
      </c>
      <c r="F182" s="114" t="s">
        <v>2513</v>
      </c>
      <c r="G182" s="114" t="s">
        <v>2506</v>
      </c>
      <c r="H182" s="114" t="s">
        <v>2001</v>
      </c>
      <c r="I182" s="114" t="s">
        <v>2018</v>
      </c>
      <c r="J182" s="114" t="s">
        <v>2312</v>
      </c>
      <c r="K182" s="114" t="s">
        <v>3041</v>
      </c>
      <c r="L182" s="115"/>
      <c r="M182" s="114" t="s">
        <v>39</v>
      </c>
      <c r="N182" s="114" t="s">
        <v>2268</v>
      </c>
      <c r="O182" s="115"/>
      <c r="P182" s="115"/>
      <c r="Q182" s="115"/>
      <c r="R182" s="114" t="s">
        <v>2384</v>
      </c>
      <c r="S182" s="114">
        <v>251.0</v>
      </c>
      <c r="T182" s="116" t="s">
        <v>3042</v>
      </c>
      <c r="U182" s="114" t="s">
        <v>3043</v>
      </c>
      <c r="V182" s="115"/>
      <c r="W182" s="115"/>
      <c r="X182" s="115"/>
      <c r="Y182" s="115"/>
      <c r="Z182" s="115"/>
      <c r="AA182" s="115"/>
      <c r="AB182" s="115"/>
      <c r="AC182" s="114" t="s">
        <v>250</v>
      </c>
    </row>
    <row r="183">
      <c r="A183" s="113" t="s">
        <v>3044</v>
      </c>
      <c r="B183" s="114" t="s">
        <v>1452</v>
      </c>
      <c r="C183" s="114" t="s">
        <v>183</v>
      </c>
      <c r="D183" s="115"/>
      <c r="E183" s="114" t="s">
        <v>2380</v>
      </c>
      <c r="F183" s="114" t="s">
        <v>2513</v>
      </c>
      <c r="G183" s="114" t="s">
        <v>2506</v>
      </c>
      <c r="H183" s="114" t="s">
        <v>2001</v>
      </c>
      <c r="I183" s="114" t="s">
        <v>2018</v>
      </c>
      <c r="J183" s="114" t="s">
        <v>2312</v>
      </c>
      <c r="K183" s="114" t="s">
        <v>3045</v>
      </c>
      <c r="L183" s="115"/>
      <c r="M183" s="114" t="s">
        <v>39</v>
      </c>
      <c r="N183" s="114" t="s">
        <v>2222</v>
      </c>
      <c r="O183" s="114" t="s">
        <v>2401</v>
      </c>
      <c r="P183" s="115"/>
      <c r="Q183" s="115"/>
      <c r="R183" s="114" t="s">
        <v>2384</v>
      </c>
      <c r="S183" s="114">
        <v>251.0</v>
      </c>
      <c r="T183" s="116" t="s">
        <v>3046</v>
      </c>
      <c r="U183" s="114" t="s">
        <v>3039</v>
      </c>
      <c r="V183" s="114" t="s">
        <v>123</v>
      </c>
      <c r="W183" s="114" t="s">
        <v>2713</v>
      </c>
      <c r="X183" s="115"/>
      <c r="Y183" s="114" t="s">
        <v>2484</v>
      </c>
      <c r="Z183" s="115"/>
      <c r="AA183" s="114" t="s">
        <v>199</v>
      </c>
      <c r="AB183" s="114" t="s">
        <v>75</v>
      </c>
      <c r="AC183" s="114" t="s">
        <v>250</v>
      </c>
    </row>
    <row r="184">
      <c r="A184" s="113" t="s">
        <v>3047</v>
      </c>
      <c r="B184" s="114" t="s">
        <v>672</v>
      </c>
      <c r="C184" s="114" t="s">
        <v>183</v>
      </c>
      <c r="D184" s="115"/>
      <c r="E184" s="114" t="s">
        <v>2380</v>
      </c>
      <c r="F184" s="114" t="s">
        <v>1174</v>
      </c>
      <c r="G184" s="114" t="s">
        <v>2568</v>
      </c>
      <c r="H184" s="114" t="s">
        <v>2001</v>
      </c>
      <c r="I184" s="114" t="s">
        <v>2018</v>
      </c>
      <c r="J184" s="114" t="s">
        <v>2312</v>
      </c>
      <c r="K184" s="114" t="s">
        <v>3045</v>
      </c>
      <c r="L184" s="115"/>
      <c r="M184" s="114" t="s">
        <v>39</v>
      </c>
      <c r="N184" s="114" t="s">
        <v>2222</v>
      </c>
      <c r="O184" s="114" t="s">
        <v>2401</v>
      </c>
      <c r="P184" s="115"/>
      <c r="Q184" s="115"/>
      <c r="R184" s="114" t="s">
        <v>2384</v>
      </c>
      <c r="S184" s="114">
        <v>251.0</v>
      </c>
      <c r="T184" s="116" t="s">
        <v>3048</v>
      </c>
      <c r="U184" s="114" t="s">
        <v>3039</v>
      </c>
      <c r="V184" s="114" t="s">
        <v>123</v>
      </c>
      <c r="W184" s="114" t="s">
        <v>108</v>
      </c>
      <c r="X184" s="114" t="s">
        <v>130</v>
      </c>
      <c r="Y184" s="114" t="s">
        <v>2484</v>
      </c>
      <c r="Z184" s="115"/>
      <c r="AA184" s="114" t="s">
        <v>199</v>
      </c>
      <c r="AB184" s="114" t="s">
        <v>75</v>
      </c>
      <c r="AC184" s="114" t="s">
        <v>250</v>
      </c>
    </row>
    <row r="185">
      <c r="A185" s="113" t="s">
        <v>3049</v>
      </c>
      <c r="B185" s="114" t="s">
        <v>1837</v>
      </c>
      <c r="C185" s="114" t="s">
        <v>178</v>
      </c>
      <c r="D185" s="115"/>
      <c r="E185" s="114" t="s">
        <v>2380</v>
      </c>
      <c r="F185" s="114" t="s">
        <v>78</v>
      </c>
      <c r="G185" s="114" t="s">
        <v>2587</v>
      </c>
      <c r="H185" s="114" t="s">
        <v>2001</v>
      </c>
      <c r="I185" s="114" t="s">
        <v>2018</v>
      </c>
      <c r="J185" s="114" t="s">
        <v>2312</v>
      </c>
      <c r="K185" s="114" t="s">
        <v>3050</v>
      </c>
      <c r="L185" s="114" t="s">
        <v>2476</v>
      </c>
      <c r="M185" s="114" t="s">
        <v>39</v>
      </c>
      <c r="N185" s="114" t="s">
        <v>2222</v>
      </c>
      <c r="O185" s="115"/>
      <c r="P185" s="115"/>
      <c r="Q185" s="115"/>
      <c r="R185" s="114" t="s">
        <v>2384</v>
      </c>
      <c r="S185" s="114">
        <v>251.0</v>
      </c>
      <c r="T185" s="116" t="s">
        <v>3051</v>
      </c>
      <c r="U185" s="115"/>
      <c r="V185" s="115"/>
      <c r="W185" s="114" t="s">
        <v>108</v>
      </c>
      <c r="X185" s="115"/>
      <c r="Y185" s="115"/>
      <c r="Z185" s="115"/>
      <c r="AA185" s="115"/>
      <c r="AB185" s="115"/>
      <c r="AC185" s="115"/>
    </row>
    <row r="186">
      <c r="A186" s="113" t="s">
        <v>3052</v>
      </c>
      <c r="B186" s="114" t="s">
        <v>945</v>
      </c>
      <c r="C186" s="114" t="s">
        <v>103</v>
      </c>
      <c r="D186" s="115"/>
      <c r="E186" s="114" t="s">
        <v>2380</v>
      </c>
      <c r="F186" s="114" t="s">
        <v>2561</v>
      </c>
      <c r="G186" s="114" t="s">
        <v>2558</v>
      </c>
      <c r="H186" s="114" t="s">
        <v>2001</v>
      </c>
      <c r="I186" s="114" t="s">
        <v>2018</v>
      </c>
      <c r="J186" s="114" t="s">
        <v>2312</v>
      </c>
      <c r="K186" s="114" t="s">
        <v>3053</v>
      </c>
      <c r="L186" s="115"/>
      <c r="M186" s="114" t="s">
        <v>39</v>
      </c>
      <c r="N186" s="114" t="s">
        <v>2222</v>
      </c>
      <c r="O186" s="115"/>
      <c r="P186" s="115"/>
      <c r="Q186" s="115"/>
      <c r="R186" s="114" t="s">
        <v>2384</v>
      </c>
      <c r="S186" s="114">
        <v>251.0</v>
      </c>
      <c r="T186" s="116" t="s">
        <v>3054</v>
      </c>
      <c r="U186" s="115"/>
      <c r="V186" s="115"/>
      <c r="W186" s="115"/>
      <c r="X186" s="115"/>
      <c r="Y186" s="115"/>
      <c r="Z186" s="115"/>
      <c r="AA186" s="115"/>
      <c r="AB186" s="115"/>
      <c r="AC186" s="114" t="s">
        <v>250</v>
      </c>
    </row>
    <row r="187">
      <c r="A187" s="113" t="s">
        <v>3055</v>
      </c>
      <c r="B187" s="114" t="s">
        <v>444</v>
      </c>
      <c r="C187" s="114" t="s">
        <v>144</v>
      </c>
      <c r="D187" s="115"/>
      <c r="E187" s="114" t="s">
        <v>2486</v>
      </c>
      <c r="F187" s="114" t="s">
        <v>2513</v>
      </c>
      <c r="G187" s="114" t="s">
        <v>2506</v>
      </c>
      <c r="H187" s="114" t="s">
        <v>2001</v>
      </c>
      <c r="I187" s="115"/>
      <c r="J187" s="115"/>
      <c r="K187" s="115"/>
      <c r="L187" s="115"/>
      <c r="M187" s="114" t="s">
        <v>39</v>
      </c>
      <c r="N187" s="114" t="s">
        <v>2268</v>
      </c>
      <c r="O187" s="115"/>
      <c r="P187" s="115"/>
      <c r="Q187" s="115"/>
      <c r="R187" s="114" t="s">
        <v>2384</v>
      </c>
      <c r="S187" s="114">
        <v>251.0</v>
      </c>
      <c r="T187" s="116" t="s">
        <v>3056</v>
      </c>
      <c r="U187" s="114" t="s">
        <v>3057</v>
      </c>
      <c r="V187" s="115"/>
      <c r="W187" s="115"/>
      <c r="X187" s="115"/>
      <c r="Y187" s="114" t="s">
        <v>2484</v>
      </c>
      <c r="Z187" s="114" t="s">
        <v>443</v>
      </c>
      <c r="AA187" s="115"/>
      <c r="AB187" s="115"/>
      <c r="AC187" s="115"/>
    </row>
    <row r="188">
      <c r="A188" s="113" t="s">
        <v>3058</v>
      </c>
      <c r="B188" s="114" t="s">
        <v>945</v>
      </c>
      <c r="C188" s="114" t="s">
        <v>65</v>
      </c>
      <c r="D188" s="115"/>
      <c r="E188" s="114" t="s">
        <v>2380</v>
      </c>
      <c r="F188" s="114" t="s">
        <v>2223</v>
      </c>
      <c r="G188" s="114" t="s">
        <v>3059</v>
      </c>
      <c r="H188" s="115"/>
      <c r="I188" s="114" t="s">
        <v>2018</v>
      </c>
      <c r="J188" s="114" t="s">
        <v>2312</v>
      </c>
      <c r="K188" s="114" t="s">
        <v>3060</v>
      </c>
      <c r="L188" s="115"/>
      <c r="M188" s="114" t="s">
        <v>39</v>
      </c>
      <c r="N188" s="114" t="s">
        <v>2222</v>
      </c>
      <c r="O188" s="114" t="s">
        <v>2401</v>
      </c>
      <c r="P188" s="115"/>
      <c r="Q188" s="115"/>
      <c r="R188" s="114" t="s">
        <v>2384</v>
      </c>
      <c r="S188" s="114">
        <v>252.0</v>
      </c>
      <c r="T188" s="116" t="s">
        <v>3061</v>
      </c>
      <c r="U188" s="115"/>
      <c r="V188" s="114" t="s">
        <v>123</v>
      </c>
      <c r="W188" s="115"/>
      <c r="X188" s="115"/>
      <c r="Y188" s="115"/>
      <c r="Z188" s="115"/>
      <c r="AA188" s="114" t="s">
        <v>199</v>
      </c>
      <c r="AB188" s="114" t="s">
        <v>75</v>
      </c>
      <c r="AC188" s="114" t="s">
        <v>250</v>
      </c>
    </row>
    <row r="189">
      <c r="A189" s="113" t="s">
        <v>3062</v>
      </c>
      <c r="B189" s="114" t="s">
        <v>1223</v>
      </c>
      <c r="C189" s="114" t="s">
        <v>76</v>
      </c>
      <c r="D189" s="115"/>
      <c r="E189" s="114" t="s">
        <v>2380</v>
      </c>
      <c r="F189" s="114" t="s">
        <v>2675</v>
      </c>
      <c r="G189" s="114" t="s">
        <v>3063</v>
      </c>
      <c r="H189" s="114" t="s">
        <v>2001</v>
      </c>
      <c r="I189" s="114" t="s">
        <v>2018</v>
      </c>
      <c r="J189" s="114" t="s">
        <v>2312</v>
      </c>
      <c r="K189" s="114" t="s">
        <v>3064</v>
      </c>
      <c r="L189" s="115"/>
      <c r="M189" s="115"/>
      <c r="N189" s="114" t="s">
        <v>70</v>
      </c>
      <c r="O189" s="114" t="s">
        <v>2515</v>
      </c>
      <c r="P189" s="114" t="s">
        <v>3065</v>
      </c>
      <c r="Q189" s="114" t="s">
        <v>3066</v>
      </c>
      <c r="R189" s="114" t="s">
        <v>2384</v>
      </c>
      <c r="S189" s="114">
        <v>252.0</v>
      </c>
      <c r="T189" s="116" t="s">
        <v>3067</v>
      </c>
      <c r="U189" s="114" t="s">
        <v>3068</v>
      </c>
      <c r="V189" s="115"/>
      <c r="W189" s="114" t="s">
        <v>2556</v>
      </c>
      <c r="X189" s="114" t="s">
        <v>130</v>
      </c>
      <c r="Y189" s="114" t="s">
        <v>2617</v>
      </c>
      <c r="Z189" s="115"/>
      <c r="AA189" s="114" t="s">
        <v>199</v>
      </c>
      <c r="AB189" s="114" t="s">
        <v>75</v>
      </c>
      <c r="AC189" s="115"/>
    </row>
    <row r="190">
      <c r="A190" s="113" t="s">
        <v>3069</v>
      </c>
      <c r="B190" s="114" t="s">
        <v>444</v>
      </c>
      <c r="C190" s="114" t="s">
        <v>144</v>
      </c>
      <c r="D190" s="114" t="s">
        <v>28</v>
      </c>
      <c r="E190" s="114" t="s">
        <v>2222</v>
      </c>
      <c r="F190" s="114" t="s">
        <v>71</v>
      </c>
      <c r="G190" s="114" t="s">
        <v>2671</v>
      </c>
      <c r="H190" s="114" t="s">
        <v>2001</v>
      </c>
      <c r="I190" s="114" t="s">
        <v>2018</v>
      </c>
      <c r="J190" s="114" t="s">
        <v>2312</v>
      </c>
      <c r="K190" s="114" t="s">
        <v>3070</v>
      </c>
      <c r="L190" s="114" t="s">
        <v>2591</v>
      </c>
      <c r="M190" s="115"/>
      <c r="N190" s="114" t="s">
        <v>70</v>
      </c>
      <c r="O190" s="115"/>
      <c r="P190" s="115"/>
      <c r="Q190" s="115"/>
      <c r="R190" s="114" t="s">
        <v>2384</v>
      </c>
      <c r="S190" s="114">
        <v>252.0</v>
      </c>
      <c r="T190" s="116" t="s">
        <v>3071</v>
      </c>
      <c r="U190" s="115"/>
      <c r="V190" s="114" t="s">
        <v>123</v>
      </c>
      <c r="W190" s="114" t="s">
        <v>2438</v>
      </c>
      <c r="X190" s="115"/>
      <c r="Y190" s="115"/>
      <c r="Z190" s="115"/>
      <c r="AA190" s="114" t="s">
        <v>199</v>
      </c>
      <c r="AB190" s="115"/>
      <c r="AC190" s="115"/>
    </row>
    <row r="191">
      <c r="A191" s="113" t="s">
        <v>3072</v>
      </c>
      <c r="B191" s="114" t="s">
        <v>444</v>
      </c>
      <c r="C191" s="114" t="s">
        <v>65</v>
      </c>
      <c r="D191" s="114" t="s">
        <v>28</v>
      </c>
      <c r="E191" s="114" t="s">
        <v>2222</v>
      </c>
      <c r="F191" s="114" t="s">
        <v>71</v>
      </c>
      <c r="G191" s="114" t="s">
        <v>3073</v>
      </c>
      <c r="H191" s="115"/>
      <c r="I191" s="114" t="s">
        <v>2018</v>
      </c>
      <c r="J191" s="114" t="s">
        <v>2312</v>
      </c>
      <c r="K191" s="114" t="s">
        <v>3074</v>
      </c>
      <c r="L191" s="114" t="s">
        <v>2870</v>
      </c>
      <c r="M191" s="115"/>
      <c r="N191" s="114" t="s">
        <v>2433</v>
      </c>
      <c r="O191" s="115"/>
      <c r="P191" s="115"/>
      <c r="Q191" s="115"/>
      <c r="R191" s="114" t="s">
        <v>2384</v>
      </c>
      <c r="S191" s="114">
        <v>252.0</v>
      </c>
      <c r="T191" s="116" t="s">
        <v>3075</v>
      </c>
      <c r="U191" s="115"/>
      <c r="V191" s="114" t="s">
        <v>123</v>
      </c>
      <c r="W191" s="115"/>
      <c r="X191" s="115"/>
      <c r="Y191" s="115"/>
      <c r="Z191" s="115"/>
      <c r="AA191" s="114" t="s">
        <v>199</v>
      </c>
      <c r="AB191" s="115"/>
      <c r="AC191" s="114" t="s">
        <v>250</v>
      </c>
    </row>
    <row r="192">
      <c r="A192" s="113" t="s">
        <v>3076</v>
      </c>
      <c r="B192" s="114" t="s">
        <v>1919</v>
      </c>
      <c r="C192" s="114" t="s">
        <v>178</v>
      </c>
      <c r="D192" s="115"/>
      <c r="E192" s="114" t="s">
        <v>2222</v>
      </c>
      <c r="F192" s="114" t="s">
        <v>2214</v>
      </c>
      <c r="G192" s="114" t="s">
        <v>2506</v>
      </c>
      <c r="H192" s="114" t="s">
        <v>2001</v>
      </c>
      <c r="I192" s="114" t="s">
        <v>2018</v>
      </c>
      <c r="J192" s="114" t="s">
        <v>2312</v>
      </c>
      <c r="K192" s="114" t="s">
        <v>2508</v>
      </c>
      <c r="L192" s="114" t="s">
        <v>3077</v>
      </c>
      <c r="M192" s="115"/>
      <c r="N192" s="114" t="s">
        <v>2446</v>
      </c>
      <c r="O192" s="114" t="s">
        <v>2401</v>
      </c>
      <c r="P192" s="115"/>
      <c r="Q192" s="115"/>
      <c r="R192" s="114" t="s">
        <v>2384</v>
      </c>
      <c r="S192" s="114">
        <v>252.0</v>
      </c>
      <c r="T192" s="116" t="s">
        <v>3078</v>
      </c>
      <c r="U192" s="115"/>
      <c r="V192" s="115"/>
      <c r="W192" s="115"/>
      <c r="X192" s="115"/>
      <c r="Y192" s="115"/>
      <c r="Z192" s="115"/>
      <c r="AA192" s="114" t="s">
        <v>199</v>
      </c>
      <c r="AB192" s="115"/>
      <c r="AC192" s="114" t="s">
        <v>250</v>
      </c>
    </row>
    <row r="193">
      <c r="A193" s="113" t="s">
        <v>3079</v>
      </c>
      <c r="B193" s="114" t="s">
        <v>1837</v>
      </c>
      <c r="C193" s="114" t="s">
        <v>103</v>
      </c>
      <c r="D193" s="115"/>
      <c r="E193" s="114" t="s">
        <v>2380</v>
      </c>
      <c r="F193" s="114" t="s">
        <v>2561</v>
      </c>
      <c r="G193" s="114" t="s">
        <v>2558</v>
      </c>
      <c r="H193" s="114" t="s">
        <v>2001</v>
      </c>
      <c r="I193" s="114" t="s">
        <v>2018</v>
      </c>
      <c r="J193" s="115"/>
      <c r="K193" s="115"/>
      <c r="L193" s="115"/>
      <c r="M193" s="114" t="s">
        <v>39</v>
      </c>
      <c r="N193" s="114" t="s">
        <v>2222</v>
      </c>
      <c r="O193" s="114" t="s">
        <v>3080</v>
      </c>
      <c r="P193" s="114" t="s">
        <v>1997</v>
      </c>
      <c r="Q193" s="114" t="s">
        <v>2564</v>
      </c>
      <c r="R193" s="114" t="s">
        <v>2384</v>
      </c>
      <c r="S193" s="114">
        <v>253.0</v>
      </c>
      <c r="T193" s="116" t="s">
        <v>3081</v>
      </c>
      <c r="U193" s="115"/>
      <c r="V193" s="115"/>
      <c r="W193" s="115"/>
      <c r="X193" s="115"/>
      <c r="Y193" s="115"/>
      <c r="Z193" s="115"/>
      <c r="AA193" s="114" t="s">
        <v>199</v>
      </c>
      <c r="AB193" s="114" t="s">
        <v>75</v>
      </c>
      <c r="AC193" s="115"/>
    </row>
    <row r="194">
      <c r="A194" s="113" t="s">
        <v>3082</v>
      </c>
      <c r="B194" s="114" t="s">
        <v>444</v>
      </c>
      <c r="C194" s="114" t="s">
        <v>140</v>
      </c>
      <c r="D194" s="115"/>
      <c r="E194" s="114" t="s">
        <v>2380</v>
      </c>
      <c r="F194" s="114" t="s">
        <v>71</v>
      </c>
      <c r="G194" s="114" t="s">
        <v>2506</v>
      </c>
      <c r="H194" s="114" t="s">
        <v>2001</v>
      </c>
      <c r="I194" s="114" t="s">
        <v>2018</v>
      </c>
      <c r="J194" s="115"/>
      <c r="K194" s="115"/>
      <c r="L194" s="115"/>
      <c r="M194" s="115"/>
      <c r="N194" s="114" t="s">
        <v>70</v>
      </c>
      <c r="O194" s="114" t="s">
        <v>2900</v>
      </c>
      <c r="P194" s="114" t="s">
        <v>2039</v>
      </c>
      <c r="Q194" s="114" t="s">
        <v>2553</v>
      </c>
      <c r="R194" s="114" t="s">
        <v>2384</v>
      </c>
      <c r="S194" s="114">
        <v>253.0</v>
      </c>
      <c r="T194" s="116" t="s">
        <v>3083</v>
      </c>
      <c r="U194" s="114" t="s">
        <v>2555</v>
      </c>
      <c r="V194" s="115"/>
      <c r="W194" s="114" t="s">
        <v>108</v>
      </c>
      <c r="X194" s="115"/>
      <c r="Y194" s="114" t="s">
        <v>2418</v>
      </c>
      <c r="Z194" s="115"/>
      <c r="AA194" s="115"/>
      <c r="AB194" s="115"/>
      <c r="AC194" s="115"/>
    </row>
    <row r="195">
      <c r="A195" s="113" t="s">
        <v>3084</v>
      </c>
      <c r="B195" s="114" t="s">
        <v>1452</v>
      </c>
      <c r="C195" s="114" t="s">
        <v>103</v>
      </c>
      <c r="D195" s="115"/>
      <c r="E195" s="114" t="s">
        <v>2380</v>
      </c>
      <c r="F195" s="114" t="s">
        <v>2675</v>
      </c>
      <c r="G195" s="114" t="s">
        <v>2558</v>
      </c>
      <c r="H195" s="114" t="s">
        <v>2001</v>
      </c>
      <c r="I195" s="114" t="s">
        <v>2018</v>
      </c>
      <c r="J195" s="114" t="s">
        <v>2312</v>
      </c>
      <c r="K195" s="114" t="s">
        <v>3085</v>
      </c>
      <c r="L195" s="115"/>
      <c r="M195" s="114" t="s">
        <v>39</v>
      </c>
      <c r="N195" s="114" t="s">
        <v>134</v>
      </c>
      <c r="O195" s="114" t="s">
        <v>2526</v>
      </c>
      <c r="P195" s="114" t="s">
        <v>2106</v>
      </c>
      <c r="Q195" s="114" t="s">
        <v>3086</v>
      </c>
      <c r="R195" s="114" t="s">
        <v>2384</v>
      </c>
      <c r="S195" s="114">
        <v>254.0</v>
      </c>
      <c r="T195" s="116" t="s">
        <v>3087</v>
      </c>
      <c r="U195" s="114" t="s">
        <v>2555</v>
      </c>
      <c r="V195" s="115"/>
      <c r="W195" s="114" t="s">
        <v>108</v>
      </c>
      <c r="X195" s="114" t="s">
        <v>130</v>
      </c>
      <c r="Y195" s="115"/>
      <c r="Z195" s="115"/>
      <c r="AA195" s="115"/>
      <c r="AB195" s="114" t="s">
        <v>75</v>
      </c>
      <c r="AC195" s="115"/>
    </row>
    <row r="196">
      <c r="A196" s="113" t="s">
        <v>3088</v>
      </c>
      <c r="B196" s="114" t="s">
        <v>672</v>
      </c>
      <c r="C196" s="114" t="s">
        <v>65</v>
      </c>
      <c r="D196" s="115"/>
      <c r="E196" s="114" t="s">
        <v>2380</v>
      </c>
      <c r="F196" s="114" t="s">
        <v>71</v>
      </c>
      <c r="G196" s="114" t="s">
        <v>2506</v>
      </c>
      <c r="H196" s="114" t="s">
        <v>2001</v>
      </c>
      <c r="I196" s="114" t="s">
        <v>2018</v>
      </c>
      <c r="J196" s="114" t="s">
        <v>2312</v>
      </c>
      <c r="K196" s="114" t="s">
        <v>3089</v>
      </c>
      <c r="L196" s="115"/>
      <c r="M196" s="114" t="s">
        <v>39</v>
      </c>
      <c r="N196" s="114" t="s">
        <v>2268</v>
      </c>
      <c r="O196" s="115"/>
      <c r="P196" s="115"/>
      <c r="Q196" s="115"/>
      <c r="R196" s="114" t="s">
        <v>2384</v>
      </c>
      <c r="S196" s="114">
        <v>254.0</v>
      </c>
      <c r="T196" s="116" t="s">
        <v>3090</v>
      </c>
      <c r="U196" s="114" t="s">
        <v>2811</v>
      </c>
      <c r="V196" s="114" t="s">
        <v>123</v>
      </c>
      <c r="W196" s="115"/>
      <c r="X196" s="114" t="s">
        <v>2794</v>
      </c>
      <c r="Y196" s="115"/>
      <c r="Z196" s="115"/>
      <c r="AA196" s="114" t="s">
        <v>199</v>
      </c>
      <c r="AB196" s="114" t="s">
        <v>75</v>
      </c>
      <c r="AC196" s="114" t="s">
        <v>250</v>
      </c>
    </row>
    <row r="197">
      <c r="A197" s="113" t="s">
        <v>3091</v>
      </c>
      <c r="B197" s="114" t="s">
        <v>444</v>
      </c>
      <c r="C197" s="114" t="s">
        <v>85</v>
      </c>
      <c r="D197" s="115"/>
      <c r="E197" s="114" t="s">
        <v>2380</v>
      </c>
      <c r="F197" s="114" t="s">
        <v>71</v>
      </c>
      <c r="G197" s="114" t="s">
        <v>2506</v>
      </c>
      <c r="H197" s="114" t="s">
        <v>2001</v>
      </c>
      <c r="I197" s="114" t="s">
        <v>2018</v>
      </c>
      <c r="J197" s="114" t="s">
        <v>2312</v>
      </c>
      <c r="K197" s="114" t="s">
        <v>3092</v>
      </c>
      <c r="L197" s="115"/>
      <c r="M197" s="115"/>
      <c r="N197" s="114" t="s">
        <v>2222</v>
      </c>
      <c r="O197" s="115"/>
      <c r="P197" s="115"/>
      <c r="Q197" s="115"/>
      <c r="R197" s="114" t="s">
        <v>2384</v>
      </c>
      <c r="S197" s="114">
        <v>254.0</v>
      </c>
      <c r="T197" s="116" t="s">
        <v>3093</v>
      </c>
      <c r="U197" s="115"/>
      <c r="V197" s="115"/>
      <c r="W197" s="115"/>
      <c r="X197" s="114" t="s">
        <v>130</v>
      </c>
      <c r="Y197" s="115"/>
      <c r="Z197" s="114" t="s">
        <v>443</v>
      </c>
      <c r="AA197" s="114" t="s">
        <v>199</v>
      </c>
      <c r="AB197" s="114" t="s">
        <v>75</v>
      </c>
      <c r="AC197" s="115"/>
    </row>
    <row r="198">
      <c r="A198" s="113" t="s">
        <v>3094</v>
      </c>
      <c r="B198" s="114" t="s">
        <v>672</v>
      </c>
      <c r="C198" s="114" t="s">
        <v>85</v>
      </c>
      <c r="D198" s="115"/>
      <c r="E198" s="114" t="s">
        <v>2380</v>
      </c>
      <c r="F198" s="114" t="s">
        <v>1174</v>
      </c>
      <c r="G198" s="114" t="s">
        <v>2443</v>
      </c>
      <c r="H198" s="114" t="s">
        <v>2001</v>
      </c>
      <c r="I198" s="115"/>
      <c r="J198" s="115"/>
      <c r="K198" s="115"/>
      <c r="L198" s="115"/>
      <c r="M198" s="115"/>
      <c r="N198" s="114" t="s">
        <v>70</v>
      </c>
      <c r="O198" s="115"/>
      <c r="P198" s="115"/>
      <c r="Q198" s="115"/>
      <c r="R198" s="114" t="s">
        <v>2384</v>
      </c>
      <c r="S198" s="114">
        <v>254.0</v>
      </c>
      <c r="T198" s="116" t="s">
        <v>3095</v>
      </c>
      <c r="U198" s="115"/>
      <c r="V198" s="114" t="s">
        <v>123</v>
      </c>
      <c r="W198" s="115"/>
      <c r="X198" s="115"/>
      <c r="Y198" s="115"/>
      <c r="Z198" s="115"/>
      <c r="AA198" s="114" t="s">
        <v>199</v>
      </c>
      <c r="AB198" s="114" t="s">
        <v>75</v>
      </c>
      <c r="AC198" s="115"/>
    </row>
    <row r="199">
      <c r="A199" s="113" t="s">
        <v>3096</v>
      </c>
      <c r="B199" s="114" t="s">
        <v>1452</v>
      </c>
      <c r="C199" s="114" t="s">
        <v>144</v>
      </c>
      <c r="D199" s="115"/>
      <c r="E199" s="114" t="s">
        <v>134</v>
      </c>
      <c r="F199" s="114" t="s">
        <v>78</v>
      </c>
      <c r="G199" s="114" t="s">
        <v>3097</v>
      </c>
      <c r="H199" s="114" t="s">
        <v>2001</v>
      </c>
      <c r="I199" s="114" t="s">
        <v>2018</v>
      </c>
      <c r="J199" s="114" t="s">
        <v>2312</v>
      </c>
      <c r="K199" s="114" t="s">
        <v>3098</v>
      </c>
      <c r="L199" s="114" t="s">
        <v>3099</v>
      </c>
      <c r="M199" s="115"/>
      <c r="N199" s="114" t="s">
        <v>70</v>
      </c>
      <c r="O199" s="115"/>
      <c r="P199" s="115"/>
      <c r="Q199" s="115"/>
      <c r="R199" s="114" t="s">
        <v>2384</v>
      </c>
      <c r="S199" s="114">
        <v>254.0</v>
      </c>
      <c r="T199" s="116" t="s">
        <v>3100</v>
      </c>
      <c r="U199" s="115"/>
      <c r="V199" s="114" t="s">
        <v>123</v>
      </c>
      <c r="W199" s="114" t="s">
        <v>108</v>
      </c>
      <c r="X199" s="115"/>
      <c r="Y199" s="115"/>
      <c r="Z199" s="115"/>
      <c r="AA199" s="114" t="s">
        <v>199</v>
      </c>
      <c r="AB199" s="115"/>
      <c r="AC199" s="115"/>
    </row>
    <row r="200">
      <c r="A200" s="113" t="s">
        <v>3101</v>
      </c>
      <c r="B200" s="114" t="s">
        <v>1223</v>
      </c>
      <c r="C200" s="114" t="s">
        <v>103</v>
      </c>
      <c r="D200" s="115"/>
      <c r="E200" s="114" t="s">
        <v>2380</v>
      </c>
      <c r="F200" s="114" t="s">
        <v>71</v>
      </c>
      <c r="G200" s="114" t="s">
        <v>3102</v>
      </c>
      <c r="H200" s="114" t="s">
        <v>2001</v>
      </c>
      <c r="I200" s="114" t="s">
        <v>2018</v>
      </c>
      <c r="J200" s="114" t="s">
        <v>2312</v>
      </c>
      <c r="K200" s="114" t="s">
        <v>3103</v>
      </c>
      <c r="L200" s="114" t="s">
        <v>3104</v>
      </c>
      <c r="M200" s="115"/>
      <c r="N200" s="114" t="s">
        <v>70</v>
      </c>
      <c r="O200" s="115"/>
      <c r="P200" s="115"/>
      <c r="Q200" s="115"/>
      <c r="R200" s="114" t="s">
        <v>2384</v>
      </c>
      <c r="S200" s="114">
        <v>254.0</v>
      </c>
      <c r="T200" s="116" t="s">
        <v>3105</v>
      </c>
      <c r="U200" s="115"/>
      <c r="V200" s="115"/>
      <c r="W200" s="115"/>
      <c r="X200" s="115"/>
      <c r="Y200" s="115"/>
      <c r="Z200" s="115"/>
      <c r="AA200" s="114" t="s">
        <v>199</v>
      </c>
      <c r="AB200" s="115"/>
      <c r="AC200" s="115"/>
    </row>
    <row r="201">
      <c r="A201" s="113" t="s">
        <v>3106</v>
      </c>
      <c r="B201" s="114" t="s">
        <v>945</v>
      </c>
      <c r="C201" s="114" t="s">
        <v>76</v>
      </c>
      <c r="D201" s="114" t="s">
        <v>28</v>
      </c>
      <c r="E201" s="114" t="s">
        <v>2222</v>
      </c>
      <c r="F201" s="114" t="s">
        <v>78</v>
      </c>
      <c r="G201" s="114" t="s">
        <v>3107</v>
      </c>
      <c r="H201" s="114" t="s">
        <v>2001</v>
      </c>
      <c r="I201" s="114" t="s">
        <v>2018</v>
      </c>
      <c r="J201" s="114" t="s">
        <v>2312</v>
      </c>
      <c r="K201" s="114" t="s">
        <v>3108</v>
      </c>
      <c r="L201" s="115"/>
      <c r="M201" s="115"/>
      <c r="N201" s="114" t="s">
        <v>1008</v>
      </c>
      <c r="O201" s="115"/>
      <c r="P201" s="115"/>
      <c r="Q201" s="115"/>
      <c r="R201" s="114" t="s">
        <v>2384</v>
      </c>
      <c r="S201" s="114">
        <v>255.0</v>
      </c>
      <c r="T201" s="116" t="s">
        <v>3109</v>
      </c>
      <c r="U201" s="115"/>
      <c r="V201" s="114" t="s">
        <v>123</v>
      </c>
      <c r="W201" s="115"/>
      <c r="X201" s="115"/>
      <c r="Y201" s="115"/>
      <c r="Z201" s="115"/>
      <c r="AA201" s="114" t="s">
        <v>199</v>
      </c>
      <c r="AB201" s="115"/>
      <c r="AC201" s="115"/>
    </row>
    <row r="202">
      <c r="A202" s="113" t="s">
        <v>3110</v>
      </c>
      <c r="B202" s="114" t="s">
        <v>672</v>
      </c>
      <c r="C202" s="114" t="s">
        <v>178</v>
      </c>
      <c r="D202" s="115"/>
      <c r="E202" s="114" t="s">
        <v>2380</v>
      </c>
      <c r="F202" s="114" t="s">
        <v>71</v>
      </c>
      <c r="G202" s="114" t="s">
        <v>2506</v>
      </c>
      <c r="H202" s="114" t="s">
        <v>2001</v>
      </c>
      <c r="I202" s="114" t="s">
        <v>2018</v>
      </c>
      <c r="J202" s="115"/>
      <c r="K202" s="115"/>
      <c r="L202" s="115"/>
      <c r="M202" s="115"/>
      <c r="N202" s="114" t="s">
        <v>70</v>
      </c>
      <c r="O202" s="115"/>
      <c r="P202" s="115"/>
      <c r="Q202" s="115"/>
      <c r="R202" s="114" t="s">
        <v>2384</v>
      </c>
      <c r="S202" s="114">
        <v>255.0</v>
      </c>
      <c r="T202" s="116" t="s">
        <v>3111</v>
      </c>
      <c r="U202" s="115"/>
      <c r="V202" s="114" t="s">
        <v>123</v>
      </c>
      <c r="W202" s="114" t="s">
        <v>108</v>
      </c>
      <c r="X202" s="114" t="s">
        <v>130</v>
      </c>
      <c r="Y202" s="114" t="s">
        <v>570</v>
      </c>
      <c r="Z202" s="114" t="s">
        <v>443</v>
      </c>
      <c r="AA202" s="115"/>
      <c r="AB202" s="115"/>
      <c r="AC202" s="115"/>
    </row>
    <row r="203">
      <c r="A203" s="113" t="s">
        <v>3112</v>
      </c>
      <c r="B203" s="114" t="s">
        <v>672</v>
      </c>
      <c r="C203" s="114" t="s">
        <v>85</v>
      </c>
      <c r="D203" s="115"/>
      <c r="E203" s="114" t="s">
        <v>2380</v>
      </c>
      <c r="F203" s="114" t="s">
        <v>1174</v>
      </c>
      <c r="G203" s="114" t="s">
        <v>2813</v>
      </c>
      <c r="H203" s="114" t="s">
        <v>2001</v>
      </c>
      <c r="I203" s="114" t="s">
        <v>2018</v>
      </c>
      <c r="J203" s="114" t="s">
        <v>2312</v>
      </c>
      <c r="K203" s="114" t="s">
        <v>3113</v>
      </c>
      <c r="L203" s="115"/>
      <c r="M203" s="114" t="s">
        <v>39</v>
      </c>
      <c r="N203" s="114" t="s">
        <v>134</v>
      </c>
      <c r="O203" s="114" t="s">
        <v>2815</v>
      </c>
      <c r="P203" s="115"/>
      <c r="Q203" s="115"/>
      <c r="R203" s="114" t="s">
        <v>2384</v>
      </c>
      <c r="S203" s="114">
        <v>255.0</v>
      </c>
      <c r="T203" s="116" t="s">
        <v>3114</v>
      </c>
      <c r="U203" s="115"/>
      <c r="V203" s="115"/>
      <c r="W203" s="115"/>
      <c r="X203" s="115"/>
      <c r="Y203" s="115"/>
      <c r="Z203" s="115"/>
      <c r="AA203" s="114" t="s">
        <v>199</v>
      </c>
      <c r="AB203" s="114" t="s">
        <v>75</v>
      </c>
      <c r="AC203" s="115"/>
    </row>
    <row r="204">
      <c r="A204" s="113" t="s">
        <v>2139</v>
      </c>
      <c r="B204" s="114" t="s">
        <v>64</v>
      </c>
      <c r="C204" s="114" t="s">
        <v>76</v>
      </c>
      <c r="D204" s="115"/>
      <c r="E204" s="114" t="s">
        <v>2380</v>
      </c>
      <c r="F204" s="114" t="s">
        <v>71</v>
      </c>
      <c r="G204" s="114" t="s">
        <v>3115</v>
      </c>
      <c r="H204" s="114" t="s">
        <v>2001</v>
      </c>
      <c r="I204" s="115"/>
      <c r="J204" s="114" t="s">
        <v>2312</v>
      </c>
      <c r="K204" s="114" t="s">
        <v>3116</v>
      </c>
      <c r="L204" s="115"/>
      <c r="M204" s="115"/>
      <c r="N204" s="114" t="s">
        <v>2268</v>
      </c>
      <c r="O204" s="114" t="s">
        <v>2382</v>
      </c>
      <c r="P204" s="115"/>
      <c r="Q204" s="115"/>
      <c r="R204" s="114" t="s">
        <v>2384</v>
      </c>
      <c r="S204" s="114">
        <v>255.0</v>
      </c>
      <c r="T204" s="116" t="s">
        <v>3117</v>
      </c>
      <c r="U204" s="115"/>
      <c r="V204" s="114" t="s">
        <v>123</v>
      </c>
      <c r="W204" s="114" t="s">
        <v>108</v>
      </c>
      <c r="X204" s="115"/>
      <c r="Y204" s="115"/>
      <c r="Z204" s="115"/>
      <c r="AA204" s="114" t="s">
        <v>199</v>
      </c>
      <c r="AB204" s="115"/>
      <c r="AC204" s="115"/>
    </row>
    <row r="205">
      <c r="A205" s="113" t="s">
        <v>3118</v>
      </c>
      <c r="B205" s="114" t="s">
        <v>945</v>
      </c>
      <c r="C205" s="114" t="s">
        <v>85</v>
      </c>
      <c r="D205" s="115"/>
      <c r="E205" s="114" t="s">
        <v>2486</v>
      </c>
      <c r="F205" s="114" t="s">
        <v>78</v>
      </c>
      <c r="G205" s="114" t="s">
        <v>2491</v>
      </c>
      <c r="H205" s="114" t="s">
        <v>2001</v>
      </c>
      <c r="I205" s="114" t="s">
        <v>2018</v>
      </c>
      <c r="J205" s="115"/>
      <c r="K205" s="115"/>
      <c r="L205" s="115"/>
      <c r="M205" s="114" t="s">
        <v>39</v>
      </c>
      <c r="N205" s="114" t="s">
        <v>2222</v>
      </c>
      <c r="O205" s="114" t="s">
        <v>3119</v>
      </c>
      <c r="P205" s="114" t="s">
        <v>2098</v>
      </c>
      <c r="Q205" s="114" t="s">
        <v>3120</v>
      </c>
      <c r="R205" s="114" t="s">
        <v>2384</v>
      </c>
      <c r="S205" s="114">
        <v>255.0</v>
      </c>
      <c r="T205" s="116" t="s">
        <v>3121</v>
      </c>
      <c r="U205" s="114" t="s">
        <v>3122</v>
      </c>
      <c r="V205" s="115"/>
      <c r="W205" s="115"/>
      <c r="X205" s="115"/>
      <c r="Y205" s="115"/>
      <c r="Z205" s="114" t="s">
        <v>443</v>
      </c>
      <c r="AA205" s="115"/>
      <c r="AB205" s="114" t="s">
        <v>75</v>
      </c>
      <c r="AC205" s="115"/>
    </row>
    <row r="206">
      <c r="A206" s="113" t="s">
        <v>3123</v>
      </c>
      <c r="B206" s="114" t="s">
        <v>945</v>
      </c>
      <c r="C206" s="114" t="s">
        <v>76</v>
      </c>
      <c r="D206" s="115"/>
      <c r="E206" s="114" t="s">
        <v>2380</v>
      </c>
      <c r="F206" s="114" t="s">
        <v>78</v>
      </c>
      <c r="G206" s="114" t="s">
        <v>3124</v>
      </c>
      <c r="H206" s="114" t="s">
        <v>2001</v>
      </c>
      <c r="I206" s="114" t="s">
        <v>2018</v>
      </c>
      <c r="J206" s="114" t="s">
        <v>2312</v>
      </c>
      <c r="K206" s="114" t="s">
        <v>3125</v>
      </c>
      <c r="L206" s="115"/>
      <c r="M206" s="115"/>
      <c r="N206" s="114" t="s">
        <v>70</v>
      </c>
      <c r="O206" s="114" t="s">
        <v>2515</v>
      </c>
      <c r="P206" s="114" t="s">
        <v>3126</v>
      </c>
      <c r="Q206" s="114" t="s">
        <v>2584</v>
      </c>
      <c r="R206" s="114" t="s">
        <v>2384</v>
      </c>
      <c r="S206" s="114">
        <v>255.0</v>
      </c>
      <c r="T206" s="116" t="s">
        <v>3127</v>
      </c>
      <c r="U206" s="114" t="s">
        <v>2545</v>
      </c>
      <c r="V206" s="115"/>
      <c r="W206" s="115"/>
      <c r="X206" s="114" t="s">
        <v>3128</v>
      </c>
      <c r="Y206" s="115"/>
      <c r="Z206" s="115"/>
      <c r="AA206" s="114" t="s">
        <v>199</v>
      </c>
      <c r="AB206" s="114" t="s">
        <v>75</v>
      </c>
      <c r="AC206" s="115"/>
    </row>
    <row r="207">
      <c r="A207" s="113" t="s">
        <v>3129</v>
      </c>
      <c r="B207" s="114" t="s">
        <v>672</v>
      </c>
      <c r="C207" s="114" t="s">
        <v>144</v>
      </c>
      <c r="D207" s="114" t="s">
        <v>28</v>
      </c>
      <c r="E207" s="114" t="s">
        <v>2380</v>
      </c>
      <c r="F207" s="114" t="s">
        <v>78</v>
      </c>
      <c r="G207" s="114" t="s">
        <v>3130</v>
      </c>
      <c r="H207" s="114" t="s">
        <v>2001</v>
      </c>
      <c r="I207" s="114" t="s">
        <v>2018</v>
      </c>
      <c r="J207" s="114" t="s">
        <v>2312</v>
      </c>
      <c r="K207" s="114" t="s">
        <v>3131</v>
      </c>
      <c r="L207" s="115"/>
      <c r="M207" s="115"/>
      <c r="N207" s="114" t="s">
        <v>70</v>
      </c>
      <c r="O207" s="115"/>
      <c r="P207" s="115"/>
      <c r="Q207" s="115"/>
      <c r="R207" s="114" t="s">
        <v>2384</v>
      </c>
      <c r="S207" s="114">
        <v>256.0</v>
      </c>
      <c r="T207" s="116" t="s">
        <v>3132</v>
      </c>
      <c r="U207" s="115"/>
      <c r="V207" s="114" t="s">
        <v>123</v>
      </c>
      <c r="W207" s="115"/>
      <c r="X207" s="114" t="s">
        <v>130</v>
      </c>
      <c r="Y207" s="115"/>
      <c r="Z207" s="114" t="s">
        <v>443</v>
      </c>
      <c r="AA207" s="115"/>
      <c r="AB207" s="115"/>
      <c r="AC207" s="115"/>
    </row>
    <row r="208">
      <c r="A208" s="113" t="s">
        <v>3133</v>
      </c>
      <c r="B208" s="114" t="s">
        <v>1223</v>
      </c>
      <c r="C208" s="114" t="s">
        <v>144</v>
      </c>
      <c r="D208" s="115"/>
      <c r="E208" s="114" t="s">
        <v>2380</v>
      </c>
      <c r="F208" s="114" t="s">
        <v>78</v>
      </c>
      <c r="G208" s="114" t="s">
        <v>3134</v>
      </c>
      <c r="H208" s="114" t="s">
        <v>2001</v>
      </c>
      <c r="I208" s="114" t="s">
        <v>2018</v>
      </c>
      <c r="J208" s="114" t="s">
        <v>2312</v>
      </c>
      <c r="K208" s="114" t="s">
        <v>3131</v>
      </c>
      <c r="L208" s="115"/>
      <c r="M208" s="115"/>
      <c r="N208" s="114" t="s">
        <v>70</v>
      </c>
      <c r="O208" s="115"/>
      <c r="P208" s="115"/>
      <c r="Q208" s="115"/>
      <c r="R208" s="114" t="s">
        <v>2384</v>
      </c>
      <c r="S208" s="114">
        <v>256.0</v>
      </c>
      <c r="T208" s="116" t="s">
        <v>3135</v>
      </c>
      <c r="U208" s="115"/>
      <c r="V208" s="114" t="s">
        <v>123</v>
      </c>
      <c r="W208" s="114" t="s">
        <v>108</v>
      </c>
      <c r="X208" s="114" t="s">
        <v>130</v>
      </c>
      <c r="Y208" s="114" t="s">
        <v>570</v>
      </c>
      <c r="Z208" s="114" t="s">
        <v>443</v>
      </c>
      <c r="AA208" s="114" t="s">
        <v>199</v>
      </c>
      <c r="AB208" s="115"/>
      <c r="AC208" s="115"/>
    </row>
    <row r="209">
      <c r="A209" s="113" t="s">
        <v>3136</v>
      </c>
      <c r="B209" s="114" t="s">
        <v>672</v>
      </c>
      <c r="C209" s="114" t="s">
        <v>144</v>
      </c>
      <c r="D209" s="115"/>
      <c r="E209" s="114" t="s">
        <v>2380</v>
      </c>
      <c r="F209" s="114" t="s">
        <v>78</v>
      </c>
      <c r="G209" s="114" t="s">
        <v>3137</v>
      </c>
      <c r="H209" s="114" t="s">
        <v>2001</v>
      </c>
      <c r="I209" s="114" t="s">
        <v>2018</v>
      </c>
      <c r="J209" s="114" t="s">
        <v>2312</v>
      </c>
      <c r="K209" s="114" t="s">
        <v>3138</v>
      </c>
      <c r="L209" s="115"/>
      <c r="M209" s="114" t="s">
        <v>39</v>
      </c>
      <c r="N209" s="114" t="s">
        <v>134</v>
      </c>
      <c r="O209" s="115"/>
      <c r="P209" s="115"/>
      <c r="Q209" s="115"/>
      <c r="R209" s="114" t="s">
        <v>2384</v>
      </c>
      <c r="S209" s="114">
        <v>256.0</v>
      </c>
      <c r="T209" s="116" t="s">
        <v>3139</v>
      </c>
      <c r="U209" s="115"/>
      <c r="V209" s="114" t="s">
        <v>123</v>
      </c>
      <c r="W209" s="114" t="s">
        <v>108</v>
      </c>
      <c r="X209" s="114" t="s">
        <v>130</v>
      </c>
      <c r="Y209" s="114" t="s">
        <v>570</v>
      </c>
      <c r="Z209" s="114" t="s">
        <v>443</v>
      </c>
      <c r="AA209" s="114" t="s">
        <v>199</v>
      </c>
      <c r="AB209" s="115"/>
      <c r="AC209" s="115"/>
    </row>
    <row r="210">
      <c r="A210" s="113" t="s">
        <v>3140</v>
      </c>
      <c r="B210" s="114" t="s">
        <v>444</v>
      </c>
      <c r="C210" s="114" t="s">
        <v>85</v>
      </c>
      <c r="D210" s="115"/>
      <c r="E210" s="114" t="s">
        <v>2380</v>
      </c>
      <c r="F210" s="114" t="s">
        <v>71</v>
      </c>
      <c r="G210" s="114" t="s">
        <v>2506</v>
      </c>
      <c r="H210" s="114" t="s">
        <v>2001</v>
      </c>
      <c r="I210" s="114" t="s">
        <v>2018</v>
      </c>
      <c r="J210" s="114" t="s">
        <v>2312</v>
      </c>
      <c r="K210" s="114" t="s">
        <v>3141</v>
      </c>
      <c r="L210" s="115"/>
      <c r="M210" s="115"/>
      <c r="N210" s="114" t="s">
        <v>2268</v>
      </c>
      <c r="O210" s="115"/>
      <c r="P210" s="115"/>
      <c r="Q210" s="115"/>
      <c r="R210" s="114" t="s">
        <v>2384</v>
      </c>
      <c r="S210" s="114">
        <v>256.0</v>
      </c>
      <c r="T210" s="116" t="s">
        <v>3142</v>
      </c>
      <c r="U210" s="114" t="s">
        <v>2811</v>
      </c>
      <c r="V210" s="114" t="s">
        <v>123</v>
      </c>
      <c r="W210" s="115"/>
      <c r="X210" s="114" t="s">
        <v>130</v>
      </c>
      <c r="Y210" s="115"/>
      <c r="Z210" s="114" t="s">
        <v>443</v>
      </c>
      <c r="AA210" s="114" t="s">
        <v>199</v>
      </c>
      <c r="AB210" s="115"/>
      <c r="AC210" s="115"/>
    </row>
    <row r="211">
      <c r="A211" s="113" t="s">
        <v>3143</v>
      </c>
      <c r="B211" s="114" t="s">
        <v>444</v>
      </c>
      <c r="C211" s="114" t="s">
        <v>178</v>
      </c>
      <c r="D211" s="115"/>
      <c r="E211" s="114" t="s">
        <v>2380</v>
      </c>
      <c r="F211" s="114" t="s">
        <v>71</v>
      </c>
      <c r="G211" s="114" t="s">
        <v>2495</v>
      </c>
      <c r="H211" s="114" t="s">
        <v>2001</v>
      </c>
      <c r="I211" s="114" t="s">
        <v>2018</v>
      </c>
      <c r="J211" s="114" t="s">
        <v>2312</v>
      </c>
      <c r="K211" s="114" t="s">
        <v>3144</v>
      </c>
      <c r="L211" s="115"/>
      <c r="M211" s="115"/>
      <c r="N211" s="114" t="s">
        <v>1008</v>
      </c>
      <c r="O211" s="115"/>
      <c r="P211" s="115"/>
      <c r="Q211" s="115"/>
      <c r="R211" s="114" t="s">
        <v>2384</v>
      </c>
      <c r="S211" s="114">
        <v>256.0</v>
      </c>
      <c r="T211" s="116" t="s">
        <v>3145</v>
      </c>
      <c r="U211" s="115"/>
      <c r="V211" s="115"/>
      <c r="W211" s="115"/>
      <c r="X211" s="115"/>
      <c r="Y211" s="115"/>
      <c r="Z211" s="115"/>
      <c r="AA211" s="114" t="s">
        <v>199</v>
      </c>
      <c r="AB211" s="114" t="s">
        <v>75</v>
      </c>
      <c r="AC211" s="115"/>
    </row>
    <row r="212">
      <c r="A212" s="113" t="s">
        <v>3146</v>
      </c>
      <c r="B212" s="114" t="s">
        <v>64</v>
      </c>
      <c r="C212" s="114" t="s">
        <v>103</v>
      </c>
      <c r="D212" s="115"/>
      <c r="E212" s="114" t="s">
        <v>2380</v>
      </c>
      <c r="F212" s="114" t="s">
        <v>2214</v>
      </c>
      <c r="G212" s="115"/>
      <c r="H212" s="114" t="s">
        <v>2001</v>
      </c>
      <c r="I212" s="114" t="s">
        <v>2018</v>
      </c>
      <c r="J212" s="115"/>
      <c r="K212" s="115"/>
      <c r="L212" s="115"/>
      <c r="M212" s="115"/>
      <c r="N212" s="114" t="s">
        <v>2222</v>
      </c>
      <c r="O212" s="115"/>
      <c r="P212" s="115"/>
      <c r="Q212" s="115"/>
      <c r="R212" s="114" t="s">
        <v>2384</v>
      </c>
      <c r="S212" s="114">
        <v>256.0</v>
      </c>
      <c r="T212" s="116" t="s">
        <v>3147</v>
      </c>
      <c r="U212" s="115"/>
      <c r="V212" s="114" t="s">
        <v>123</v>
      </c>
      <c r="W212" s="115"/>
      <c r="X212" s="115"/>
      <c r="Y212" s="115"/>
      <c r="Z212" s="115"/>
      <c r="AA212" s="114" t="s">
        <v>199</v>
      </c>
      <c r="AB212" s="114" t="s">
        <v>75</v>
      </c>
      <c r="AC212" s="114" t="s">
        <v>250</v>
      </c>
    </row>
    <row r="213">
      <c r="A213" s="113" t="s">
        <v>3148</v>
      </c>
      <c r="B213" s="114" t="s">
        <v>945</v>
      </c>
      <c r="C213" s="114" t="s">
        <v>178</v>
      </c>
      <c r="D213" s="115"/>
      <c r="E213" s="114" t="s">
        <v>2222</v>
      </c>
      <c r="F213" s="114" t="s">
        <v>2413</v>
      </c>
      <c r="G213" s="114" t="s">
        <v>3149</v>
      </c>
      <c r="H213" s="114" t="s">
        <v>2001</v>
      </c>
      <c r="I213" s="114" t="s">
        <v>2018</v>
      </c>
      <c r="J213" s="114" t="s">
        <v>2312</v>
      </c>
      <c r="K213" s="114" t="s">
        <v>3150</v>
      </c>
      <c r="L213" s="114" t="s">
        <v>2591</v>
      </c>
      <c r="M213" s="115"/>
      <c r="N213" s="114" t="s">
        <v>2268</v>
      </c>
      <c r="O213" s="115"/>
      <c r="P213" s="115"/>
      <c r="Q213" s="115"/>
      <c r="R213" s="114" t="s">
        <v>2384</v>
      </c>
      <c r="S213" s="114">
        <v>256.0</v>
      </c>
      <c r="T213" s="116" t="s">
        <v>3151</v>
      </c>
      <c r="U213" s="114" t="s">
        <v>3152</v>
      </c>
      <c r="V213" s="115"/>
      <c r="W213" s="114" t="s">
        <v>108</v>
      </c>
      <c r="X213" s="115"/>
      <c r="Y213" s="114" t="s">
        <v>570</v>
      </c>
      <c r="Z213" s="115"/>
      <c r="AA213" s="114" t="s">
        <v>199</v>
      </c>
      <c r="AB213" s="115"/>
      <c r="AC213" s="114" t="s">
        <v>250</v>
      </c>
    </row>
    <row r="214">
      <c r="A214" s="113" t="s">
        <v>3153</v>
      </c>
      <c r="B214" s="114" t="s">
        <v>1594</v>
      </c>
      <c r="C214" s="114" t="s">
        <v>140</v>
      </c>
      <c r="D214" s="115"/>
      <c r="E214" s="114" t="s">
        <v>2222</v>
      </c>
      <c r="F214" s="114" t="s">
        <v>78</v>
      </c>
      <c r="G214" s="115"/>
      <c r="H214" s="114" t="s">
        <v>2001</v>
      </c>
      <c r="I214" s="114" t="s">
        <v>2018</v>
      </c>
      <c r="J214" s="114" t="s">
        <v>2312</v>
      </c>
      <c r="K214" s="114" t="s">
        <v>3154</v>
      </c>
      <c r="L214" s="114" t="s">
        <v>2583</v>
      </c>
      <c r="M214" s="115"/>
      <c r="N214" s="114" t="s">
        <v>2446</v>
      </c>
      <c r="O214" s="115"/>
      <c r="P214" s="115"/>
      <c r="Q214" s="115"/>
      <c r="R214" s="114" t="s">
        <v>2384</v>
      </c>
      <c r="S214" s="114">
        <v>257.0</v>
      </c>
      <c r="T214" s="116" t="s">
        <v>3155</v>
      </c>
      <c r="U214" s="115"/>
      <c r="V214" s="115"/>
      <c r="W214" s="115"/>
      <c r="X214" s="115"/>
      <c r="Y214" s="115"/>
      <c r="Z214" s="115"/>
      <c r="AA214" s="114" t="s">
        <v>199</v>
      </c>
      <c r="AB214" s="115"/>
      <c r="AC214" s="115"/>
    </row>
    <row r="215">
      <c r="A215" s="113" t="s">
        <v>3156</v>
      </c>
      <c r="B215" s="114" t="s">
        <v>444</v>
      </c>
      <c r="C215" s="114" t="s">
        <v>76</v>
      </c>
      <c r="D215" s="115"/>
      <c r="E215" s="114" t="s">
        <v>2380</v>
      </c>
      <c r="F215" s="114" t="s">
        <v>2223</v>
      </c>
      <c r="G215" s="114" t="s">
        <v>3157</v>
      </c>
      <c r="H215" s="114" t="s">
        <v>2001</v>
      </c>
      <c r="I215" s="114" t="s">
        <v>2018</v>
      </c>
      <c r="J215" s="115"/>
      <c r="K215" s="115"/>
      <c r="L215" s="115"/>
      <c r="M215" s="115"/>
      <c r="N215" s="114" t="s">
        <v>70</v>
      </c>
      <c r="O215" s="115"/>
      <c r="P215" s="114" t="s">
        <v>2076</v>
      </c>
      <c r="Q215" s="114" t="s">
        <v>3158</v>
      </c>
      <c r="R215" s="114" t="s">
        <v>2384</v>
      </c>
      <c r="S215" s="114">
        <v>257.0</v>
      </c>
      <c r="T215" s="116" t="s">
        <v>3159</v>
      </c>
      <c r="U215" s="114" t="s">
        <v>3160</v>
      </c>
      <c r="V215" s="115"/>
      <c r="W215" s="115"/>
      <c r="X215" s="115"/>
      <c r="Y215" s="115"/>
      <c r="Z215" s="115"/>
      <c r="AA215" s="114" t="s">
        <v>199</v>
      </c>
      <c r="AB215" s="114" t="s">
        <v>75</v>
      </c>
      <c r="AC215" s="115"/>
    </row>
    <row r="216">
      <c r="A216" s="113" t="s">
        <v>3161</v>
      </c>
      <c r="B216" s="114" t="s">
        <v>672</v>
      </c>
      <c r="C216" s="114" t="s">
        <v>65</v>
      </c>
      <c r="D216" s="114" t="s">
        <v>28</v>
      </c>
      <c r="E216" s="114" t="s">
        <v>2222</v>
      </c>
      <c r="F216" s="114" t="s">
        <v>2214</v>
      </c>
      <c r="G216" s="114" t="s">
        <v>2671</v>
      </c>
      <c r="H216" s="114" t="s">
        <v>2001</v>
      </c>
      <c r="I216" s="114" t="s">
        <v>2018</v>
      </c>
      <c r="J216" s="114" t="s">
        <v>2312</v>
      </c>
      <c r="K216" s="114" t="s">
        <v>3162</v>
      </c>
      <c r="L216" s="114" t="s">
        <v>2870</v>
      </c>
      <c r="M216" s="115"/>
      <c r="N216" s="114" t="s">
        <v>2446</v>
      </c>
      <c r="O216" s="115"/>
      <c r="P216" s="115"/>
      <c r="Q216" s="115"/>
      <c r="R216" s="114" t="s">
        <v>2384</v>
      </c>
      <c r="S216" s="114">
        <v>257.0</v>
      </c>
      <c r="T216" s="116" t="s">
        <v>3163</v>
      </c>
      <c r="U216" s="115"/>
      <c r="V216" s="114" t="s">
        <v>123</v>
      </c>
      <c r="W216" s="115"/>
      <c r="X216" s="115"/>
      <c r="Y216" s="115"/>
      <c r="Z216" s="115"/>
      <c r="AA216" s="114" t="s">
        <v>199</v>
      </c>
      <c r="AB216" s="115"/>
      <c r="AC216" s="115"/>
    </row>
    <row r="217">
      <c r="A217" s="113" t="s">
        <v>3164</v>
      </c>
      <c r="B217" s="114" t="s">
        <v>672</v>
      </c>
      <c r="C217" s="114" t="s">
        <v>85</v>
      </c>
      <c r="D217" s="115"/>
      <c r="E217" s="114" t="s">
        <v>2486</v>
      </c>
      <c r="F217" s="114" t="s">
        <v>71</v>
      </c>
      <c r="G217" s="114" t="s">
        <v>2805</v>
      </c>
      <c r="H217" s="114" t="s">
        <v>2001</v>
      </c>
      <c r="I217" s="114" t="s">
        <v>2018</v>
      </c>
      <c r="J217" s="115"/>
      <c r="K217" s="115"/>
      <c r="L217" s="115"/>
      <c r="M217" s="114" t="s">
        <v>39</v>
      </c>
      <c r="N217" s="114" t="s">
        <v>2268</v>
      </c>
      <c r="O217" s="115"/>
      <c r="P217" s="115"/>
      <c r="Q217" s="115"/>
      <c r="R217" s="114" t="s">
        <v>2384</v>
      </c>
      <c r="S217" s="114">
        <v>257.0</v>
      </c>
      <c r="T217" s="116" t="s">
        <v>3165</v>
      </c>
      <c r="U217" s="114" t="s">
        <v>3166</v>
      </c>
      <c r="V217" s="115"/>
      <c r="W217" s="114" t="s">
        <v>2713</v>
      </c>
      <c r="X217" s="115"/>
      <c r="Y217" s="114" t="s">
        <v>570</v>
      </c>
      <c r="Z217" s="115"/>
      <c r="AA217" s="114" t="s">
        <v>199</v>
      </c>
      <c r="AB217" s="115"/>
      <c r="AC217" s="115"/>
    </row>
    <row r="218">
      <c r="A218" s="113" t="s">
        <v>3167</v>
      </c>
      <c r="B218" s="114" t="s">
        <v>945</v>
      </c>
      <c r="C218" s="114" t="s">
        <v>65</v>
      </c>
      <c r="D218" s="115"/>
      <c r="E218" s="114" t="s">
        <v>2380</v>
      </c>
      <c r="F218" s="114" t="s">
        <v>2223</v>
      </c>
      <c r="G218" s="114" t="s">
        <v>2844</v>
      </c>
      <c r="H218" s="114" t="s">
        <v>2001</v>
      </c>
      <c r="I218" s="114" t="s">
        <v>2018</v>
      </c>
      <c r="J218" s="114" t="s">
        <v>2312</v>
      </c>
      <c r="K218" s="114" t="s">
        <v>3168</v>
      </c>
      <c r="L218" s="115"/>
      <c r="M218" s="114" t="s">
        <v>39</v>
      </c>
      <c r="N218" s="114" t="s">
        <v>134</v>
      </c>
      <c r="O218" s="115"/>
      <c r="P218" s="115"/>
      <c r="Q218" s="115"/>
      <c r="R218" s="114" t="s">
        <v>2384</v>
      </c>
      <c r="S218" s="114">
        <v>258.0</v>
      </c>
      <c r="T218" s="116" t="s">
        <v>3169</v>
      </c>
      <c r="U218" s="114" t="s">
        <v>3170</v>
      </c>
      <c r="V218" s="114" t="s">
        <v>123</v>
      </c>
      <c r="W218" s="115"/>
      <c r="X218" s="115"/>
      <c r="Y218" s="115"/>
      <c r="Z218" s="115"/>
      <c r="AA218" s="114" t="s">
        <v>199</v>
      </c>
      <c r="AB218" s="114" t="s">
        <v>75</v>
      </c>
      <c r="AC218" s="114" t="s">
        <v>250</v>
      </c>
    </row>
    <row r="219">
      <c r="A219" s="113" t="s">
        <v>3171</v>
      </c>
      <c r="B219" s="114" t="s">
        <v>1452</v>
      </c>
      <c r="C219" s="114" t="s">
        <v>103</v>
      </c>
      <c r="D219" s="115"/>
      <c r="E219" s="114" t="s">
        <v>2380</v>
      </c>
      <c r="F219" s="114" t="s">
        <v>1174</v>
      </c>
      <c r="G219" s="114" t="s">
        <v>3172</v>
      </c>
      <c r="H219" s="114" t="s">
        <v>2001</v>
      </c>
      <c r="I219" s="114" t="s">
        <v>2018</v>
      </c>
      <c r="J219" s="115"/>
      <c r="K219" s="115"/>
      <c r="L219" s="115"/>
      <c r="M219" s="115"/>
      <c r="N219" s="114" t="s">
        <v>70</v>
      </c>
      <c r="O219" s="115"/>
      <c r="P219" s="115"/>
      <c r="Q219" s="114" t="s">
        <v>2692</v>
      </c>
      <c r="R219" s="114" t="s">
        <v>2384</v>
      </c>
      <c r="S219" s="114">
        <v>258.0</v>
      </c>
      <c r="T219" s="116" t="s">
        <v>3173</v>
      </c>
      <c r="U219" s="114" t="s">
        <v>3174</v>
      </c>
      <c r="V219" s="114" t="s">
        <v>123</v>
      </c>
      <c r="W219" s="114" t="s">
        <v>108</v>
      </c>
      <c r="X219" s="114" t="s">
        <v>130</v>
      </c>
      <c r="Y219" s="115"/>
      <c r="Z219" s="115"/>
      <c r="AA219" s="115"/>
      <c r="AB219" s="115"/>
      <c r="AC219" s="115"/>
    </row>
    <row r="220">
      <c r="A220" s="113" t="s">
        <v>3175</v>
      </c>
      <c r="B220" s="114" t="s">
        <v>1919</v>
      </c>
      <c r="C220" s="114" t="s">
        <v>103</v>
      </c>
      <c r="D220" s="115"/>
      <c r="E220" s="114" t="s">
        <v>2380</v>
      </c>
      <c r="F220" s="114" t="s">
        <v>1174</v>
      </c>
      <c r="G220" s="114" t="s">
        <v>3157</v>
      </c>
      <c r="H220" s="114" t="s">
        <v>2001</v>
      </c>
      <c r="I220" s="114" t="s">
        <v>2018</v>
      </c>
      <c r="J220" s="115"/>
      <c r="K220" s="115"/>
      <c r="L220" s="115"/>
      <c r="M220" s="115"/>
      <c r="N220" s="114" t="s">
        <v>70</v>
      </c>
      <c r="O220" s="115"/>
      <c r="P220" s="115"/>
      <c r="Q220" s="114" t="s">
        <v>2692</v>
      </c>
      <c r="R220" s="114" t="s">
        <v>2384</v>
      </c>
      <c r="S220" s="114">
        <v>258.0</v>
      </c>
      <c r="T220" s="116" t="s">
        <v>3176</v>
      </c>
      <c r="U220" s="115"/>
      <c r="V220" s="115"/>
      <c r="W220" s="114" t="s">
        <v>108</v>
      </c>
      <c r="X220" s="115"/>
      <c r="Y220" s="115"/>
      <c r="Z220" s="115"/>
      <c r="AA220" s="115"/>
      <c r="AB220" s="115"/>
      <c r="AC220" s="115"/>
    </row>
    <row r="221">
      <c r="A221" s="113" t="s">
        <v>3177</v>
      </c>
      <c r="B221" s="114" t="s">
        <v>945</v>
      </c>
      <c r="C221" s="114" t="s">
        <v>76</v>
      </c>
      <c r="D221" s="115"/>
      <c r="E221" s="114" t="s">
        <v>2486</v>
      </c>
      <c r="F221" s="114" t="s">
        <v>1174</v>
      </c>
      <c r="G221" s="114" t="s">
        <v>3172</v>
      </c>
      <c r="H221" s="114" t="s">
        <v>2001</v>
      </c>
      <c r="I221" s="115"/>
      <c r="J221" s="115"/>
      <c r="K221" s="115"/>
      <c r="L221" s="115"/>
      <c r="M221" s="115"/>
      <c r="N221" s="114" t="s">
        <v>70</v>
      </c>
      <c r="O221" s="115"/>
      <c r="P221" s="115"/>
      <c r="Q221" s="114" t="s">
        <v>2692</v>
      </c>
      <c r="R221" s="114" t="s">
        <v>2384</v>
      </c>
      <c r="S221" s="114">
        <v>258.0</v>
      </c>
      <c r="T221" s="116" t="s">
        <v>3178</v>
      </c>
      <c r="U221" s="114" t="s">
        <v>3179</v>
      </c>
      <c r="V221" s="115"/>
      <c r="W221" s="114" t="s">
        <v>108</v>
      </c>
      <c r="X221" s="115"/>
      <c r="Y221" s="115"/>
      <c r="Z221" s="115"/>
      <c r="AA221" s="115"/>
      <c r="AB221" s="115"/>
      <c r="AC221" s="115"/>
    </row>
    <row r="222">
      <c r="A222" s="113" t="s">
        <v>3180</v>
      </c>
      <c r="B222" s="114" t="s">
        <v>1594</v>
      </c>
      <c r="C222" s="114" t="s">
        <v>183</v>
      </c>
      <c r="D222" s="115"/>
      <c r="E222" s="114" t="s">
        <v>2380</v>
      </c>
      <c r="F222" s="114" t="s">
        <v>1174</v>
      </c>
      <c r="G222" s="114" t="s">
        <v>3181</v>
      </c>
      <c r="H222" s="114" t="s">
        <v>2001</v>
      </c>
      <c r="I222" s="115"/>
      <c r="J222" s="114" t="s">
        <v>2312</v>
      </c>
      <c r="K222" s="114" t="s">
        <v>3182</v>
      </c>
      <c r="L222" s="115"/>
      <c r="M222" s="115"/>
      <c r="N222" s="114" t="s">
        <v>347</v>
      </c>
      <c r="O222" s="114" t="s">
        <v>2401</v>
      </c>
      <c r="P222" s="115"/>
      <c r="Q222" s="115"/>
      <c r="R222" s="114" t="s">
        <v>2384</v>
      </c>
      <c r="S222" s="114">
        <v>258.0</v>
      </c>
      <c r="T222" s="116" t="s">
        <v>3183</v>
      </c>
      <c r="U222" s="114" t="s">
        <v>3184</v>
      </c>
      <c r="V222" s="114" t="s">
        <v>123</v>
      </c>
      <c r="W222" s="115"/>
      <c r="X222" s="115"/>
      <c r="Y222" s="115"/>
      <c r="Z222" s="115"/>
      <c r="AA222" s="114" t="s">
        <v>199</v>
      </c>
      <c r="AB222" s="114" t="s">
        <v>75</v>
      </c>
      <c r="AC222" s="114" t="s">
        <v>250</v>
      </c>
    </row>
    <row r="223">
      <c r="A223" s="113" t="s">
        <v>3185</v>
      </c>
      <c r="B223" s="114" t="s">
        <v>1837</v>
      </c>
      <c r="C223" s="114" t="s">
        <v>103</v>
      </c>
      <c r="D223" s="115"/>
      <c r="E223" s="114" t="s">
        <v>2380</v>
      </c>
      <c r="F223" s="114" t="s">
        <v>1174</v>
      </c>
      <c r="G223" s="114" t="s">
        <v>2506</v>
      </c>
      <c r="H223" s="114" t="s">
        <v>2001</v>
      </c>
      <c r="I223" s="114" t="s">
        <v>2018</v>
      </c>
      <c r="J223" s="115"/>
      <c r="K223" s="115"/>
      <c r="L223" s="115"/>
      <c r="M223" s="114" t="s">
        <v>39</v>
      </c>
      <c r="N223" s="114" t="s">
        <v>134</v>
      </c>
      <c r="O223" s="114" t="s">
        <v>2578</v>
      </c>
      <c r="P223" s="115"/>
      <c r="Q223" s="115"/>
      <c r="R223" s="114" t="s">
        <v>2384</v>
      </c>
      <c r="S223" s="114">
        <v>258.0</v>
      </c>
      <c r="T223" s="116" t="s">
        <v>3186</v>
      </c>
      <c r="U223" s="115"/>
      <c r="V223" s="115"/>
      <c r="W223" s="115"/>
      <c r="X223" s="115"/>
      <c r="Y223" s="115"/>
      <c r="Z223" s="115"/>
      <c r="AA223" s="114" t="s">
        <v>199</v>
      </c>
      <c r="AB223" s="115"/>
      <c r="AC223" s="115"/>
    </row>
    <row r="224">
      <c r="A224" s="113" t="s">
        <v>3187</v>
      </c>
      <c r="B224" s="114" t="s">
        <v>945</v>
      </c>
      <c r="C224" s="114" t="s">
        <v>85</v>
      </c>
      <c r="D224" s="114" t="s">
        <v>28</v>
      </c>
      <c r="E224" s="114" t="s">
        <v>2380</v>
      </c>
      <c r="F224" s="114" t="s">
        <v>71</v>
      </c>
      <c r="G224" s="114" t="s">
        <v>3188</v>
      </c>
      <c r="H224" s="114" t="s">
        <v>2001</v>
      </c>
      <c r="I224" s="114" t="s">
        <v>2018</v>
      </c>
      <c r="J224" s="115"/>
      <c r="K224" s="115"/>
      <c r="L224" s="115"/>
      <c r="M224" s="115"/>
      <c r="N224" s="114" t="s">
        <v>1008</v>
      </c>
      <c r="O224" s="115"/>
      <c r="P224" s="115"/>
      <c r="Q224" s="115"/>
      <c r="R224" s="114" t="s">
        <v>2384</v>
      </c>
      <c r="S224" s="114">
        <v>259.0</v>
      </c>
      <c r="T224" s="116" t="s">
        <v>3189</v>
      </c>
      <c r="U224" s="115"/>
      <c r="V224" s="115"/>
      <c r="W224" s="114" t="s">
        <v>108</v>
      </c>
      <c r="X224" s="114" t="s">
        <v>130</v>
      </c>
      <c r="Y224" s="115"/>
      <c r="Z224" s="115"/>
      <c r="AA224" s="115"/>
      <c r="AB224" s="115"/>
      <c r="AC224" s="115"/>
    </row>
    <row r="225">
      <c r="A225" s="113" t="s">
        <v>3190</v>
      </c>
      <c r="B225" s="114" t="s">
        <v>672</v>
      </c>
      <c r="C225" s="114" t="s">
        <v>76</v>
      </c>
      <c r="D225" s="115"/>
      <c r="E225" s="114" t="s">
        <v>2380</v>
      </c>
      <c r="F225" s="114" t="s">
        <v>2513</v>
      </c>
      <c r="G225" s="114" t="s">
        <v>2491</v>
      </c>
      <c r="H225" s="114" t="s">
        <v>2001</v>
      </c>
      <c r="I225" s="114" t="s">
        <v>2018</v>
      </c>
      <c r="J225" s="114" t="s">
        <v>2312</v>
      </c>
      <c r="K225" s="114" t="s">
        <v>3191</v>
      </c>
      <c r="L225" s="115"/>
      <c r="M225" s="115"/>
      <c r="N225" s="114" t="s">
        <v>70</v>
      </c>
      <c r="O225" s="114" t="s">
        <v>2573</v>
      </c>
      <c r="P225" s="114" t="s">
        <v>2119</v>
      </c>
      <c r="Q225" s="114" t="s">
        <v>2599</v>
      </c>
      <c r="R225" s="114" t="s">
        <v>2384</v>
      </c>
      <c r="S225" s="114">
        <v>259.0</v>
      </c>
      <c r="T225" s="116" t="s">
        <v>3192</v>
      </c>
      <c r="U225" s="114" t="s">
        <v>3193</v>
      </c>
      <c r="V225" s="115"/>
      <c r="W225" s="115"/>
      <c r="X225" s="114" t="s">
        <v>2724</v>
      </c>
      <c r="Y225" s="115"/>
      <c r="Z225" s="115"/>
      <c r="AA225" s="114" t="s">
        <v>199</v>
      </c>
      <c r="AB225" s="115"/>
      <c r="AC225" s="115"/>
    </row>
    <row r="226">
      <c r="A226" s="113" t="s">
        <v>3194</v>
      </c>
      <c r="B226" s="114" t="s">
        <v>64</v>
      </c>
      <c r="C226" s="114" t="s">
        <v>85</v>
      </c>
      <c r="D226" s="115"/>
      <c r="E226" s="114" t="s">
        <v>2222</v>
      </c>
      <c r="F226" s="114" t="s">
        <v>71</v>
      </c>
      <c r="G226" s="114" t="s">
        <v>2671</v>
      </c>
      <c r="H226" s="114" t="s">
        <v>2001</v>
      </c>
      <c r="I226" s="114" t="s">
        <v>2018</v>
      </c>
      <c r="J226" s="114" t="s">
        <v>2312</v>
      </c>
      <c r="K226" s="114" t="s">
        <v>3195</v>
      </c>
      <c r="L226" s="115"/>
      <c r="M226" s="115"/>
      <c r="N226" s="114" t="s">
        <v>70</v>
      </c>
      <c r="O226" s="115"/>
      <c r="P226" s="115"/>
      <c r="Q226" s="115"/>
      <c r="R226" s="114" t="s">
        <v>2384</v>
      </c>
      <c r="S226" s="114">
        <v>259.0</v>
      </c>
      <c r="T226" s="116" t="s">
        <v>3196</v>
      </c>
      <c r="U226" s="115"/>
      <c r="V226" s="114" t="s">
        <v>123</v>
      </c>
      <c r="W226" s="114" t="s">
        <v>108</v>
      </c>
      <c r="X226" s="114" t="s">
        <v>130</v>
      </c>
      <c r="Y226" s="115"/>
      <c r="Z226" s="115"/>
      <c r="AA226" s="114" t="s">
        <v>199</v>
      </c>
      <c r="AB226" s="114" t="s">
        <v>75</v>
      </c>
      <c r="AC226" s="115"/>
    </row>
    <row r="227">
      <c r="A227" s="113" t="s">
        <v>3197</v>
      </c>
      <c r="B227" s="114" t="s">
        <v>64</v>
      </c>
      <c r="C227" s="114" t="s">
        <v>85</v>
      </c>
      <c r="D227" s="115"/>
      <c r="E227" s="114" t="s">
        <v>2380</v>
      </c>
      <c r="F227" s="114" t="s">
        <v>2223</v>
      </c>
      <c r="G227" s="114" t="s">
        <v>3198</v>
      </c>
      <c r="H227" s="114" t="s">
        <v>2001</v>
      </c>
      <c r="I227" s="114" t="s">
        <v>2018</v>
      </c>
      <c r="J227" s="114" t="s">
        <v>2312</v>
      </c>
      <c r="K227" s="114" t="s">
        <v>3199</v>
      </c>
      <c r="L227" s="115"/>
      <c r="M227" s="115"/>
      <c r="N227" s="114" t="s">
        <v>2519</v>
      </c>
      <c r="O227" s="115"/>
      <c r="P227" s="115"/>
      <c r="Q227" s="115"/>
      <c r="R227" s="114" t="s">
        <v>2384</v>
      </c>
      <c r="S227" s="114">
        <v>259.0</v>
      </c>
      <c r="T227" s="116" t="s">
        <v>3200</v>
      </c>
      <c r="U227" s="115"/>
      <c r="V227" s="114" t="s">
        <v>123</v>
      </c>
      <c r="W227" s="115"/>
      <c r="X227" s="115"/>
      <c r="Y227" s="115"/>
      <c r="Z227" s="115"/>
      <c r="AA227" s="114" t="s">
        <v>199</v>
      </c>
      <c r="AB227" s="114" t="s">
        <v>75</v>
      </c>
      <c r="AC227" s="115"/>
    </row>
    <row r="228">
      <c r="A228" s="113" t="s">
        <v>3201</v>
      </c>
      <c r="B228" s="114" t="s">
        <v>1919</v>
      </c>
      <c r="C228" s="114" t="s">
        <v>76</v>
      </c>
      <c r="D228" s="115"/>
      <c r="E228" s="114" t="s">
        <v>2380</v>
      </c>
      <c r="F228" s="114" t="s">
        <v>755</v>
      </c>
      <c r="G228" s="114" t="s">
        <v>3202</v>
      </c>
      <c r="H228" s="114" t="s">
        <v>2001</v>
      </c>
      <c r="I228" s="114" t="s">
        <v>2018</v>
      </c>
      <c r="J228" s="115"/>
      <c r="K228" s="115"/>
      <c r="L228" s="115"/>
      <c r="M228" s="115"/>
      <c r="N228" s="114" t="s">
        <v>70</v>
      </c>
      <c r="O228" s="114" t="s">
        <v>2515</v>
      </c>
      <c r="P228" s="114" t="s">
        <v>3203</v>
      </c>
      <c r="Q228" s="114" t="s">
        <v>3204</v>
      </c>
      <c r="R228" s="114" t="s">
        <v>2384</v>
      </c>
      <c r="S228" s="114">
        <v>259.0</v>
      </c>
      <c r="T228" s="116" t="s">
        <v>3205</v>
      </c>
      <c r="U228" s="115"/>
      <c r="V228" s="115"/>
      <c r="W228" s="115"/>
      <c r="X228" s="115"/>
      <c r="Y228" s="115"/>
      <c r="Z228" s="115"/>
      <c r="AA228" s="114" t="s">
        <v>199</v>
      </c>
      <c r="AB228" s="114" t="s">
        <v>75</v>
      </c>
      <c r="AC228" s="115"/>
    </row>
    <row r="229">
      <c r="A229" s="113" t="s">
        <v>3206</v>
      </c>
      <c r="B229" s="114" t="s">
        <v>1837</v>
      </c>
      <c r="C229" s="114" t="s">
        <v>178</v>
      </c>
      <c r="D229" s="115"/>
      <c r="E229" s="114" t="s">
        <v>2380</v>
      </c>
      <c r="F229" s="114" t="s">
        <v>71</v>
      </c>
      <c r="G229" s="114" t="s">
        <v>2495</v>
      </c>
      <c r="H229" s="114" t="s">
        <v>2001</v>
      </c>
      <c r="I229" s="114" t="s">
        <v>2018</v>
      </c>
      <c r="J229" s="115"/>
      <c r="K229" s="115"/>
      <c r="L229" s="115"/>
      <c r="M229" s="115"/>
      <c r="N229" s="114" t="s">
        <v>347</v>
      </c>
      <c r="O229" s="115"/>
      <c r="P229" s="115"/>
      <c r="Q229" s="115"/>
      <c r="R229" s="114" t="s">
        <v>2384</v>
      </c>
      <c r="S229" s="114">
        <v>259.0</v>
      </c>
      <c r="T229" s="116" t="s">
        <v>3207</v>
      </c>
      <c r="U229" s="115"/>
      <c r="V229" s="114" t="s">
        <v>123</v>
      </c>
      <c r="W229" s="115"/>
      <c r="X229" s="115"/>
      <c r="Y229" s="115"/>
      <c r="Z229" s="115"/>
      <c r="AA229" s="114" t="s">
        <v>199</v>
      </c>
      <c r="AB229" s="115"/>
      <c r="AC229" s="115"/>
    </row>
    <row r="230">
      <c r="A230" s="113" t="s">
        <v>3208</v>
      </c>
      <c r="B230" s="114" t="s">
        <v>64</v>
      </c>
      <c r="C230" s="114" t="s">
        <v>65</v>
      </c>
      <c r="D230" s="115"/>
      <c r="E230" s="114" t="s">
        <v>2380</v>
      </c>
      <c r="F230" s="114" t="s">
        <v>2214</v>
      </c>
      <c r="G230" s="114" t="s">
        <v>2597</v>
      </c>
      <c r="H230" s="115"/>
      <c r="I230" s="114" t="s">
        <v>2018</v>
      </c>
      <c r="J230" s="114" t="s">
        <v>2312</v>
      </c>
      <c r="K230" s="114" t="s">
        <v>3168</v>
      </c>
      <c r="L230" s="115"/>
      <c r="M230" s="115"/>
      <c r="N230" s="114" t="s">
        <v>2222</v>
      </c>
      <c r="O230" s="115"/>
      <c r="P230" s="115"/>
      <c r="Q230" s="115"/>
      <c r="R230" s="114" t="s">
        <v>2384</v>
      </c>
      <c r="S230" s="114">
        <v>260.0</v>
      </c>
      <c r="T230" s="116" t="s">
        <v>3209</v>
      </c>
      <c r="U230" s="115"/>
      <c r="V230" s="114" t="s">
        <v>123</v>
      </c>
      <c r="W230" s="115"/>
      <c r="X230" s="115"/>
      <c r="Y230" s="115"/>
      <c r="Z230" s="115"/>
      <c r="AA230" s="114" t="s">
        <v>199</v>
      </c>
      <c r="AB230" s="114" t="s">
        <v>75</v>
      </c>
      <c r="AC230" s="114" t="s">
        <v>250</v>
      </c>
    </row>
    <row r="231">
      <c r="A231" s="113" t="s">
        <v>3210</v>
      </c>
      <c r="B231" s="114" t="s">
        <v>1709</v>
      </c>
      <c r="C231" s="114" t="s">
        <v>65</v>
      </c>
      <c r="D231" s="115"/>
      <c r="E231" s="114" t="s">
        <v>134</v>
      </c>
      <c r="F231" s="114" t="s">
        <v>2068</v>
      </c>
      <c r="G231" s="114" t="s">
        <v>3211</v>
      </c>
      <c r="H231" s="114" t="s">
        <v>2001</v>
      </c>
      <c r="I231" s="114" t="s">
        <v>2018</v>
      </c>
      <c r="J231" s="115"/>
      <c r="K231" s="115"/>
      <c r="L231" s="115"/>
      <c r="M231" s="115"/>
      <c r="N231" s="114" t="s">
        <v>2433</v>
      </c>
      <c r="O231" s="115"/>
      <c r="P231" s="115"/>
      <c r="Q231" s="115"/>
      <c r="R231" s="114" t="s">
        <v>2384</v>
      </c>
      <c r="S231" s="114">
        <v>260.0</v>
      </c>
      <c r="T231" s="116" t="s">
        <v>3212</v>
      </c>
      <c r="U231" s="115"/>
      <c r="V231" s="114" t="s">
        <v>123</v>
      </c>
      <c r="W231" s="115"/>
      <c r="X231" s="114" t="s">
        <v>130</v>
      </c>
      <c r="Y231" s="115"/>
      <c r="Z231" s="115"/>
      <c r="AA231" s="114" t="s">
        <v>199</v>
      </c>
      <c r="AB231" s="115"/>
      <c r="AC231" s="115"/>
    </row>
    <row r="232">
      <c r="A232" s="113" t="s">
        <v>3213</v>
      </c>
      <c r="B232" s="114" t="s">
        <v>672</v>
      </c>
      <c r="C232" s="114" t="s">
        <v>65</v>
      </c>
      <c r="D232" s="115"/>
      <c r="E232" s="114" t="s">
        <v>2380</v>
      </c>
      <c r="F232" s="114" t="s">
        <v>78</v>
      </c>
      <c r="G232" s="114" t="s">
        <v>78</v>
      </c>
      <c r="H232" s="114" t="s">
        <v>2001</v>
      </c>
      <c r="I232" s="114" t="s">
        <v>2018</v>
      </c>
      <c r="J232" s="115"/>
      <c r="K232" s="115"/>
      <c r="L232" s="115"/>
      <c r="M232" s="115"/>
      <c r="N232" s="114" t="s">
        <v>2222</v>
      </c>
      <c r="O232" s="115"/>
      <c r="P232" s="115"/>
      <c r="Q232" s="115"/>
      <c r="R232" s="114" t="s">
        <v>2384</v>
      </c>
      <c r="S232" s="114">
        <v>260.0</v>
      </c>
      <c r="T232" s="116" t="s">
        <v>3214</v>
      </c>
      <c r="U232" s="115"/>
      <c r="V232" s="115"/>
      <c r="W232" s="114" t="s">
        <v>2539</v>
      </c>
      <c r="X232" s="114" t="s">
        <v>3215</v>
      </c>
      <c r="Y232" s="115"/>
      <c r="Z232" s="115"/>
      <c r="AA232" s="114" t="s">
        <v>199</v>
      </c>
      <c r="AB232" s="114" t="s">
        <v>75</v>
      </c>
      <c r="AC232" s="114" t="s">
        <v>250</v>
      </c>
    </row>
    <row r="233">
      <c r="A233" s="113" t="s">
        <v>3216</v>
      </c>
      <c r="B233" s="114" t="s">
        <v>1452</v>
      </c>
      <c r="C233" s="114" t="s">
        <v>65</v>
      </c>
      <c r="D233" s="115"/>
      <c r="E233" s="114" t="s">
        <v>2380</v>
      </c>
      <c r="F233" s="114" t="s">
        <v>78</v>
      </c>
      <c r="G233" s="114" t="s">
        <v>78</v>
      </c>
      <c r="H233" s="115"/>
      <c r="I233" s="114" t="s">
        <v>2018</v>
      </c>
      <c r="J233" s="115"/>
      <c r="K233" s="115"/>
      <c r="L233" s="115"/>
      <c r="M233" s="114" t="s">
        <v>39</v>
      </c>
      <c r="N233" s="114" t="s">
        <v>2268</v>
      </c>
      <c r="O233" s="115"/>
      <c r="P233" s="115"/>
      <c r="Q233" s="115"/>
      <c r="R233" s="114" t="s">
        <v>2384</v>
      </c>
      <c r="S233" s="114">
        <v>260.0</v>
      </c>
      <c r="T233" s="116" t="s">
        <v>3217</v>
      </c>
      <c r="U233" s="115"/>
      <c r="V233" s="114" t="s">
        <v>123</v>
      </c>
      <c r="W233" s="115"/>
      <c r="X233" s="115"/>
      <c r="Y233" s="115"/>
      <c r="Z233" s="115"/>
      <c r="AA233" s="114" t="s">
        <v>199</v>
      </c>
      <c r="AB233" s="115"/>
      <c r="AC233" s="115"/>
    </row>
    <row r="234">
      <c r="A234" s="113" t="s">
        <v>3218</v>
      </c>
      <c r="B234" s="114" t="s">
        <v>672</v>
      </c>
      <c r="C234" s="114" t="s">
        <v>103</v>
      </c>
      <c r="D234" s="115"/>
      <c r="E234" s="114" t="s">
        <v>2486</v>
      </c>
      <c r="F234" s="114" t="s">
        <v>78</v>
      </c>
      <c r="G234" s="114" t="s">
        <v>78</v>
      </c>
      <c r="H234" s="114" t="s">
        <v>2001</v>
      </c>
      <c r="I234" s="115"/>
      <c r="J234" s="115"/>
      <c r="K234" s="115"/>
      <c r="L234" s="115"/>
      <c r="M234" s="115"/>
      <c r="N234" s="114" t="s">
        <v>70</v>
      </c>
      <c r="O234" s="115"/>
      <c r="P234" s="115"/>
      <c r="Q234" s="115"/>
      <c r="R234" s="114" t="s">
        <v>2384</v>
      </c>
      <c r="S234" s="114">
        <v>260.0</v>
      </c>
      <c r="T234" s="116" t="s">
        <v>3219</v>
      </c>
      <c r="U234" s="115"/>
      <c r="V234" s="115"/>
      <c r="W234" s="115"/>
      <c r="X234" s="114" t="s">
        <v>3215</v>
      </c>
      <c r="Y234" s="114" t="s">
        <v>3220</v>
      </c>
      <c r="Z234" s="115"/>
      <c r="AA234" s="114" t="s">
        <v>199</v>
      </c>
      <c r="AB234" s="114" t="s">
        <v>75</v>
      </c>
      <c r="AC234" s="114" t="s">
        <v>250</v>
      </c>
    </row>
    <row r="235">
      <c r="A235" s="113" t="s">
        <v>3221</v>
      </c>
      <c r="B235" s="114" t="s">
        <v>1452</v>
      </c>
      <c r="C235" s="114" t="s">
        <v>183</v>
      </c>
      <c r="D235" s="115"/>
      <c r="E235" s="114" t="s">
        <v>2380</v>
      </c>
      <c r="F235" s="114" t="s">
        <v>2214</v>
      </c>
      <c r="G235" s="115"/>
      <c r="H235" s="114" t="s">
        <v>2001</v>
      </c>
      <c r="I235" s="114" t="s">
        <v>2018</v>
      </c>
      <c r="J235" s="115"/>
      <c r="K235" s="115"/>
      <c r="L235" s="115"/>
      <c r="M235" s="114" t="s">
        <v>39</v>
      </c>
      <c r="N235" s="114" t="s">
        <v>2222</v>
      </c>
      <c r="O235" s="114" t="s">
        <v>2401</v>
      </c>
      <c r="P235" s="115"/>
      <c r="Q235" s="115"/>
      <c r="R235" s="114" t="s">
        <v>2384</v>
      </c>
      <c r="S235" s="114">
        <v>261.0</v>
      </c>
      <c r="T235" s="116" t="s">
        <v>3222</v>
      </c>
      <c r="U235" s="114" t="s">
        <v>2508</v>
      </c>
      <c r="V235" s="114" t="s">
        <v>123</v>
      </c>
      <c r="W235" s="114" t="s">
        <v>2539</v>
      </c>
      <c r="X235" s="115"/>
      <c r="Y235" s="115"/>
      <c r="Z235" s="115"/>
      <c r="AA235" s="114" t="s">
        <v>199</v>
      </c>
      <c r="AB235" s="115"/>
      <c r="AC235" s="115"/>
    </row>
    <row r="236">
      <c r="A236" s="113" t="s">
        <v>3223</v>
      </c>
      <c r="B236" s="114" t="s">
        <v>672</v>
      </c>
      <c r="C236" s="114" t="s">
        <v>76</v>
      </c>
      <c r="D236" s="115"/>
      <c r="E236" s="114" t="s">
        <v>2380</v>
      </c>
      <c r="F236" s="114" t="s">
        <v>2223</v>
      </c>
      <c r="G236" s="114" t="s">
        <v>3224</v>
      </c>
      <c r="H236" s="114" t="s">
        <v>2001</v>
      </c>
      <c r="I236" s="114" t="s">
        <v>2018</v>
      </c>
      <c r="J236" s="114" t="s">
        <v>2312</v>
      </c>
      <c r="K236" s="114" t="s">
        <v>3225</v>
      </c>
      <c r="L236" s="115"/>
      <c r="M236" s="114" t="s">
        <v>39</v>
      </c>
      <c r="N236" s="114" t="s">
        <v>2222</v>
      </c>
      <c r="O236" s="114" t="s">
        <v>2526</v>
      </c>
      <c r="P236" s="114" t="s">
        <v>2026</v>
      </c>
      <c r="Q236" s="114" t="s">
        <v>3031</v>
      </c>
      <c r="R236" s="114" t="s">
        <v>2384</v>
      </c>
      <c r="S236" s="114">
        <v>261.0</v>
      </c>
      <c r="T236" s="116" t="s">
        <v>3226</v>
      </c>
      <c r="U236" s="114" t="s">
        <v>2555</v>
      </c>
      <c r="V236" s="115"/>
      <c r="W236" s="115"/>
      <c r="X236" s="114" t="s">
        <v>130</v>
      </c>
      <c r="Y236" s="114" t="s">
        <v>2617</v>
      </c>
      <c r="Z236" s="115"/>
      <c r="AA236" s="115"/>
      <c r="AB236" s="115"/>
      <c r="AC236" s="115"/>
    </row>
    <row r="237">
      <c r="A237" s="113" t="s">
        <v>3227</v>
      </c>
      <c r="B237" s="114" t="s">
        <v>1223</v>
      </c>
      <c r="C237" s="114" t="s">
        <v>103</v>
      </c>
      <c r="D237" s="115"/>
      <c r="E237" s="114" t="s">
        <v>2380</v>
      </c>
      <c r="F237" s="114" t="s">
        <v>2214</v>
      </c>
      <c r="G237" s="115"/>
      <c r="H237" s="114" t="s">
        <v>2001</v>
      </c>
      <c r="I237" s="114" t="s">
        <v>2018</v>
      </c>
      <c r="J237" s="114" t="s">
        <v>2312</v>
      </c>
      <c r="K237" s="114" t="s">
        <v>3228</v>
      </c>
      <c r="L237" s="115"/>
      <c r="M237" s="115"/>
      <c r="N237" s="114" t="s">
        <v>1008</v>
      </c>
      <c r="O237" s="115"/>
      <c r="P237" s="114" t="s">
        <v>2106</v>
      </c>
      <c r="Q237" s="114" t="s">
        <v>3120</v>
      </c>
      <c r="R237" s="114" t="s">
        <v>2384</v>
      </c>
      <c r="S237" s="114">
        <v>261.0</v>
      </c>
      <c r="T237" s="116" t="s">
        <v>3229</v>
      </c>
      <c r="U237" s="115"/>
      <c r="V237" s="115"/>
      <c r="W237" s="115"/>
      <c r="X237" s="115"/>
      <c r="Y237" s="115"/>
      <c r="Z237" s="115"/>
      <c r="AA237" s="114" t="s">
        <v>199</v>
      </c>
      <c r="AB237" s="115"/>
      <c r="AC237" s="115"/>
    </row>
    <row r="238">
      <c r="A238" s="113" t="s">
        <v>3230</v>
      </c>
      <c r="B238" s="114" t="s">
        <v>1709</v>
      </c>
      <c r="C238" s="114" t="s">
        <v>103</v>
      </c>
      <c r="D238" s="115"/>
      <c r="E238" s="114" t="s">
        <v>2222</v>
      </c>
      <c r="F238" s="114" t="s">
        <v>2675</v>
      </c>
      <c r="G238" s="115"/>
      <c r="H238" s="114" t="s">
        <v>2001</v>
      </c>
      <c r="I238" s="114" t="s">
        <v>2018</v>
      </c>
      <c r="J238" s="114" t="s">
        <v>2312</v>
      </c>
      <c r="K238" s="114" t="s">
        <v>3231</v>
      </c>
      <c r="L238" s="114" t="s">
        <v>3232</v>
      </c>
      <c r="M238" s="115"/>
      <c r="N238" s="114" t="s">
        <v>347</v>
      </c>
      <c r="O238" s="115"/>
      <c r="P238" s="115"/>
      <c r="Q238" s="115"/>
      <c r="R238" s="114" t="s">
        <v>2384</v>
      </c>
      <c r="S238" s="114">
        <v>261.0</v>
      </c>
      <c r="T238" s="116" t="s">
        <v>3233</v>
      </c>
      <c r="U238" s="115"/>
      <c r="V238" s="114" t="s">
        <v>123</v>
      </c>
      <c r="W238" s="115"/>
      <c r="X238" s="115"/>
      <c r="Y238" s="115"/>
      <c r="Z238" s="115"/>
      <c r="AA238" s="114" t="s">
        <v>199</v>
      </c>
      <c r="AB238" s="115"/>
      <c r="AC238" s="115"/>
    </row>
    <row r="239">
      <c r="A239" s="113" t="s">
        <v>3234</v>
      </c>
      <c r="B239" s="114" t="s">
        <v>1223</v>
      </c>
      <c r="C239" s="114" t="s">
        <v>178</v>
      </c>
      <c r="D239" s="115"/>
      <c r="E239" s="114" t="s">
        <v>134</v>
      </c>
      <c r="F239" s="114" t="s">
        <v>2223</v>
      </c>
      <c r="G239" s="114" t="s">
        <v>3235</v>
      </c>
      <c r="H239" s="114" t="s">
        <v>2001</v>
      </c>
      <c r="I239" s="114" t="s">
        <v>2018</v>
      </c>
      <c r="J239" s="114" t="s">
        <v>2312</v>
      </c>
      <c r="K239" s="114" t="s">
        <v>3236</v>
      </c>
      <c r="L239" s="115"/>
      <c r="M239" s="115"/>
      <c r="N239" s="114" t="s">
        <v>347</v>
      </c>
      <c r="O239" s="115"/>
      <c r="P239" s="115"/>
      <c r="Q239" s="115"/>
      <c r="R239" s="114" t="s">
        <v>2384</v>
      </c>
      <c r="S239" s="114">
        <v>262.0</v>
      </c>
      <c r="T239" s="116" t="s">
        <v>3237</v>
      </c>
      <c r="U239" s="114" t="s">
        <v>3238</v>
      </c>
      <c r="V239" s="115"/>
      <c r="W239" s="115"/>
      <c r="X239" s="115"/>
      <c r="Y239" s="115"/>
      <c r="Z239" s="115"/>
      <c r="AA239" s="114" t="s">
        <v>199</v>
      </c>
      <c r="AB239" s="115"/>
      <c r="AC239" s="115"/>
    </row>
    <row r="240">
      <c r="A240" s="113" t="s">
        <v>3239</v>
      </c>
      <c r="B240" s="114" t="s">
        <v>1709</v>
      </c>
      <c r="C240" s="114" t="s">
        <v>76</v>
      </c>
      <c r="D240" s="115"/>
      <c r="E240" s="114" t="s">
        <v>2380</v>
      </c>
      <c r="F240" s="114" t="s">
        <v>1174</v>
      </c>
      <c r="G240" s="115"/>
      <c r="H240" s="114" t="s">
        <v>2001</v>
      </c>
      <c r="I240" s="114" t="s">
        <v>2018</v>
      </c>
      <c r="J240" s="114" t="s">
        <v>2312</v>
      </c>
      <c r="K240" s="114" t="s">
        <v>3240</v>
      </c>
      <c r="L240" s="114" t="s">
        <v>3241</v>
      </c>
      <c r="M240" s="114" t="s">
        <v>39</v>
      </c>
      <c r="N240" s="114" t="s">
        <v>2222</v>
      </c>
      <c r="O240" s="114" t="s">
        <v>2900</v>
      </c>
      <c r="P240" s="114" t="s">
        <v>2076</v>
      </c>
      <c r="Q240" s="114" t="s">
        <v>2553</v>
      </c>
      <c r="R240" s="114" t="s">
        <v>2384</v>
      </c>
      <c r="S240" s="114">
        <v>262.0</v>
      </c>
      <c r="T240" s="116" t="s">
        <v>3242</v>
      </c>
      <c r="U240" s="115"/>
      <c r="V240" s="114" t="s">
        <v>123</v>
      </c>
      <c r="W240" s="115"/>
      <c r="X240" s="115"/>
      <c r="Y240" s="115"/>
      <c r="Z240" s="115"/>
      <c r="AA240" s="114" t="s">
        <v>199</v>
      </c>
      <c r="AB240" s="115"/>
      <c r="AC240" s="115"/>
    </row>
    <row r="241">
      <c r="A241" s="113" t="s">
        <v>3243</v>
      </c>
      <c r="B241" s="114" t="s">
        <v>1594</v>
      </c>
      <c r="C241" s="114" t="s">
        <v>85</v>
      </c>
      <c r="D241" s="115"/>
      <c r="E241" s="114" t="s">
        <v>2380</v>
      </c>
      <c r="F241" s="114" t="s">
        <v>2223</v>
      </c>
      <c r="G241" s="114" t="s">
        <v>3244</v>
      </c>
      <c r="H241" s="114" t="s">
        <v>2001</v>
      </c>
      <c r="I241" s="114" t="s">
        <v>2018</v>
      </c>
      <c r="J241" s="114" t="s">
        <v>2312</v>
      </c>
      <c r="K241" s="114" t="s">
        <v>3245</v>
      </c>
      <c r="L241" s="115"/>
      <c r="M241" s="114" t="s">
        <v>39</v>
      </c>
      <c r="N241" s="114" t="s">
        <v>3246</v>
      </c>
      <c r="O241" s="115"/>
      <c r="P241" s="115"/>
      <c r="Q241" s="115"/>
      <c r="R241" s="114" t="s">
        <v>2384</v>
      </c>
      <c r="S241" s="114">
        <v>263.0</v>
      </c>
      <c r="T241" s="116" t="s">
        <v>3247</v>
      </c>
      <c r="U241" s="115"/>
      <c r="V241" s="115"/>
      <c r="W241" s="115"/>
      <c r="X241" s="114" t="s">
        <v>130</v>
      </c>
      <c r="Y241" s="115"/>
      <c r="Z241" s="115"/>
      <c r="AA241" s="114" t="s">
        <v>199</v>
      </c>
      <c r="AB241" s="114" t="s">
        <v>75</v>
      </c>
      <c r="AC241" s="115"/>
    </row>
    <row r="242">
      <c r="A242" s="113" t="s">
        <v>3248</v>
      </c>
      <c r="B242" s="114" t="s">
        <v>945</v>
      </c>
      <c r="C242" s="114" t="s">
        <v>178</v>
      </c>
      <c r="D242" s="115"/>
      <c r="E242" s="114" t="s">
        <v>2380</v>
      </c>
      <c r="F242" s="114" t="s">
        <v>71</v>
      </c>
      <c r="G242" s="114" t="s">
        <v>3249</v>
      </c>
      <c r="H242" s="114" t="s">
        <v>2001</v>
      </c>
      <c r="I242" s="114" t="s">
        <v>2018</v>
      </c>
      <c r="J242" s="114" t="s">
        <v>2312</v>
      </c>
      <c r="K242" s="114" t="s">
        <v>2984</v>
      </c>
      <c r="L242" s="114" t="s">
        <v>2445</v>
      </c>
      <c r="M242" s="115"/>
      <c r="N242" s="114" t="s">
        <v>1008</v>
      </c>
      <c r="O242" s="115"/>
      <c r="P242" s="115"/>
      <c r="Q242" s="115"/>
      <c r="R242" s="114" t="s">
        <v>2384</v>
      </c>
      <c r="S242" s="114">
        <v>263.0</v>
      </c>
      <c r="T242" s="116" t="s">
        <v>3250</v>
      </c>
      <c r="U242" s="115"/>
      <c r="V242" s="114" t="s">
        <v>123</v>
      </c>
      <c r="W242" s="114" t="s">
        <v>2438</v>
      </c>
      <c r="X242" s="115"/>
      <c r="Y242" s="115"/>
      <c r="Z242" s="114" t="s">
        <v>443</v>
      </c>
      <c r="AA242" s="114" t="s">
        <v>199</v>
      </c>
      <c r="AB242" s="115"/>
      <c r="AC242" s="115"/>
    </row>
    <row r="243">
      <c r="A243" s="113" t="s">
        <v>3251</v>
      </c>
      <c r="B243" s="114" t="s">
        <v>672</v>
      </c>
      <c r="C243" s="114" t="s">
        <v>65</v>
      </c>
      <c r="D243" s="115"/>
      <c r="E243" s="114" t="s">
        <v>2380</v>
      </c>
      <c r="F243" s="114" t="s">
        <v>71</v>
      </c>
      <c r="G243" s="114" t="s">
        <v>2813</v>
      </c>
      <c r="H243" s="114" t="s">
        <v>2001</v>
      </c>
      <c r="I243" s="114" t="s">
        <v>2018</v>
      </c>
      <c r="J243" s="114" t="s">
        <v>2312</v>
      </c>
      <c r="K243" s="114" t="s">
        <v>3252</v>
      </c>
      <c r="L243" s="115"/>
      <c r="M243" s="115"/>
      <c r="N243" s="114" t="s">
        <v>347</v>
      </c>
      <c r="O243" s="115"/>
      <c r="P243" s="115"/>
      <c r="Q243" s="115"/>
      <c r="R243" s="114" t="s">
        <v>2384</v>
      </c>
      <c r="S243" s="114">
        <v>263.0</v>
      </c>
      <c r="T243" s="116" t="s">
        <v>3253</v>
      </c>
      <c r="U243" s="115"/>
      <c r="V243" s="115"/>
      <c r="W243" s="115"/>
      <c r="X243" s="115"/>
      <c r="Y243" s="115"/>
      <c r="Z243" s="115"/>
      <c r="AA243" s="114" t="s">
        <v>199</v>
      </c>
      <c r="AB243" s="115"/>
      <c r="AC243" s="115"/>
    </row>
    <row r="244">
      <c r="A244" s="113" t="s">
        <v>3254</v>
      </c>
      <c r="B244" s="114" t="s">
        <v>1594</v>
      </c>
      <c r="C244" s="114" t="s">
        <v>76</v>
      </c>
      <c r="D244" s="115"/>
      <c r="E244" s="114" t="s">
        <v>2380</v>
      </c>
      <c r="F244" s="114" t="s">
        <v>2675</v>
      </c>
      <c r="G244" s="114" t="s">
        <v>2581</v>
      </c>
      <c r="H244" s="114" t="s">
        <v>2001</v>
      </c>
      <c r="I244" s="114" t="s">
        <v>2018</v>
      </c>
      <c r="J244" s="114" t="s">
        <v>2312</v>
      </c>
      <c r="K244" s="114" t="s">
        <v>3255</v>
      </c>
      <c r="L244" s="115"/>
      <c r="M244" s="115"/>
      <c r="N244" s="114" t="s">
        <v>70</v>
      </c>
      <c r="O244" s="114" t="s">
        <v>2526</v>
      </c>
      <c r="P244" s="114" t="s">
        <v>2066</v>
      </c>
      <c r="Q244" s="114" t="s">
        <v>3256</v>
      </c>
      <c r="R244" s="114" t="s">
        <v>2384</v>
      </c>
      <c r="S244" s="114">
        <v>263.0</v>
      </c>
      <c r="T244" s="116" t="s">
        <v>3257</v>
      </c>
      <c r="U244" s="114" t="s">
        <v>2545</v>
      </c>
      <c r="V244" s="115"/>
      <c r="W244" s="115"/>
      <c r="X244" s="115"/>
      <c r="Y244" s="115"/>
      <c r="Z244" s="115"/>
      <c r="AA244" s="114" t="s">
        <v>199</v>
      </c>
      <c r="AB244" s="115"/>
      <c r="AC244" s="115"/>
    </row>
    <row r="245">
      <c r="A245" s="113" t="s">
        <v>3258</v>
      </c>
      <c r="B245" s="114" t="s">
        <v>1223</v>
      </c>
      <c r="C245" s="114" t="s">
        <v>76</v>
      </c>
      <c r="D245" s="115"/>
      <c r="E245" s="114" t="s">
        <v>2380</v>
      </c>
      <c r="F245" s="114" t="s">
        <v>2214</v>
      </c>
      <c r="G245" s="114" t="s">
        <v>2813</v>
      </c>
      <c r="H245" s="114" t="s">
        <v>2001</v>
      </c>
      <c r="I245" s="114" t="s">
        <v>2018</v>
      </c>
      <c r="J245" s="114" t="s">
        <v>2312</v>
      </c>
      <c r="K245" s="114" t="s">
        <v>3259</v>
      </c>
      <c r="L245" s="115"/>
      <c r="M245" s="114" t="s">
        <v>39</v>
      </c>
      <c r="N245" s="114" t="s">
        <v>2222</v>
      </c>
      <c r="O245" s="114" t="s">
        <v>2382</v>
      </c>
      <c r="P245" s="115"/>
      <c r="Q245" s="115"/>
      <c r="R245" s="114" t="s">
        <v>2384</v>
      </c>
      <c r="S245" s="114">
        <v>264.0</v>
      </c>
      <c r="T245" s="116" t="s">
        <v>3260</v>
      </c>
      <c r="U245" s="115"/>
      <c r="V245" s="115"/>
      <c r="W245" s="115"/>
      <c r="X245" s="115"/>
      <c r="Y245" s="115"/>
      <c r="Z245" s="115"/>
      <c r="AA245" s="114" t="s">
        <v>199</v>
      </c>
      <c r="AB245" s="115"/>
      <c r="AC245" s="115"/>
    </row>
    <row r="246">
      <c r="A246" s="113" t="s">
        <v>3261</v>
      </c>
      <c r="B246" s="114" t="s">
        <v>1594</v>
      </c>
      <c r="C246" s="114" t="s">
        <v>183</v>
      </c>
      <c r="D246" s="115"/>
      <c r="E246" s="114" t="s">
        <v>2380</v>
      </c>
      <c r="F246" s="114" t="s">
        <v>2214</v>
      </c>
      <c r="G246" s="114" t="s">
        <v>2506</v>
      </c>
      <c r="H246" s="114" t="s">
        <v>2001</v>
      </c>
      <c r="I246" s="115"/>
      <c r="J246" s="115"/>
      <c r="K246" s="115"/>
      <c r="L246" s="115"/>
      <c r="M246" s="114" t="s">
        <v>39</v>
      </c>
      <c r="N246" s="114" t="s">
        <v>2222</v>
      </c>
      <c r="O246" s="115"/>
      <c r="P246" s="115"/>
      <c r="Q246" s="115"/>
      <c r="R246" s="114" t="s">
        <v>2384</v>
      </c>
      <c r="S246" s="114">
        <v>264.0</v>
      </c>
      <c r="T246" s="116" t="s">
        <v>3262</v>
      </c>
      <c r="U246" s="115"/>
      <c r="V246" s="114" t="s">
        <v>123</v>
      </c>
      <c r="W246" s="115"/>
      <c r="X246" s="115"/>
      <c r="Y246" s="115"/>
      <c r="Z246" s="115"/>
      <c r="AA246" s="114" t="s">
        <v>199</v>
      </c>
      <c r="AB246" s="115"/>
      <c r="AC246" s="115"/>
    </row>
    <row r="247">
      <c r="A247" s="113" t="s">
        <v>3263</v>
      </c>
      <c r="B247" s="114" t="s">
        <v>672</v>
      </c>
      <c r="C247" s="114" t="s">
        <v>178</v>
      </c>
      <c r="D247" s="115"/>
      <c r="E247" s="114" t="s">
        <v>2380</v>
      </c>
      <c r="F247" s="114" t="s">
        <v>78</v>
      </c>
      <c r="G247" s="114" t="s">
        <v>3264</v>
      </c>
      <c r="H247" s="114" t="s">
        <v>2001</v>
      </c>
      <c r="I247" s="114" t="s">
        <v>2018</v>
      </c>
      <c r="J247" s="114" t="s">
        <v>2312</v>
      </c>
      <c r="K247" s="114" t="s">
        <v>3265</v>
      </c>
      <c r="L247" s="115"/>
      <c r="M247" s="114" t="s">
        <v>39</v>
      </c>
      <c r="N247" s="114" t="s">
        <v>2268</v>
      </c>
      <c r="O247" s="115"/>
      <c r="P247" s="115"/>
      <c r="Q247" s="115"/>
      <c r="R247" s="114" t="s">
        <v>2384</v>
      </c>
      <c r="S247" s="114">
        <v>264.0</v>
      </c>
      <c r="T247" s="116" t="s">
        <v>3266</v>
      </c>
      <c r="U247" s="115"/>
      <c r="V247" s="115"/>
      <c r="W247" s="114" t="s">
        <v>2539</v>
      </c>
      <c r="X247" s="114" t="s">
        <v>130</v>
      </c>
      <c r="Y247" s="115"/>
      <c r="Z247" s="114" t="s">
        <v>443</v>
      </c>
      <c r="AA247" s="115"/>
      <c r="AB247" s="115"/>
      <c r="AC247" s="115"/>
    </row>
    <row r="248">
      <c r="A248" s="113" t="s">
        <v>3267</v>
      </c>
      <c r="B248" s="114" t="s">
        <v>1452</v>
      </c>
      <c r="C248" s="114" t="s">
        <v>85</v>
      </c>
      <c r="D248" s="115"/>
      <c r="E248" s="114" t="s">
        <v>2380</v>
      </c>
      <c r="F248" s="114" t="s">
        <v>2214</v>
      </c>
      <c r="G248" s="115"/>
      <c r="H248" s="114" t="s">
        <v>2001</v>
      </c>
      <c r="I248" s="114" t="s">
        <v>2018</v>
      </c>
      <c r="J248" s="114" t="s">
        <v>2312</v>
      </c>
      <c r="K248" s="114" t="s">
        <v>3268</v>
      </c>
      <c r="L248" s="115"/>
      <c r="M248" s="115"/>
      <c r="N248" s="114" t="s">
        <v>2268</v>
      </c>
      <c r="O248" s="115"/>
      <c r="P248" s="115"/>
      <c r="Q248" s="115"/>
      <c r="R248" s="114" t="s">
        <v>2384</v>
      </c>
      <c r="S248" s="114">
        <v>264.0</v>
      </c>
      <c r="T248" s="116" t="s">
        <v>3269</v>
      </c>
      <c r="U248" s="115"/>
      <c r="V248" s="115"/>
      <c r="W248" s="115"/>
      <c r="X248" s="114" t="s">
        <v>3128</v>
      </c>
      <c r="Y248" s="115"/>
      <c r="Z248" s="115"/>
      <c r="AA248" s="114" t="s">
        <v>199</v>
      </c>
      <c r="AB248" s="115"/>
      <c r="AC248" s="115"/>
    </row>
    <row r="249">
      <c r="A249" s="113" t="s">
        <v>3270</v>
      </c>
      <c r="B249" s="114" t="s">
        <v>672</v>
      </c>
      <c r="C249" s="114" t="s">
        <v>65</v>
      </c>
      <c r="D249" s="115"/>
      <c r="E249" s="114" t="s">
        <v>2380</v>
      </c>
      <c r="F249" s="114" t="s">
        <v>1174</v>
      </c>
      <c r="G249" s="114" t="s">
        <v>2506</v>
      </c>
      <c r="H249" s="114" t="s">
        <v>2001</v>
      </c>
      <c r="I249" s="114" t="s">
        <v>2018</v>
      </c>
      <c r="J249" s="114" t="s">
        <v>2312</v>
      </c>
      <c r="K249" s="114" t="s">
        <v>3168</v>
      </c>
      <c r="L249" s="115"/>
      <c r="M249" s="114" t="s">
        <v>39</v>
      </c>
      <c r="N249" s="114" t="s">
        <v>2222</v>
      </c>
      <c r="O249" s="114" t="s">
        <v>3271</v>
      </c>
      <c r="P249" s="115"/>
      <c r="Q249" s="115"/>
      <c r="R249" s="114" t="s">
        <v>2384</v>
      </c>
      <c r="S249" s="114">
        <v>264.0</v>
      </c>
      <c r="T249" s="116" t="s">
        <v>3272</v>
      </c>
      <c r="U249" s="115"/>
      <c r="V249" s="114" t="s">
        <v>123</v>
      </c>
      <c r="W249" s="115"/>
      <c r="X249" s="115"/>
      <c r="Y249" s="115"/>
      <c r="Z249" s="115"/>
      <c r="AA249" s="114" t="s">
        <v>199</v>
      </c>
      <c r="AB249" s="114" t="s">
        <v>75</v>
      </c>
      <c r="AC249" s="115"/>
    </row>
    <row r="250">
      <c r="A250" s="113" t="s">
        <v>3273</v>
      </c>
      <c r="B250" s="114" t="s">
        <v>1223</v>
      </c>
      <c r="C250" s="114" t="s">
        <v>65</v>
      </c>
      <c r="D250" s="115"/>
      <c r="E250" s="114" t="s">
        <v>2380</v>
      </c>
      <c r="F250" s="114" t="s">
        <v>2223</v>
      </c>
      <c r="G250" s="114" t="s">
        <v>2506</v>
      </c>
      <c r="H250" s="114" t="s">
        <v>2001</v>
      </c>
      <c r="I250" s="114" t="s">
        <v>2018</v>
      </c>
      <c r="J250" s="115"/>
      <c r="K250" s="115"/>
      <c r="L250" s="115"/>
      <c r="M250" s="114" t="s">
        <v>39</v>
      </c>
      <c r="N250" s="114" t="s">
        <v>2222</v>
      </c>
      <c r="O250" s="114" t="s">
        <v>2401</v>
      </c>
      <c r="P250" s="114" t="s">
        <v>2052</v>
      </c>
      <c r="Q250" s="114" t="s">
        <v>3086</v>
      </c>
      <c r="R250" s="114" t="s">
        <v>2384</v>
      </c>
      <c r="S250" s="114">
        <v>265.0</v>
      </c>
      <c r="T250" s="116" t="s">
        <v>3274</v>
      </c>
      <c r="U250" s="114" t="s">
        <v>2555</v>
      </c>
      <c r="V250" s="115"/>
      <c r="W250" s="115"/>
      <c r="X250" s="115"/>
      <c r="Y250" s="115"/>
      <c r="Z250" s="115"/>
      <c r="AA250" s="114" t="s">
        <v>199</v>
      </c>
      <c r="AB250" s="115"/>
      <c r="AC250" s="115"/>
    </row>
    <row r="251">
      <c r="A251" s="113" t="s">
        <v>3275</v>
      </c>
      <c r="B251" s="114" t="s">
        <v>945</v>
      </c>
      <c r="C251" s="114" t="s">
        <v>65</v>
      </c>
      <c r="D251" s="114" t="s">
        <v>28</v>
      </c>
      <c r="E251" s="114" t="s">
        <v>2222</v>
      </c>
      <c r="F251" s="114" t="s">
        <v>2214</v>
      </c>
      <c r="G251" s="115"/>
      <c r="H251" s="114" t="s">
        <v>2001</v>
      </c>
      <c r="I251" s="114" t="s">
        <v>2018</v>
      </c>
      <c r="J251" s="115"/>
      <c r="K251" s="115"/>
      <c r="L251" s="115"/>
      <c r="M251" s="115"/>
      <c r="N251" s="114" t="s">
        <v>2268</v>
      </c>
      <c r="O251" s="115"/>
      <c r="P251" s="115"/>
      <c r="Q251" s="115"/>
      <c r="R251" s="114" t="s">
        <v>2384</v>
      </c>
      <c r="S251" s="114">
        <v>265.0</v>
      </c>
      <c r="T251" s="116" t="s">
        <v>3276</v>
      </c>
      <c r="U251" s="115"/>
      <c r="V251" s="115"/>
      <c r="W251" s="115"/>
      <c r="X251" s="115"/>
      <c r="Y251" s="115"/>
      <c r="Z251" s="115"/>
      <c r="AA251" s="114" t="s">
        <v>199</v>
      </c>
      <c r="AB251" s="115"/>
      <c r="AC251" s="115"/>
    </row>
    <row r="252">
      <c r="A252" s="113" t="s">
        <v>3277</v>
      </c>
      <c r="B252" s="114" t="s">
        <v>1594</v>
      </c>
      <c r="C252" s="114" t="s">
        <v>103</v>
      </c>
      <c r="D252" s="115"/>
      <c r="E252" s="114" t="s">
        <v>134</v>
      </c>
      <c r="F252" s="114" t="s">
        <v>1174</v>
      </c>
      <c r="G252" s="115"/>
      <c r="H252" s="114" t="s">
        <v>2001</v>
      </c>
      <c r="I252" s="114" t="s">
        <v>2018</v>
      </c>
      <c r="J252" s="115"/>
      <c r="K252" s="115"/>
      <c r="L252" s="115"/>
      <c r="M252" s="115"/>
      <c r="N252" s="114" t="s">
        <v>70</v>
      </c>
      <c r="O252" s="115"/>
      <c r="P252" s="115"/>
      <c r="Q252" s="115"/>
      <c r="R252" s="114" t="s">
        <v>2384</v>
      </c>
      <c r="S252" s="114">
        <v>265.0</v>
      </c>
      <c r="T252" s="116" t="s">
        <v>3278</v>
      </c>
      <c r="U252" s="115"/>
      <c r="V252" s="115"/>
      <c r="W252" s="114" t="s">
        <v>108</v>
      </c>
      <c r="X252" s="115"/>
      <c r="Y252" s="115"/>
      <c r="Z252" s="115"/>
      <c r="AA252" s="115"/>
      <c r="AB252" s="115"/>
      <c r="AC252" s="115"/>
    </row>
    <row r="253">
      <c r="A253" s="113" t="s">
        <v>3279</v>
      </c>
      <c r="B253" s="114" t="s">
        <v>1452</v>
      </c>
      <c r="C253" s="114" t="s">
        <v>178</v>
      </c>
      <c r="D253" s="115"/>
      <c r="E253" s="114" t="s">
        <v>2268</v>
      </c>
      <c r="F253" s="114" t="s">
        <v>1174</v>
      </c>
      <c r="G253" s="114" t="s">
        <v>3280</v>
      </c>
      <c r="H253" s="114" t="s">
        <v>2001</v>
      </c>
      <c r="I253" s="114" t="s">
        <v>2018</v>
      </c>
      <c r="J253" s="114" t="s">
        <v>2312</v>
      </c>
      <c r="K253" s="114" t="s">
        <v>3281</v>
      </c>
      <c r="L253" s="114" t="s">
        <v>2476</v>
      </c>
      <c r="M253" s="115"/>
      <c r="N253" s="114" t="s">
        <v>347</v>
      </c>
      <c r="O253" s="114" t="s">
        <v>2481</v>
      </c>
      <c r="P253" s="115"/>
      <c r="Q253" s="115"/>
      <c r="R253" s="114" t="s">
        <v>2384</v>
      </c>
      <c r="S253" s="114">
        <v>265.0</v>
      </c>
      <c r="T253" s="116" t="s">
        <v>3282</v>
      </c>
      <c r="U253" s="114" t="s">
        <v>2508</v>
      </c>
      <c r="V253" s="114" t="s">
        <v>123</v>
      </c>
      <c r="W253" s="114" t="s">
        <v>108</v>
      </c>
      <c r="X253" s="114" t="s">
        <v>130</v>
      </c>
      <c r="Y253" s="115"/>
      <c r="Z253" s="115"/>
      <c r="AA253" s="114" t="s">
        <v>199</v>
      </c>
      <c r="AB253" s="115"/>
      <c r="AC253" s="115"/>
    </row>
    <row r="254">
      <c r="A254" s="113" t="s">
        <v>3283</v>
      </c>
      <c r="B254" s="114" t="s">
        <v>1709</v>
      </c>
      <c r="C254" s="114" t="s">
        <v>103</v>
      </c>
      <c r="D254" s="115"/>
      <c r="E254" s="114" t="s">
        <v>2380</v>
      </c>
      <c r="F254" s="114" t="s">
        <v>71</v>
      </c>
      <c r="G254" s="114" t="s">
        <v>3284</v>
      </c>
      <c r="H254" s="114" t="s">
        <v>2001</v>
      </c>
      <c r="I254" s="114" t="s">
        <v>2018</v>
      </c>
      <c r="J254" s="114" t="s">
        <v>2312</v>
      </c>
      <c r="K254" s="114" t="s">
        <v>3285</v>
      </c>
      <c r="L254" s="114" t="s">
        <v>3241</v>
      </c>
      <c r="M254" s="115"/>
      <c r="N254" s="114" t="s">
        <v>70</v>
      </c>
      <c r="O254" s="114" t="s">
        <v>3286</v>
      </c>
      <c r="P254" s="115"/>
      <c r="Q254" s="115"/>
      <c r="R254" s="114" t="s">
        <v>2384</v>
      </c>
      <c r="S254" s="114">
        <v>266.0</v>
      </c>
      <c r="T254" s="116" t="s">
        <v>3287</v>
      </c>
      <c r="U254" s="115"/>
      <c r="V254" s="115"/>
      <c r="W254" s="114" t="s">
        <v>108</v>
      </c>
      <c r="X254" s="114" t="s">
        <v>130</v>
      </c>
      <c r="Y254" s="115"/>
      <c r="Z254" s="115"/>
      <c r="AA254" s="114" t="s">
        <v>199</v>
      </c>
      <c r="AB254" s="114" t="s">
        <v>75</v>
      </c>
      <c r="AC254" s="114" t="s">
        <v>250</v>
      </c>
    </row>
    <row r="255">
      <c r="A255" s="113" t="s">
        <v>3288</v>
      </c>
      <c r="B255" s="114" t="s">
        <v>945</v>
      </c>
      <c r="C255" s="114" t="s">
        <v>85</v>
      </c>
      <c r="D255" s="115"/>
      <c r="E255" s="114" t="s">
        <v>3289</v>
      </c>
      <c r="F255" s="114" t="s">
        <v>2561</v>
      </c>
      <c r="G255" s="114" t="s">
        <v>3290</v>
      </c>
      <c r="H255" s="114" t="s">
        <v>2001</v>
      </c>
      <c r="I255" s="114" t="s">
        <v>2018</v>
      </c>
      <c r="J255" s="115"/>
      <c r="K255" s="115"/>
      <c r="L255" s="115"/>
      <c r="M255" s="115"/>
      <c r="N255" s="114" t="s">
        <v>70</v>
      </c>
      <c r="O255" s="115"/>
      <c r="P255" s="115"/>
      <c r="Q255" s="115"/>
      <c r="R255" s="114" t="s">
        <v>2384</v>
      </c>
      <c r="S255" s="114">
        <v>266.0</v>
      </c>
      <c r="T255" s="116" t="s">
        <v>3291</v>
      </c>
      <c r="U255" s="115"/>
      <c r="V255" s="114" t="s">
        <v>123</v>
      </c>
      <c r="W255" s="114" t="s">
        <v>2404</v>
      </c>
      <c r="X255" s="114" t="s">
        <v>130</v>
      </c>
      <c r="Y255" s="114" t="s">
        <v>2617</v>
      </c>
      <c r="Z255" s="114" t="s">
        <v>443</v>
      </c>
      <c r="AA255" s="115"/>
      <c r="AB255" s="115"/>
      <c r="AC255" s="115"/>
    </row>
    <row r="256">
      <c r="A256" s="113" t="s">
        <v>3292</v>
      </c>
      <c r="B256" s="114" t="s">
        <v>64</v>
      </c>
      <c r="C256" s="114" t="s">
        <v>103</v>
      </c>
      <c r="D256" s="115"/>
      <c r="E256" s="114" t="s">
        <v>2380</v>
      </c>
      <c r="F256" s="114" t="s">
        <v>2413</v>
      </c>
      <c r="G256" s="114" t="s">
        <v>2506</v>
      </c>
      <c r="H256" s="114" t="s">
        <v>2001</v>
      </c>
      <c r="I256" s="114" t="s">
        <v>2018</v>
      </c>
      <c r="J256" s="115"/>
      <c r="K256" s="115"/>
      <c r="L256" s="115"/>
      <c r="M256" s="115"/>
      <c r="N256" s="114" t="s">
        <v>70</v>
      </c>
      <c r="O256" s="114" t="s">
        <v>2815</v>
      </c>
      <c r="P256" s="114" t="s">
        <v>2123</v>
      </c>
      <c r="Q256" s="114" t="s">
        <v>3293</v>
      </c>
      <c r="R256" s="114" t="s">
        <v>2384</v>
      </c>
      <c r="S256" s="114">
        <v>266.0</v>
      </c>
      <c r="T256" s="116" t="s">
        <v>3294</v>
      </c>
      <c r="U256" s="115"/>
      <c r="V256" s="115"/>
      <c r="W256" s="114" t="s">
        <v>2404</v>
      </c>
      <c r="X256" s="114" t="s">
        <v>130</v>
      </c>
      <c r="Y256" s="115"/>
      <c r="Z256" s="115"/>
      <c r="AA256" s="114" t="s">
        <v>199</v>
      </c>
      <c r="AB256" s="114" t="s">
        <v>75</v>
      </c>
      <c r="AC256" s="114" t="s">
        <v>250</v>
      </c>
    </row>
    <row r="257">
      <c r="A257" s="113" t="s">
        <v>3295</v>
      </c>
      <c r="B257" s="114" t="s">
        <v>1223</v>
      </c>
      <c r="C257" s="114" t="s">
        <v>85</v>
      </c>
      <c r="D257" s="115"/>
      <c r="E257" s="114" t="s">
        <v>2380</v>
      </c>
      <c r="F257" s="114" t="s">
        <v>1174</v>
      </c>
      <c r="G257" s="114" t="s">
        <v>2506</v>
      </c>
      <c r="H257" s="114" t="s">
        <v>2001</v>
      </c>
      <c r="I257" s="114" t="s">
        <v>2018</v>
      </c>
      <c r="J257" s="114" t="s">
        <v>2312</v>
      </c>
      <c r="K257" s="114" t="s">
        <v>3296</v>
      </c>
      <c r="L257" s="115"/>
      <c r="M257" s="114" t="s">
        <v>39</v>
      </c>
      <c r="N257" s="114" t="s">
        <v>2268</v>
      </c>
      <c r="O257" s="114" t="s">
        <v>2401</v>
      </c>
      <c r="P257" s="115"/>
      <c r="Q257" s="115"/>
      <c r="R257" s="114" t="s">
        <v>2384</v>
      </c>
      <c r="S257" s="114">
        <v>266.0</v>
      </c>
      <c r="T257" s="116" t="s">
        <v>3297</v>
      </c>
      <c r="U257" s="115"/>
      <c r="V257" s="114" t="s">
        <v>123</v>
      </c>
      <c r="W257" s="114" t="s">
        <v>2539</v>
      </c>
      <c r="X257" s="114" t="s">
        <v>130</v>
      </c>
      <c r="Y257" s="115"/>
      <c r="Z257" s="115"/>
      <c r="AA257" s="114" t="s">
        <v>199</v>
      </c>
      <c r="AB257" s="114" t="s">
        <v>75</v>
      </c>
      <c r="AC257" s="115"/>
    </row>
    <row r="258">
      <c r="A258" s="113" t="s">
        <v>3298</v>
      </c>
      <c r="B258" s="114" t="s">
        <v>1919</v>
      </c>
      <c r="C258" s="114" t="s">
        <v>76</v>
      </c>
      <c r="D258" s="115"/>
      <c r="E258" s="114" t="s">
        <v>2380</v>
      </c>
      <c r="F258" s="114" t="s">
        <v>71</v>
      </c>
      <c r="G258" s="114" t="s">
        <v>2506</v>
      </c>
      <c r="H258" s="114" t="s">
        <v>2001</v>
      </c>
      <c r="I258" s="114" t="s">
        <v>2018</v>
      </c>
      <c r="J258" s="115"/>
      <c r="K258" s="115"/>
      <c r="L258" s="115"/>
      <c r="M258" s="115"/>
      <c r="N258" s="114" t="s">
        <v>70</v>
      </c>
      <c r="O258" s="115"/>
      <c r="P258" s="115"/>
      <c r="Q258" s="114" t="s">
        <v>3299</v>
      </c>
      <c r="R258" s="114" t="s">
        <v>2384</v>
      </c>
      <c r="S258" s="114">
        <v>266.0</v>
      </c>
      <c r="T258" s="116" t="s">
        <v>3300</v>
      </c>
      <c r="U258" s="115"/>
      <c r="V258" s="114" t="s">
        <v>123</v>
      </c>
      <c r="W258" s="115"/>
      <c r="X258" s="115"/>
      <c r="Y258" s="115"/>
      <c r="Z258" s="115"/>
      <c r="AA258" s="115"/>
      <c r="AB258" s="115"/>
      <c r="AC258" s="115"/>
    </row>
    <row r="259">
      <c r="A259" s="113" t="s">
        <v>3301</v>
      </c>
      <c r="B259" s="114" t="s">
        <v>1919</v>
      </c>
      <c r="C259" s="114" t="s">
        <v>183</v>
      </c>
      <c r="D259" s="115"/>
      <c r="E259" s="114" t="s">
        <v>2380</v>
      </c>
      <c r="F259" s="114" t="s">
        <v>1174</v>
      </c>
      <c r="G259" s="114" t="s">
        <v>2506</v>
      </c>
      <c r="H259" s="114" t="s">
        <v>2001</v>
      </c>
      <c r="I259" s="115"/>
      <c r="J259" s="115"/>
      <c r="K259" s="115"/>
      <c r="L259" s="115"/>
      <c r="M259" s="115"/>
      <c r="N259" s="114" t="s">
        <v>70</v>
      </c>
      <c r="O259" s="115"/>
      <c r="P259" s="115"/>
      <c r="Q259" s="114" t="s">
        <v>2692</v>
      </c>
      <c r="R259" s="114" t="s">
        <v>2384</v>
      </c>
      <c r="S259" s="114">
        <v>266.0</v>
      </c>
      <c r="T259" s="116" t="s">
        <v>3302</v>
      </c>
      <c r="U259" s="115"/>
      <c r="V259" s="114" t="s">
        <v>123</v>
      </c>
      <c r="W259" s="115"/>
      <c r="X259" s="115"/>
      <c r="Y259" s="115"/>
      <c r="Z259" s="115"/>
      <c r="AA259" s="114" t="s">
        <v>199</v>
      </c>
      <c r="AB259" s="114" t="s">
        <v>75</v>
      </c>
      <c r="AC259" s="114" t="s">
        <v>250</v>
      </c>
    </row>
    <row r="260">
      <c r="A260" s="113" t="s">
        <v>3303</v>
      </c>
      <c r="B260" s="114" t="s">
        <v>1837</v>
      </c>
      <c r="C260" s="114" t="s">
        <v>183</v>
      </c>
      <c r="D260" s="115"/>
      <c r="E260" s="114" t="s">
        <v>2380</v>
      </c>
      <c r="F260" s="114" t="s">
        <v>1174</v>
      </c>
      <c r="G260" s="114" t="s">
        <v>2506</v>
      </c>
      <c r="H260" s="114" t="s">
        <v>2001</v>
      </c>
      <c r="I260" s="115"/>
      <c r="J260" s="115"/>
      <c r="K260" s="115"/>
      <c r="L260" s="115"/>
      <c r="M260" s="115"/>
      <c r="N260" s="114" t="s">
        <v>70</v>
      </c>
      <c r="O260" s="114" t="s">
        <v>2692</v>
      </c>
      <c r="P260" s="115"/>
      <c r="Q260" s="115"/>
      <c r="R260" s="114" t="s">
        <v>2384</v>
      </c>
      <c r="S260" s="114">
        <v>267.0</v>
      </c>
      <c r="T260" s="116" t="s">
        <v>3304</v>
      </c>
      <c r="U260" s="115"/>
      <c r="V260" s="114" t="s">
        <v>123</v>
      </c>
      <c r="W260" s="115"/>
      <c r="X260" s="115"/>
      <c r="Y260" s="115"/>
      <c r="Z260" s="115"/>
      <c r="AA260" s="114" t="s">
        <v>199</v>
      </c>
      <c r="AB260" s="114" t="s">
        <v>75</v>
      </c>
      <c r="AC260" s="114" t="s">
        <v>250</v>
      </c>
    </row>
    <row r="261">
      <c r="A261" s="113" t="s">
        <v>3305</v>
      </c>
      <c r="B261" s="114" t="s">
        <v>672</v>
      </c>
      <c r="C261" s="114" t="s">
        <v>76</v>
      </c>
      <c r="D261" s="115"/>
      <c r="E261" s="114" t="s">
        <v>134</v>
      </c>
      <c r="F261" s="114" t="s">
        <v>2214</v>
      </c>
      <c r="G261" s="114" t="s">
        <v>3306</v>
      </c>
      <c r="H261" s="114" t="s">
        <v>2001</v>
      </c>
      <c r="I261" s="115"/>
      <c r="J261" s="115"/>
      <c r="K261" s="115"/>
      <c r="L261" s="115"/>
      <c r="M261" s="115"/>
      <c r="N261" s="114" t="s">
        <v>70</v>
      </c>
      <c r="O261" s="115"/>
      <c r="P261" s="115"/>
      <c r="Q261" s="114" t="s">
        <v>2692</v>
      </c>
      <c r="R261" s="114" t="s">
        <v>2384</v>
      </c>
      <c r="S261" s="114">
        <v>267.0</v>
      </c>
      <c r="T261" s="116" t="s">
        <v>3307</v>
      </c>
      <c r="U261" s="114" t="s">
        <v>3174</v>
      </c>
      <c r="V261" s="115"/>
      <c r="W261" s="114" t="s">
        <v>108</v>
      </c>
      <c r="X261" s="115"/>
      <c r="Y261" s="115"/>
      <c r="Z261" s="115"/>
      <c r="AA261" s="115"/>
      <c r="AB261" s="115"/>
      <c r="AC261" s="115"/>
    </row>
    <row r="262">
      <c r="A262" s="113" t="s">
        <v>3308</v>
      </c>
      <c r="B262" s="114" t="s">
        <v>64</v>
      </c>
      <c r="C262" s="114" t="s">
        <v>85</v>
      </c>
      <c r="D262" s="115"/>
      <c r="E262" s="114" t="s">
        <v>2380</v>
      </c>
      <c r="F262" s="114" t="s">
        <v>2413</v>
      </c>
      <c r="G262" s="115"/>
      <c r="H262" s="114" t="s">
        <v>2001</v>
      </c>
      <c r="I262" s="114" t="s">
        <v>2018</v>
      </c>
      <c r="J262" s="115"/>
      <c r="K262" s="115"/>
      <c r="L262" s="115"/>
      <c r="M262" s="115"/>
      <c r="N262" s="114" t="s">
        <v>2268</v>
      </c>
      <c r="O262" s="115"/>
      <c r="P262" s="115"/>
      <c r="Q262" s="115"/>
      <c r="R262" s="114" t="s">
        <v>2384</v>
      </c>
      <c r="S262" s="114">
        <v>267.0</v>
      </c>
      <c r="T262" s="116" t="s">
        <v>3309</v>
      </c>
      <c r="U262" s="115"/>
      <c r="V262" s="114" t="s">
        <v>123</v>
      </c>
      <c r="W262" s="115"/>
      <c r="X262" s="115"/>
      <c r="Y262" s="115"/>
      <c r="Z262" s="115"/>
      <c r="AA262" s="114" t="s">
        <v>199</v>
      </c>
      <c r="AB262" s="114" t="s">
        <v>75</v>
      </c>
      <c r="AC262" s="114" t="s">
        <v>250</v>
      </c>
    </row>
    <row r="263">
      <c r="A263" s="113" t="s">
        <v>3310</v>
      </c>
      <c r="B263" s="114" t="s">
        <v>1709</v>
      </c>
      <c r="C263" s="114" t="s">
        <v>76</v>
      </c>
      <c r="D263" s="115"/>
      <c r="E263" s="114" t="s">
        <v>2380</v>
      </c>
      <c r="F263" s="114" t="s">
        <v>78</v>
      </c>
      <c r="G263" s="114" t="s">
        <v>2627</v>
      </c>
      <c r="H263" s="114" t="s">
        <v>2001</v>
      </c>
      <c r="I263" s="114" t="s">
        <v>2018</v>
      </c>
      <c r="J263" s="115"/>
      <c r="K263" s="115"/>
      <c r="L263" s="115"/>
      <c r="M263" s="115"/>
      <c r="N263" s="114" t="s">
        <v>70</v>
      </c>
      <c r="O263" s="114" t="s">
        <v>2508</v>
      </c>
      <c r="P263" s="114" t="s">
        <v>2508</v>
      </c>
      <c r="Q263" s="114" t="s">
        <v>2508</v>
      </c>
      <c r="R263" s="114" t="s">
        <v>2384</v>
      </c>
      <c r="S263" s="114">
        <v>267.0</v>
      </c>
      <c r="T263" s="116" t="s">
        <v>3311</v>
      </c>
      <c r="U263" s="115"/>
      <c r="V263" s="115"/>
      <c r="W263" s="115"/>
      <c r="X263" s="115"/>
      <c r="Y263" s="115"/>
      <c r="Z263" s="115"/>
      <c r="AA263" s="114" t="s">
        <v>199</v>
      </c>
      <c r="AB263" s="114" t="s">
        <v>75</v>
      </c>
      <c r="AC263" s="115"/>
    </row>
    <row r="264">
      <c r="A264" s="113" t="s">
        <v>3312</v>
      </c>
      <c r="B264" s="114" t="s">
        <v>1919</v>
      </c>
      <c r="C264" s="114" t="s">
        <v>178</v>
      </c>
      <c r="D264" s="115"/>
      <c r="E264" s="114" t="s">
        <v>2380</v>
      </c>
      <c r="F264" s="114" t="s">
        <v>1174</v>
      </c>
      <c r="G264" s="114" t="s">
        <v>3313</v>
      </c>
      <c r="H264" s="114" t="s">
        <v>2001</v>
      </c>
      <c r="I264" s="114" t="s">
        <v>2018</v>
      </c>
      <c r="J264" s="115"/>
      <c r="K264" s="115"/>
      <c r="L264" s="115"/>
      <c r="M264" s="115"/>
      <c r="N264" s="114" t="s">
        <v>70</v>
      </c>
      <c r="O264" s="114" t="s">
        <v>2508</v>
      </c>
      <c r="P264" s="114" t="s">
        <v>2508</v>
      </c>
      <c r="Q264" s="114" t="s">
        <v>2508</v>
      </c>
      <c r="R264" s="114" t="s">
        <v>2384</v>
      </c>
      <c r="S264" s="114">
        <v>267.0</v>
      </c>
      <c r="T264" s="116" t="s">
        <v>3314</v>
      </c>
      <c r="U264" s="115"/>
      <c r="V264" s="115"/>
      <c r="W264" s="115"/>
      <c r="X264" s="115"/>
      <c r="Y264" s="115"/>
      <c r="Z264" s="115"/>
      <c r="AA264" s="114" t="s">
        <v>199</v>
      </c>
      <c r="AB264" s="115"/>
      <c r="AC264" s="115"/>
    </row>
    <row r="265">
      <c r="A265" s="113" t="s">
        <v>3315</v>
      </c>
      <c r="B265" s="114" t="s">
        <v>64</v>
      </c>
      <c r="C265" s="114" t="s">
        <v>103</v>
      </c>
      <c r="D265" s="115"/>
      <c r="E265" s="114" t="s">
        <v>2380</v>
      </c>
      <c r="F265" s="114" t="s">
        <v>78</v>
      </c>
      <c r="G265" s="115"/>
      <c r="H265" s="114" t="s">
        <v>2001</v>
      </c>
      <c r="I265" s="114" t="s">
        <v>2018</v>
      </c>
      <c r="J265" s="115"/>
      <c r="K265" s="115"/>
      <c r="L265" s="115"/>
      <c r="M265" s="115"/>
      <c r="N265" s="114" t="s">
        <v>134</v>
      </c>
      <c r="O265" s="114" t="s">
        <v>2573</v>
      </c>
      <c r="P265" s="114" t="s">
        <v>1997</v>
      </c>
      <c r="Q265" s="114" t="s">
        <v>3316</v>
      </c>
      <c r="R265" s="114" t="s">
        <v>2384</v>
      </c>
      <c r="S265" s="114">
        <v>269.0</v>
      </c>
      <c r="T265" s="116" t="s">
        <v>3317</v>
      </c>
      <c r="U265" s="115"/>
      <c r="V265" s="115"/>
      <c r="W265" s="114" t="s">
        <v>2404</v>
      </c>
      <c r="X265" s="114" t="s">
        <v>130</v>
      </c>
      <c r="Y265" s="115"/>
      <c r="Z265" s="115"/>
      <c r="AA265" s="115"/>
      <c r="AB265" s="115"/>
      <c r="AC265" s="115"/>
    </row>
    <row r="266">
      <c r="A266" s="113" t="s">
        <v>3318</v>
      </c>
      <c r="B266" s="114" t="s">
        <v>1594</v>
      </c>
      <c r="C266" s="114" t="s">
        <v>65</v>
      </c>
      <c r="D266" s="115"/>
      <c r="E266" s="114" t="s">
        <v>2380</v>
      </c>
      <c r="F266" s="114" t="s">
        <v>2223</v>
      </c>
      <c r="G266" s="114" t="s">
        <v>3059</v>
      </c>
      <c r="H266" s="114" t="s">
        <v>2001</v>
      </c>
      <c r="I266" s="114" t="s">
        <v>2018</v>
      </c>
      <c r="J266" s="114" t="s">
        <v>2312</v>
      </c>
      <c r="K266" s="114" t="s">
        <v>3319</v>
      </c>
      <c r="L266" s="114" t="s">
        <v>2445</v>
      </c>
      <c r="M266" s="115"/>
      <c r="N266" s="114" t="s">
        <v>2446</v>
      </c>
      <c r="O266" s="115"/>
      <c r="P266" s="115"/>
      <c r="Q266" s="115"/>
      <c r="R266" s="114" t="s">
        <v>2384</v>
      </c>
      <c r="S266" s="114">
        <v>269.0</v>
      </c>
      <c r="T266" s="116" t="s">
        <v>3320</v>
      </c>
      <c r="U266" s="115"/>
      <c r="V266" s="114" t="s">
        <v>123</v>
      </c>
      <c r="W266" s="115"/>
      <c r="X266" s="115"/>
      <c r="Y266" s="115"/>
      <c r="Z266" s="115"/>
      <c r="AA266" s="114" t="s">
        <v>199</v>
      </c>
      <c r="AB266" s="115"/>
      <c r="AC266" s="115"/>
    </row>
    <row r="267">
      <c r="A267" s="113" t="s">
        <v>3321</v>
      </c>
      <c r="B267" s="114" t="s">
        <v>1709</v>
      </c>
      <c r="C267" s="114" t="s">
        <v>65</v>
      </c>
      <c r="D267" s="115"/>
      <c r="E267" s="114" t="s">
        <v>2380</v>
      </c>
      <c r="F267" s="114" t="s">
        <v>3322</v>
      </c>
      <c r="G267" s="115"/>
      <c r="H267" s="114" t="s">
        <v>2001</v>
      </c>
      <c r="I267" s="114" t="s">
        <v>2018</v>
      </c>
      <c r="J267" s="114" t="s">
        <v>2312</v>
      </c>
      <c r="K267" s="114" t="s">
        <v>3323</v>
      </c>
      <c r="L267" s="114" t="s">
        <v>3324</v>
      </c>
      <c r="M267" s="114" t="s">
        <v>39</v>
      </c>
      <c r="N267" s="114" t="s">
        <v>2876</v>
      </c>
      <c r="O267" s="115"/>
      <c r="P267" s="115"/>
      <c r="Q267" s="115"/>
      <c r="R267" s="114" t="s">
        <v>2384</v>
      </c>
      <c r="S267" s="114">
        <v>270.0</v>
      </c>
      <c r="T267" s="116" t="s">
        <v>3325</v>
      </c>
      <c r="U267" s="115"/>
      <c r="V267" s="114" t="s">
        <v>123</v>
      </c>
      <c r="W267" s="115"/>
      <c r="X267" s="115"/>
      <c r="Y267" s="115"/>
      <c r="Z267" s="115"/>
      <c r="AA267" s="114" t="s">
        <v>199</v>
      </c>
      <c r="AB267" s="115"/>
      <c r="AC267" s="115"/>
    </row>
    <row r="268">
      <c r="A268" s="113" t="s">
        <v>3326</v>
      </c>
      <c r="B268" s="114" t="s">
        <v>945</v>
      </c>
      <c r="C268" s="114" t="s">
        <v>178</v>
      </c>
      <c r="D268" s="115"/>
      <c r="E268" s="114" t="s">
        <v>2380</v>
      </c>
      <c r="F268" s="114" t="s">
        <v>71</v>
      </c>
      <c r="G268" s="114" t="s">
        <v>2506</v>
      </c>
      <c r="H268" s="114" t="s">
        <v>2001</v>
      </c>
      <c r="I268" s="114" t="s">
        <v>2018</v>
      </c>
      <c r="J268" s="115"/>
      <c r="K268" s="115"/>
      <c r="L268" s="115"/>
      <c r="M268" s="114" t="s">
        <v>39</v>
      </c>
      <c r="N268" s="114" t="s">
        <v>2268</v>
      </c>
      <c r="O268" s="115"/>
      <c r="P268" s="115"/>
      <c r="Q268" s="115"/>
      <c r="R268" s="114" t="s">
        <v>2384</v>
      </c>
      <c r="S268" s="114">
        <v>270.0</v>
      </c>
      <c r="T268" s="116" t="s">
        <v>3327</v>
      </c>
      <c r="U268" s="115"/>
      <c r="V268" s="115"/>
      <c r="W268" s="114" t="s">
        <v>108</v>
      </c>
      <c r="X268" s="114" t="s">
        <v>130</v>
      </c>
      <c r="Y268" s="114" t="s">
        <v>3220</v>
      </c>
      <c r="Z268" s="114" t="s">
        <v>443</v>
      </c>
      <c r="AA268" s="114" t="s">
        <v>199</v>
      </c>
      <c r="AB268" s="114" t="s">
        <v>75</v>
      </c>
      <c r="AC268" s="115"/>
    </row>
    <row r="269">
      <c r="A269" s="113" t="s">
        <v>3328</v>
      </c>
      <c r="B269" s="114" t="s">
        <v>444</v>
      </c>
      <c r="C269" s="114" t="s">
        <v>178</v>
      </c>
      <c r="D269" s="115"/>
      <c r="E269" s="114" t="s">
        <v>2380</v>
      </c>
      <c r="F269" s="114" t="s">
        <v>71</v>
      </c>
      <c r="G269" s="114" t="s">
        <v>2495</v>
      </c>
      <c r="H269" s="114" t="s">
        <v>2001</v>
      </c>
      <c r="I269" s="114" t="s">
        <v>2018</v>
      </c>
      <c r="J269" s="114" t="s">
        <v>2312</v>
      </c>
      <c r="K269" s="114" t="s">
        <v>3329</v>
      </c>
      <c r="L269" s="115"/>
      <c r="M269" s="114" t="s">
        <v>39</v>
      </c>
      <c r="N269" s="114" t="s">
        <v>134</v>
      </c>
      <c r="O269" s="115"/>
      <c r="P269" s="115"/>
      <c r="Q269" s="115"/>
      <c r="R269" s="114" t="s">
        <v>2384</v>
      </c>
      <c r="S269" s="114">
        <v>270.0</v>
      </c>
      <c r="T269" s="116" t="s">
        <v>3330</v>
      </c>
      <c r="U269" s="115"/>
      <c r="V269" s="115"/>
      <c r="W269" s="114" t="s">
        <v>108</v>
      </c>
      <c r="X269" s="115"/>
      <c r="Y269" s="114" t="s">
        <v>570</v>
      </c>
      <c r="Z269" s="115"/>
      <c r="AA269" s="114" t="s">
        <v>199</v>
      </c>
      <c r="AB269" s="115"/>
      <c r="AC269" s="114" t="s">
        <v>250</v>
      </c>
    </row>
    <row r="270">
      <c r="A270" s="113" t="s">
        <v>3331</v>
      </c>
      <c r="B270" s="114" t="s">
        <v>672</v>
      </c>
      <c r="C270" s="114" t="s">
        <v>178</v>
      </c>
      <c r="D270" s="115"/>
      <c r="E270" s="114" t="s">
        <v>2380</v>
      </c>
      <c r="F270" s="114" t="s">
        <v>71</v>
      </c>
      <c r="G270" s="114" t="s">
        <v>2495</v>
      </c>
      <c r="H270" s="114" t="s">
        <v>2001</v>
      </c>
      <c r="I270" s="114" t="s">
        <v>2018</v>
      </c>
      <c r="J270" s="115"/>
      <c r="K270" s="115"/>
      <c r="L270" s="115"/>
      <c r="M270" s="115"/>
      <c r="N270" s="114" t="s">
        <v>2268</v>
      </c>
      <c r="O270" s="115"/>
      <c r="P270" s="115"/>
      <c r="Q270" s="115"/>
      <c r="R270" s="114" t="s">
        <v>2384</v>
      </c>
      <c r="S270" s="114">
        <v>270.0</v>
      </c>
      <c r="T270" s="116" t="s">
        <v>3332</v>
      </c>
      <c r="U270" s="115"/>
      <c r="V270" s="115"/>
      <c r="W270" s="114" t="s">
        <v>108</v>
      </c>
      <c r="X270" s="114" t="s">
        <v>130</v>
      </c>
      <c r="Y270" s="114" t="s">
        <v>570</v>
      </c>
      <c r="Z270" s="114" t="s">
        <v>443</v>
      </c>
      <c r="AA270" s="115"/>
      <c r="AB270" s="115"/>
      <c r="AC270" s="115"/>
    </row>
    <row r="271">
      <c r="A271" s="113" t="s">
        <v>3333</v>
      </c>
      <c r="B271" s="114" t="s">
        <v>444</v>
      </c>
      <c r="C271" s="114" t="s">
        <v>85</v>
      </c>
      <c r="D271" s="114" t="s">
        <v>28</v>
      </c>
      <c r="E271" s="114" t="s">
        <v>2380</v>
      </c>
      <c r="F271" s="114" t="s">
        <v>2413</v>
      </c>
      <c r="G271" s="114" t="s">
        <v>3334</v>
      </c>
      <c r="H271" s="114" t="s">
        <v>2001</v>
      </c>
      <c r="I271" s="114" t="s">
        <v>2018</v>
      </c>
      <c r="J271" s="115"/>
      <c r="K271" s="115"/>
      <c r="L271" s="115"/>
      <c r="M271" s="115"/>
      <c r="N271" s="114" t="s">
        <v>70</v>
      </c>
      <c r="O271" s="115"/>
      <c r="P271" s="115"/>
      <c r="Q271" s="115"/>
      <c r="R271" s="114" t="s">
        <v>2384</v>
      </c>
      <c r="S271" s="114">
        <v>270.0</v>
      </c>
      <c r="T271" s="116" t="s">
        <v>3335</v>
      </c>
      <c r="U271" s="115"/>
      <c r="V271" s="115"/>
      <c r="W271" s="114" t="s">
        <v>108</v>
      </c>
      <c r="X271" s="114" t="s">
        <v>130</v>
      </c>
      <c r="Y271" s="114" t="s">
        <v>570</v>
      </c>
      <c r="Z271" s="115"/>
      <c r="AA271" s="115"/>
      <c r="AB271" s="115"/>
      <c r="AC271" s="115"/>
    </row>
    <row r="272">
      <c r="A272" s="113" t="s">
        <v>3336</v>
      </c>
      <c r="B272" s="114" t="s">
        <v>1452</v>
      </c>
      <c r="C272" s="114" t="s">
        <v>140</v>
      </c>
      <c r="D272" s="115"/>
      <c r="E272" s="114" t="s">
        <v>2268</v>
      </c>
      <c r="F272" s="114" t="s">
        <v>71</v>
      </c>
      <c r="G272" s="114" t="s">
        <v>3337</v>
      </c>
      <c r="H272" s="114" t="s">
        <v>2001</v>
      </c>
      <c r="I272" s="114" t="s">
        <v>2018</v>
      </c>
      <c r="J272" s="114" t="s">
        <v>2312</v>
      </c>
      <c r="K272" s="114" t="s">
        <v>3338</v>
      </c>
      <c r="L272" s="114" t="s">
        <v>2583</v>
      </c>
      <c r="M272" s="115"/>
      <c r="N272" s="114" t="s">
        <v>70</v>
      </c>
      <c r="O272" s="115"/>
      <c r="P272" s="115"/>
      <c r="Q272" s="115"/>
      <c r="R272" s="114" t="s">
        <v>2384</v>
      </c>
      <c r="S272" s="114">
        <v>270.0</v>
      </c>
      <c r="T272" s="116" t="s">
        <v>3339</v>
      </c>
      <c r="U272" s="115"/>
      <c r="V272" s="114" t="s">
        <v>123</v>
      </c>
      <c r="W272" s="114" t="s">
        <v>108</v>
      </c>
      <c r="X272" s="115"/>
      <c r="Y272" s="114" t="s">
        <v>570</v>
      </c>
      <c r="Z272" s="115"/>
      <c r="AA272" s="115"/>
      <c r="AB272" s="115"/>
      <c r="AC272" s="115"/>
    </row>
    <row r="273">
      <c r="A273" s="113" t="s">
        <v>3340</v>
      </c>
      <c r="B273" s="114" t="s">
        <v>1452</v>
      </c>
      <c r="C273" s="114" t="s">
        <v>144</v>
      </c>
      <c r="D273" s="114" t="s">
        <v>28</v>
      </c>
      <c r="E273" s="114" t="s">
        <v>2380</v>
      </c>
      <c r="F273" s="114" t="s">
        <v>2214</v>
      </c>
      <c r="G273" s="114" t="s">
        <v>3341</v>
      </c>
      <c r="H273" s="114" t="s">
        <v>2001</v>
      </c>
      <c r="I273" s="114" t="s">
        <v>2018</v>
      </c>
      <c r="J273" s="114" t="s">
        <v>2312</v>
      </c>
      <c r="K273" s="114" t="s">
        <v>3342</v>
      </c>
      <c r="L273" s="115"/>
      <c r="M273" s="115"/>
      <c r="N273" s="114" t="s">
        <v>2268</v>
      </c>
      <c r="O273" s="115"/>
      <c r="P273" s="115"/>
      <c r="Q273" s="115"/>
      <c r="R273" s="114" t="s">
        <v>2384</v>
      </c>
      <c r="S273" s="114">
        <v>270.0</v>
      </c>
      <c r="T273" s="116" t="s">
        <v>3343</v>
      </c>
      <c r="U273" s="115"/>
      <c r="V273" s="115"/>
      <c r="W273" s="115"/>
      <c r="X273" s="115"/>
      <c r="Y273" s="115"/>
      <c r="Z273" s="115"/>
      <c r="AA273" s="114" t="s">
        <v>199</v>
      </c>
      <c r="AB273" s="115"/>
      <c r="AC273" s="115"/>
    </row>
    <row r="274">
      <c r="A274" s="113" t="s">
        <v>3344</v>
      </c>
      <c r="B274" s="114" t="s">
        <v>672</v>
      </c>
      <c r="C274" s="114" t="s">
        <v>140</v>
      </c>
      <c r="D274" s="115"/>
      <c r="E274" s="114" t="s">
        <v>2380</v>
      </c>
      <c r="F274" s="114" t="s">
        <v>1174</v>
      </c>
      <c r="G274" s="114" t="s">
        <v>3198</v>
      </c>
      <c r="H274" s="114" t="s">
        <v>2001</v>
      </c>
      <c r="I274" s="114" t="s">
        <v>2018</v>
      </c>
      <c r="J274" s="115"/>
      <c r="K274" s="115"/>
      <c r="L274" s="115"/>
      <c r="M274" s="114" t="s">
        <v>39</v>
      </c>
      <c r="N274" s="114" t="s">
        <v>2222</v>
      </c>
      <c r="O274" s="114" t="s">
        <v>2573</v>
      </c>
      <c r="P274" s="115"/>
      <c r="Q274" s="115"/>
      <c r="R274" s="114" t="s">
        <v>2384</v>
      </c>
      <c r="S274" s="114">
        <v>271.0</v>
      </c>
      <c r="T274" s="116" t="s">
        <v>3345</v>
      </c>
      <c r="U274" s="115"/>
      <c r="V274" s="115"/>
      <c r="W274" s="114" t="s">
        <v>2426</v>
      </c>
      <c r="X274" s="115"/>
      <c r="Y274" s="115"/>
      <c r="Z274" s="115"/>
      <c r="AA274" s="114" t="s">
        <v>199</v>
      </c>
      <c r="AB274" s="115"/>
      <c r="AC274" s="114" t="s">
        <v>250</v>
      </c>
    </row>
    <row r="275">
      <c r="A275" s="113" t="s">
        <v>3346</v>
      </c>
      <c r="B275" s="114" t="s">
        <v>64</v>
      </c>
      <c r="C275" s="114" t="s">
        <v>76</v>
      </c>
      <c r="D275" s="115"/>
      <c r="E275" s="114" t="s">
        <v>2380</v>
      </c>
      <c r="F275" s="114" t="s">
        <v>1174</v>
      </c>
      <c r="G275" s="114" t="s">
        <v>3198</v>
      </c>
      <c r="H275" s="114" t="s">
        <v>2001</v>
      </c>
      <c r="I275" s="114" t="s">
        <v>2018</v>
      </c>
      <c r="J275" s="115"/>
      <c r="K275" s="115"/>
      <c r="L275" s="115"/>
      <c r="M275" s="115"/>
      <c r="N275" s="114" t="s">
        <v>70</v>
      </c>
      <c r="O275" s="114" t="s">
        <v>2573</v>
      </c>
      <c r="P275" s="114" t="s">
        <v>2066</v>
      </c>
      <c r="Q275" s="114" t="s">
        <v>3316</v>
      </c>
      <c r="R275" s="114" t="s">
        <v>2384</v>
      </c>
      <c r="S275" s="114">
        <v>271.0</v>
      </c>
      <c r="T275" s="116" t="s">
        <v>3347</v>
      </c>
      <c r="U275" s="115"/>
      <c r="V275" s="115"/>
      <c r="W275" s="115"/>
      <c r="X275" s="115"/>
      <c r="Y275" s="115"/>
      <c r="Z275" s="115"/>
      <c r="AA275" s="114" t="s">
        <v>199</v>
      </c>
      <c r="AB275" s="114" t="s">
        <v>75</v>
      </c>
      <c r="AC275" s="115"/>
    </row>
    <row r="276">
      <c r="A276" s="113" t="s">
        <v>3348</v>
      </c>
      <c r="B276" s="114" t="s">
        <v>444</v>
      </c>
      <c r="C276" s="114" t="s">
        <v>140</v>
      </c>
      <c r="D276" s="115"/>
      <c r="E276" s="114" t="s">
        <v>2380</v>
      </c>
      <c r="F276" s="114" t="s">
        <v>1174</v>
      </c>
      <c r="G276" s="114" t="s">
        <v>3198</v>
      </c>
      <c r="H276" s="114" t="s">
        <v>2001</v>
      </c>
      <c r="I276" s="114" t="s">
        <v>2018</v>
      </c>
      <c r="J276" s="115"/>
      <c r="K276" s="115"/>
      <c r="L276" s="115"/>
      <c r="M276" s="115"/>
      <c r="N276" s="114" t="s">
        <v>70</v>
      </c>
      <c r="O276" s="114" t="s">
        <v>2573</v>
      </c>
      <c r="P276" s="114" t="s">
        <v>2123</v>
      </c>
      <c r="Q276" s="114" t="s">
        <v>3349</v>
      </c>
      <c r="R276" s="114" t="s">
        <v>2384</v>
      </c>
      <c r="S276" s="114">
        <v>271.0</v>
      </c>
      <c r="T276" s="116" t="s">
        <v>3350</v>
      </c>
      <c r="U276" s="114" t="s">
        <v>2529</v>
      </c>
      <c r="V276" s="115"/>
      <c r="W276" s="114" t="s">
        <v>2426</v>
      </c>
      <c r="X276" s="115"/>
      <c r="Y276" s="115"/>
      <c r="Z276" s="115"/>
      <c r="AA276" s="114" t="s">
        <v>199</v>
      </c>
      <c r="AB276" s="114" t="s">
        <v>75</v>
      </c>
      <c r="AC276" s="115"/>
    </row>
    <row r="277">
      <c r="A277" s="113" t="s">
        <v>3351</v>
      </c>
      <c r="B277" s="114" t="s">
        <v>1709</v>
      </c>
      <c r="C277" s="114" t="s">
        <v>85</v>
      </c>
      <c r="D277" s="115"/>
      <c r="E277" s="114" t="s">
        <v>2222</v>
      </c>
      <c r="F277" s="114" t="s">
        <v>71</v>
      </c>
      <c r="G277" s="114" t="s">
        <v>2506</v>
      </c>
      <c r="H277" s="114" t="s">
        <v>2001</v>
      </c>
      <c r="I277" s="114" t="s">
        <v>2018</v>
      </c>
      <c r="J277" s="114" t="s">
        <v>2312</v>
      </c>
      <c r="K277" s="114" t="s">
        <v>3352</v>
      </c>
      <c r="L277" s="115"/>
      <c r="M277" s="115"/>
      <c r="N277" s="114" t="s">
        <v>2268</v>
      </c>
      <c r="O277" s="115"/>
      <c r="P277" s="115"/>
      <c r="Q277" s="114" t="s">
        <v>3353</v>
      </c>
      <c r="R277" s="114" t="s">
        <v>2384</v>
      </c>
      <c r="S277" s="114">
        <v>271.0</v>
      </c>
      <c r="T277" s="116" t="s">
        <v>3354</v>
      </c>
      <c r="U277" s="115"/>
      <c r="V277" s="114" t="s">
        <v>123</v>
      </c>
      <c r="W277" s="114" t="s">
        <v>108</v>
      </c>
      <c r="X277" s="114" t="s">
        <v>130</v>
      </c>
      <c r="Y277" s="115"/>
      <c r="Z277" s="115"/>
      <c r="AA277" s="115"/>
      <c r="AB277" s="115"/>
      <c r="AC277" s="115"/>
    </row>
    <row r="278">
      <c r="A278" s="113" t="s">
        <v>3355</v>
      </c>
      <c r="B278" s="114" t="s">
        <v>1452</v>
      </c>
      <c r="C278" s="114" t="s">
        <v>85</v>
      </c>
      <c r="D278" s="115"/>
      <c r="E278" s="114" t="s">
        <v>2268</v>
      </c>
      <c r="F278" s="114" t="s">
        <v>71</v>
      </c>
      <c r="G278" s="114" t="s">
        <v>3356</v>
      </c>
      <c r="H278" s="114" t="s">
        <v>2001</v>
      </c>
      <c r="I278" s="114" t="s">
        <v>2018</v>
      </c>
      <c r="J278" s="114" t="s">
        <v>2312</v>
      </c>
      <c r="K278" s="114" t="s">
        <v>3357</v>
      </c>
      <c r="L278" s="114" t="s">
        <v>2476</v>
      </c>
      <c r="M278" s="115"/>
      <c r="N278" s="114" t="s">
        <v>70</v>
      </c>
      <c r="O278" s="115"/>
      <c r="P278" s="115"/>
      <c r="Q278" s="115"/>
      <c r="R278" s="114" t="s">
        <v>2384</v>
      </c>
      <c r="S278" s="114">
        <v>271.0</v>
      </c>
      <c r="T278" s="116" t="s">
        <v>3358</v>
      </c>
      <c r="U278" s="115"/>
      <c r="V278" s="115"/>
      <c r="W278" s="115"/>
      <c r="X278" s="114" t="s">
        <v>130</v>
      </c>
      <c r="Y278" s="115"/>
      <c r="Z278" s="115"/>
      <c r="AA278" s="115"/>
      <c r="AB278" s="115"/>
      <c r="AC278" s="115"/>
    </row>
    <row r="279">
      <c r="A279" s="113" t="s">
        <v>3359</v>
      </c>
      <c r="B279" s="114" t="s">
        <v>945</v>
      </c>
      <c r="C279" s="114" t="s">
        <v>178</v>
      </c>
      <c r="D279" s="115"/>
      <c r="E279" s="114" t="s">
        <v>2380</v>
      </c>
      <c r="F279" s="114" t="s">
        <v>71</v>
      </c>
      <c r="G279" s="114" t="s">
        <v>2813</v>
      </c>
      <c r="H279" s="114" t="s">
        <v>2001</v>
      </c>
      <c r="I279" s="114" t="s">
        <v>2018</v>
      </c>
      <c r="J279" s="115"/>
      <c r="K279" s="115"/>
      <c r="L279" s="115"/>
      <c r="M279" s="115"/>
      <c r="N279" s="114" t="s">
        <v>70</v>
      </c>
      <c r="O279" s="115"/>
      <c r="P279" s="115"/>
      <c r="Q279" s="115"/>
      <c r="R279" s="114" t="s">
        <v>2384</v>
      </c>
      <c r="S279" s="114">
        <v>271.0</v>
      </c>
      <c r="T279" s="116" t="s">
        <v>3360</v>
      </c>
      <c r="U279" s="115"/>
      <c r="V279" s="115"/>
      <c r="W279" s="114" t="s">
        <v>108</v>
      </c>
      <c r="X279" s="115"/>
      <c r="Y279" s="114" t="s">
        <v>570</v>
      </c>
      <c r="Z279" s="115"/>
      <c r="AA279" s="114" t="s">
        <v>199</v>
      </c>
      <c r="AB279" s="115"/>
      <c r="AC279" s="114" t="s">
        <v>250</v>
      </c>
    </row>
    <row r="280">
      <c r="A280" s="113" t="s">
        <v>3361</v>
      </c>
      <c r="B280" s="114" t="s">
        <v>64</v>
      </c>
      <c r="C280" s="114" t="s">
        <v>178</v>
      </c>
      <c r="D280" s="115"/>
      <c r="E280" s="114" t="s">
        <v>2380</v>
      </c>
      <c r="F280" s="114" t="s">
        <v>71</v>
      </c>
      <c r="G280" s="114" t="s">
        <v>2495</v>
      </c>
      <c r="H280" s="114" t="s">
        <v>2001</v>
      </c>
      <c r="I280" s="114" t="s">
        <v>2018</v>
      </c>
      <c r="J280" s="114" t="s">
        <v>2312</v>
      </c>
      <c r="K280" s="114" t="s">
        <v>3362</v>
      </c>
      <c r="L280" s="115"/>
      <c r="M280" s="114" t="s">
        <v>39</v>
      </c>
      <c r="N280" s="114" t="s">
        <v>2222</v>
      </c>
      <c r="O280" s="115"/>
      <c r="P280" s="115"/>
      <c r="Q280" s="115"/>
      <c r="R280" s="114" t="s">
        <v>2384</v>
      </c>
      <c r="S280" s="114">
        <v>272.0</v>
      </c>
      <c r="T280" s="116" t="s">
        <v>3363</v>
      </c>
      <c r="U280" s="115"/>
      <c r="V280" s="115"/>
      <c r="W280" s="114" t="s">
        <v>108</v>
      </c>
      <c r="X280" s="114" t="s">
        <v>130</v>
      </c>
      <c r="Y280" s="115"/>
      <c r="Z280" s="115"/>
      <c r="AA280" s="115"/>
      <c r="AB280" s="115"/>
      <c r="AC280" s="115"/>
    </row>
    <row r="281">
      <c r="A281" s="113" t="s">
        <v>3364</v>
      </c>
      <c r="B281" s="114" t="s">
        <v>1709</v>
      </c>
      <c r="C281" s="114" t="s">
        <v>140</v>
      </c>
      <c r="D281" s="115"/>
      <c r="E281" s="114" t="s">
        <v>2268</v>
      </c>
      <c r="F281" s="114" t="s">
        <v>71</v>
      </c>
      <c r="G281" s="114" t="s">
        <v>3337</v>
      </c>
      <c r="H281" s="114" t="s">
        <v>2001</v>
      </c>
      <c r="I281" s="114" t="s">
        <v>2018</v>
      </c>
      <c r="J281" s="114" t="s">
        <v>2312</v>
      </c>
      <c r="K281" s="114" t="s">
        <v>3338</v>
      </c>
      <c r="L281" s="114" t="s">
        <v>2476</v>
      </c>
      <c r="M281" s="115"/>
      <c r="N281" s="114" t="s">
        <v>70</v>
      </c>
      <c r="O281" s="115"/>
      <c r="P281" s="115"/>
      <c r="Q281" s="115"/>
      <c r="R281" s="114" t="s">
        <v>2384</v>
      </c>
      <c r="S281" s="114">
        <v>272.0</v>
      </c>
      <c r="T281" s="116" t="s">
        <v>3365</v>
      </c>
      <c r="U281" s="115"/>
      <c r="V281" s="114" t="s">
        <v>123</v>
      </c>
      <c r="W281" s="114" t="s">
        <v>108</v>
      </c>
      <c r="X281" s="115"/>
      <c r="Y281" s="115"/>
      <c r="Z281" s="115"/>
      <c r="AA281" s="115"/>
      <c r="AB281" s="115"/>
      <c r="AC281" s="115"/>
    </row>
    <row r="282">
      <c r="A282" s="113" t="s">
        <v>3366</v>
      </c>
      <c r="B282" s="114" t="s">
        <v>1709</v>
      </c>
      <c r="C282" s="114" t="s">
        <v>85</v>
      </c>
      <c r="D282" s="115"/>
      <c r="E282" s="114" t="s">
        <v>2380</v>
      </c>
      <c r="F282" s="114" t="s">
        <v>2929</v>
      </c>
      <c r="G282" s="114" t="s">
        <v>3367</v>
      </c>
      <c r="H282" s="114" t="s">
        <v>2001</v>
      </c>
      <c r="I282" s="114" t="s">
        <v>2018</v>
      </c>
      <c r="J282" s="114" t="s">
        <v>2312</v>
      </c>
      <c r="K282" s="114" t="s">
        <v>3368</v>
      </c>
      <c r="L282" s="115"/>
      <c r="M282" s="114" t="s">
        <v>39</v>
      </c>
      <c r="N282" s="114" t="s">
        <v>2222</v>
      </c>
      <c r="O282" s="114" t="s">
        <v>3369</v>
      </c>
      <c r="P282" s="115"/>
      <c r="Q282" s="115"/>
      <c r="R282" s="114" t="s">
        <v>2384</v>
      </c>
      <c r="S282" s="114">
        <v>272.0</v>
      </c>
      <c r="T282" s="116" t="s">
        <v>3370</v>
      </c>
      <c r="U282" s="115"/>
      <c r="V282" s="115"/>
      <c r="W282" s="115"/>
      <c r="X282" s="114" t="s">
        <v>130</v>
      </c>
      <c r="Y282" s="115"/>
      <c r="Z282" s="115"/>
      <c r="AA282" s="114" t="s">
        <v>199</v>
      </c>
      <c r="AB282" s="114" t="s">
        <v>75</v>
      </c>
      <c r="AC282" s="115"/>
    </row>
    <row r="283">
      <c r="A283" s="113" t="s">
        <v>3371</v>
      </c>
      <c r="B283" s="114" t="s">
        <v>945</v>
      </c>
      <c r="C283" s="114" t="s">
        <v>103</v>
      </c>
      <c r="D283" s="115"/>
      <c r="E283" s="114" t="s">
        <v>2380</v>
      </c>
      <c r="F283" s="114" t="s">
        <v>71</v>
      </c>
      <c r="G283" s="114" t="s">
        <v>2506</v>
      </c>
      <c r="H283" s="114" t="s">
        <v>2001</v>
      </c>
      <c r="I283" s="114" t="s">
        <v>2018</v>
      </c>
      <c r="J283" s="114" t="s">
        <v>2312</v>
      </c>
      <c r="K283" s="114" t="s">
        <v>3338</v>
      </c>
      <c r="L283" s="114" t="s">
        <v>3099</v>
      </c>
      <c r="M283" s="115"/>
      <c r="N283" s="114" t="s">
        <v>70</v>
      </c>
      <c r="O283" s="115"/>
      <c r="P283" s="115"/>
      <c r="Q283" s="115"/>
      <c r="R283" s="114" t="s">
        <v>2384</v>
      </c>
      <c r="S283" s="114">
        <v>272.0</v>
      </c>
      <c r="T283" s="116" t="s">
        <v>3372</v>
      </c>
      <c r="U283" s="115"/>
      <c r="V283" s="115"/>
      <c r="W283" s="114" t="s">
        <v>108</v>
      </c>
      <c r="X283" s="115"/>
      <c r="Y283" s="114" t="s">
        <v>570</v>
      </c>
      <c r="Z283" s="115"/>
      <c r="AA283" s="115"/>
      <c r="AB283" s="115"/>
      <c r="AC283" s="115"/>
    </row>
    <row r="284">
      <c r="A284" s="113" t="s">
        <v>3373</v>
      </c>
      <c r="B284" s="114" t="s">
        <v>672</v>
      </c>
      <c r="C284" s="114" t="s">
        <v>85</v>
      </c>
      <c r="D284" s="115"/>
      <c r="E284" s="114" t="s">
        <v>2380</v>
      </c>
      <c r="F284" s="114" t="s">
        <v>71</v>
      </c>
      <c r="G284" s="114" t="s">
        <v>3374</v>
      </c>
      <c r="H284" s="114" t="s">
        <v>2001</v>
      </c>
      <c r="I284" s="114" t="s">
        <v>2018</v>
      </c>
      <c r="J284" s="114" t="s">
        <v>2312</v>
      </c>
      <c r="K284" s="114" t="s">
        <v>3375</v>
      </c>
      <c r="L284" s="115"/>
      <c r="M284" s="115"/>
      <c r="N284" s="114" t="s">
        <v>2268</v>
      </c>
      <c r="O284" s="115"/>
      <c r="P284" s="115"/>
      <c r="Q284" s="115"/>
      <c r="R284" s="114" t="s">
        <v>2384</v>
      </c>
      <c r="S284" s="114">
        <v>272.0</v>
      </c>
      <c r="T284" s="116" t="s">
        <v>3376</v>
      </c>
      <c r="U284" s="115"/>
      <c r="V284" s="115"/>
      <c r="W284" s="115"/>
      <c r="X284" s="115"/>
      <c r="Y284" s="115"/>
      <c r="Z284" s="115"/>
      <c r="AA284" s="114" t="s">
        <v>199</v>
      </c>
      <c r="AB284" s="115"/>
      <c r="AC284" s="115"/>
    </row>
    <row r="285">
      <c r="A285" s="113" t="s">
        <v>3377</v>
      </c>
      <c r="B285" s="114" t="s">
        <v>64</v>
      </c>
      <c r="C285" s="114" t="s">
        <v>76</v>
      </c>
      <c r="D285" s="115"/>
      <c r="E285" s="114" t="s">
        <v>2380</v>
      </c>
      <c r="F285" s="114" t="s">
        <v>1174</v>
      </c>
      <c r="G285" s="114" t="s">
        <v>2506</v>
      </c>
      <c r="H285" s="114" t="s">
        <v>2001</v>
      </c>
      <c r="I285" s="114" t="s">
        <v>2018</v>
      </c>
      <c r="J285" s="115"/>
      <c r="K285" s="115"/>
      <c r="L285" s="115"/>
      <c r="M285" s="115"/>
      <c r="N285" s="114" t="s">
        <v>70</v>
      </c>
      <c r="O285" s="114" t="s">
        <v>2382</v>
      </c>
      <c r="P285" s="114" t="s">
        <v>1997</v>
      </c>
      <c r="Q285" s="114" t="s">
        <v>3316</v>
      </c>
      <c r="R285" s="114" t="s">
        <v>2384</v>
      </c>
      <c r="S285" s="114">
        <v>272.0</v>
      </c>
      <c r="T285" s="116" t="s">
        <v>3378</v>
      </c>
      <c r="U285" s="115"/>
      <c r="V285" s="115"/>
      <c r="W285" s="114" t="s">
        <v>108</v>
      </c>
      <c r="X285" s="115"/>
      <c r="Y285" s="115"/>
      <c r="Z285" s="115"/>
      <c r="AA285" s="115"/>
      <c r="AB285" s="115"/>
      <c r="AC285" s="115"/>
    </row>
    <row r="286">
      <c r="A286" s="113" t="s">
        <v>3379</v>
      </c>
      <c r="B286" s="114" t="s">
        <v>444</v>
      </c>
      <c r="C286" s="114" t="s">
        <v>178</v>
      </c>
      <c r="D286" s="115"/>
      <c r="E286" s="114" t="s">
        <v>2486</v>
      </c>
      <c r="F286" s="114" t="s">
        <v>2214</v>
      </c>
      <c r="G286" s="114" t="s">
        <v>2506</v>
      </c>
      <c r="H286" s="114" t="s">
        <v>2001</v>
      </c>
      <c r="I286" s="114" t="s">
        <v>2018</v>
      </c>
      <c r="J286" s="114" t="s">
        <v>2312</v>
      </c>
      <c r="K286" s="114" t="s">
        <v>3380</v>
      </c>
      <c r="L286" s="115"/>
      <c r="M286" s="115"/>
      <c r="N286" s="114" t="s">
        <v>2222</v>
      </c>
      <c r="O286" s="115"/>
      <c r="P286" s="115"/>
      <c r="Q286" s="115"/>
      <c r="R286" s="114" t="s">
        <v>2384</v>
      </c>
      <c r="S286" s="114">
        <v>272.0</v>
      </c>
      <c r="T286" s="116" t="s">
        <v>3381</v>
      </c>
      <c r="U286" s="115"/>
      <c r="V286" s="115"/>
      <c r="W286" s="114" t="s">
        <v>108</v>
      </c>
      <c r="X286" s="115"/>
      <c r="Y286" s="114" t="s">
        <v>2501</v>
      </c>
      <c r="Z286" s="115"/>
      <c r="AA286" s="115"/>
      <c r="AB286" s="115"/>
      <c r="AC286" s="115"/>
    </row>
    <row r="287">
      <c r="A287" s="113" t="s">
        <v>3382</v>
      </c>
      <c r="B287" s="114" t="s">
        <v>672</v>
      </c>
      <c r="C287" s="114" t="s">
        <v>76</v>
      </c>
      <c r="D287" s="115"/>
      <c r="E287" s="114" t="s">
        <v>2380</v>
      </c>
      <c r="F287" s="114" t="s">
        <v>2223</v>
      </c>
      <c r="G287" s="114" t="s">
        <v>2479</v>
      </c>
      <c r="H287" s="114" t="s">
        <v>2001</v>
      </c>
      <c r="I287" s="114" t="s">
        <v>2018</v>
      </c>
      <c r="J287" s="115"/>
      <c r="K287" s="115"/>
      <c r="L287" s="115"/>
      <c r="M287" s="115"/>
      <c r="N287" s="114" t="s">
        <v>70</v>
      </c>
      <c r="O287" s="114" t="s">
        <v>2573</v>
      </c>
      <c r="P287" s="114" t="s">
        <v>1997</v>
      </c>
      <c r="Q287" s="114" t="s">
        <v>3383</v>
      </c>
      <c r="R287" s="114" t="s">
        <v>2384</v>
      </c>
      <c r="S287" s="114">
        <v>273.0</v>
      </c>
      <c r="T287" s="116" t="s">
        <v>3384</v>
      </c>
      <c r="U287" s="114" t="s">
        <v>3385</v>
      </c>
      <c r="V287" s="115"/>
      <c r="W287" s="114" t="s">
        <v>2550</v>
      </c>
      <c r="X287" s="115"/>
      <c r="Y287" s="115"/>
      <c r="Z287" s="115"/>
      <c r="AA287" s="114" t="s">
        <v>199</v>
      </c>
      <c r="AB287" s="114" t="s">
        <v>75</v>
      </c>
      <c r="AC287" s="115"/>
    </row>
    <row r="288">
      <c r="A288" s="113" t="s">
        <v>3386</v>
      </c>
      <c r="B288" s="114" t="s">
        <v>1452</v>
      </c>
      <c r="C288" s="114" t="s">
        <v>144</v>
      </c>
      <c r="D288" s="115"/>
      <c r="E288" s="114" t="s">
        <v>134</v>
      </c>
      <c r="F288" s="114" t="s">
        <v>78</v>
      </c>
      <c r="G288" s="114" t="s">
        <v>2506</v>
      </c>
      <c r="H288" s="114" t="s">
        <v>2001</v>
      </c>
      <c r="I288" s="114" t="s">
        <v>2018</v>
      </c>
      <c r="J288" s="114" t="s">
        <v>2312</v>
      </c>
      <c r="K288" s="114" t="s">
        <v>3387</v>
      </c>
      <c r="L288" s="114" t="s">
        <v>2476</v>
      </c>
      <c r="M288" s="114" t="s">
        <v>39</v>
      </c>
      <c r="N288" s="114" t="s">
        <v>134</v>
      </c>
      <c r="O288" s="114" t="s">
        <v>2401</v>
      </c>
      <c r="P288" s="115"/>
      <c r="Q288" s="115"/>
      <c r="R288" s="114" t="s">
        <v>2384</v>
      </c>
      <c r="S288" s="114">
        <v>273.0</v>
      </c>
      <c r="T288" s="116" t="s">
        <v>3388</v>
      </c>
      <c r="U288" s="115"/>
      <c r="V288" s="114" t="s">
        <v>123</v>
      </c>
      <c r="W288" s="114" t="s">
        <v>108</v>
      </c>
      <c r="X288" s="114" t="s">
        <v>130</v>
      </c>
      <c r="Y288" s="114" t="s">
        <v>2484</v>
      </c>
      <c r="Z288" s="115"/>
      <c r="AA288" s="114" t="s">
        <v>199</v>
      </c>
      <c r="AB288" s="115"/>
      <c r="AC288" s="114" t="s">
        <v>250</v>
      </c>
    </row>
    <row r="289">
      <c r="A289" s="113" t="s">
        <v>3389</v>
      </c>
      <c r="B289" s="114" t="s">
        <v>444</v>
      </c>
      <c r="C289" s="114" t="s">
        <v>76</v>
      </c>
      <c r="D289" s="115"/>
      <c r="E289" s="114" t="s">
        <v>2486</v>
      </c>
      <c r="F289" s="114" t="s">
        <v>78</v>
      </c>
      <c r="G289" s="114" t="s">
        <v>2506</v>
      </c>
      <c r="H289" s="114" t="s">
        <v>2001</v>
      </c>
      <c r="I289" s="115"/>
      <c r="J289" s="115"/>
      <c r="K289" s="115"/>
      <c r="L289" s="115"/>
      <c r="M289" s="114" t="s">
        <v>39</v>
      </c>
      <c r="N289" s="114" t="s">
        <v>2222</v>
      </c>
      <c r="O289" s="114" t="s">
        <v>3390</v>
      </c>
      <c r="P289" s="114" t="s">
        <v>1997</v>
      </c>
      <c r="Q289" s="114" t="s">
        <v>2383</v>
      </c>
      <c r="R289" s="114" t="s">
        <v>2384</v>
      </c>
      <c r="S289" s="114">
        <v>274.0</v>
      </c>
      <c r="T289" s="116" t="s">
        <v>3391</v>
      </c>
      <c r="U289" s="114" t="s">
        <v>3392</v>
      </c>
      <c r="V289" s="115"/>
      <c r="W289" s="115"/>
      <c r="X289" s="115"/>
      <c r="Y289" s="114" t="s">
        <v>570</v>
      </c>
      <c r="Z289" s="115"/>
      <c r="AA289" s="115"/>
      <c r="AB289" s="115"/>
      <c r="AC289" s="115"/>
    </row>
    <row r="290">
      <c r="A290" s="113" t="s">
        <v>3393</v>
      </c>
      <c r="B290" s="114" t="s">
        <v>672</v>
      </c>
      <c r="C290" s="114" t="s">
        <v>144</v>
      </c>
      <c r="D290" s="115"/>
      <c r="E290" s="114" t="s">
        <v>2380</v>
      </c>
      <c r="F290" s="114" t="s">
        <v>78</v>
      </c>
      <c r="G290" s="114" t="s">
        <v>78</v>
      </c>
      <c r="H290" s="114" t="s">
        <v>2001</v>
      </c>
      <c r="I290" s="114" t="s">
        <v>2018</v>
      </c>
      <c r="J290" s="114" t="s">
        <v>2312</v>
      </c>
      <c r="K290" s="114" t="s">
        <v>3394</v>
      </c>
      <c r="L290" s="115"/>
      <c r="M290" s="115"/>
      <c r="N290" s="114" t="s">
        <v>2268</v>
      </c>
      <c r="O290" s="115"/>
      <c r="P290" s="115"/>
      <c r="Q290" s="115"/>
      <c r="R290" s="114" t="s">
        <v>2384</v>
      </c>
      <c r="S290" s="114">
        <v>274.0</v>
      </c>
      <c r="T290" s="116" t="s">
        <v>3395</v>
      </c>
      <c r="U290" s="115"/>
      <c r="V290" s="114" t="s">
        <v>123</v>
      </c>
      <c r="W290" s="115"/>
      <c r="X290" s="115"/>
      <c r="Y290" s="115"/>
      <c r="Z290" s="115"/>
      <c r="AA290" s="114" t="s">
        <v>199</v>
      </c>
      <c r="AB290" s="114" t="s">
        <v>75</v>
      </c>
      <c r="AC290" s="115"/>
    </row>
    <row r="291">
      <c r="A291" s="113" t="s">
        <v>3396</v>
      </c>
      <c r="B291" s="114" t="s">
        <v>1452</v>
      </c>
      <c r="C291" s="114" t="s">
        <v>65</v>
      </c>
      <c r="D291" s="115"/>
      <c r="E291" s="114" t="s">
        <v>2380</v>
      </c>
      <c r="F291" s="114" t="s">
        <v>2214</v>
      </c>
      <c r="G291" s="114" t="s">
        <v>3397</v>
      </c>
      <c r="H291" s="114" t="s">
        <v>2001</v>
      </c>
      <c r="I291" s="114" t="s">
        <v>2018</v>
      </c>
      <c r="J291" s="115"/>
      <c r="K291" s="115"/>
      <c r="L291" s="115"/>
      <c r="M291" s="115"/>
      <c r="N291" s="114" t="s">
        <v>1008</v>
      </c>
      <c r="O291" s="114" t="s">
        <v>2481</v>
      </c>
      <c r="P291" s="115"/>
      <c r="Q291" s="115"/>
      <c r="R291" s="114" t="s">
        <v>2384</v>
      </c>
      <c r="S291" s="114">
        <v>274.0</v>
      </c>
      <c r="T291" s="116" t="s">
        <v>3398</v>
      </c>
      <c r="U291" s="115"/>
      <c r="V291" s="114" t="s">
        <v>123</v>
      </c>
      <c r="W291" s="115"/>
      <c r="X291" s="115"/>
      <c r="Y291" s="115"/>
      <c r="Z291" s="115"/>
      <c r="AA291" s="114" t="s">
        <v>199</v>
      </c>
      <c r="AB291" s="114" t="s">
        <v>75</v>
      </c>
      <c r="AC291" s="115"/>
    </row>
    <row r="292">
      <c r="A292" s="113" t="s">
        <v>3399</v>
      </c>
      <c r="B292" s="114" t="s">
        <v>945</v>
      </c>
      <c r="C292" s="114" t="s">
        <v>76</v>
      </c>
      <c r="D292" s="115"/>
      <c r="E292" s="114" t="s">
        <v>2380</v>
      </c>
      <c r="F292" s="114" t="s">
        <v>2088</v>
      </c>
      <c r="G292" s="114" t="s">
        <v>2506</v>
      </c>
      <c r="H292" s="114" t="s">
        <v>2001</v>
      </c>
      <c r="I292" s="114" t="s">
        <v>2018</v>
      </c>
      <c r="J292" s="114" t="s">
        <v>2312</v>
      </c>
      <c r="K292" s="114" t="s">
        <v>3400</v>
      </c>
      <c r="L292" s="115"/>
      <c r="M292" s="115"/>
      <c r="N292" s="114" t="s">
        <v>2519</v>
      </c>
      <c r="O292" s="115"/>
      <c r="P292" s="115"/>
      <c r="Q292" s="115"/>
      <c r="R292" s="114" t="s">
        <v>2384</v>
      </c>
      <c r="S292" s="114">
        <v>274.0</v>
      </c>
      <c r="T292" s="116" t="s">
        <v>3401</v>
      </c>
      <c r="U292" s="115"/>
      <c r="V292" s="114" t="s">
        <v>123</v>
      </c>
      <c r="W292" s="114" t="s">
        <v>108</v>
      </c>
      <c r="X292" s="115"/>
      <c r="Y292" s="115"/>
      <c r="Z292" s="115"/>
      <c r="AA292" s="114" t="s">
        <v>199</v>
      </c>
      <c r="AB292" s="115"/>
      <c r="AC292" s="115"/>
    </row>
    <row r="293">
      <c r="A293" s="113" t="s">
        <v>3402</v>
      </c>
      <c r="B293" s="114" t="s">
        <v>1709</v>
      </c>
      <c r="C293" s="114" t="s">
        <v>85</v>
      </c>
      <c r="D293" s="115"/>
      <c r="E293" s="114" t="s">
        <v>2380</v>
      </c>
      <c r="F293" s="114" t="s">
        <v>71</v>
      </c>
      <c r="G293" s="114" t="s">
        <v>3403</v>
      </c>
      <c r="H293" s="114" t="s">
        <v>2001</v>
      </c>
      <c r="I293" s="114" t="s">
        <v>2018</v>
      </c>
      <c r="J293" s="114" t="s">
        <v>2312</v>
      </c>
      <c r="K293" s="114" t="s">
        <v>3404</v>
      </c>
      <c r="L293" s="114" t="s">
        <v>2948</v>
      </c>
      <c r="M293" s="115"/>
      <c r="N293" s="114" t="s">
        <v>2446</v>
      </c>
      <c r="O293" s="115"/>
      <c r="P293" s="115"/>
      <c r="Q293" s="115"/>
      <c r="R293" s="114" t="s">
        <v>2384</v>
      </c>
      <c r="S293" s="114">
        <v>274.0</v>
      </c>
      <c r="T293" s="116" t="s">
        <v>3405</v>
      </c>
      <c r="U293" s="115"/>
      <c r="V293" s="115"/>
      <c r="W293" s="115"/>
      <c r="X293" s="115"/>
      <c r="Y293" s="115"/>
      <c r="Z293" s="115"/>
      <c r="AA293" s="114" t="s">
        <v>199</v>
      </c>
      <c r="AB293" s="115"/>
      <c r="AC293" s="115"/>
    </row>
    <row r="294">
      <c r="A294" s="113" t="s">
        <v>3406</v>
      </c>
      <c r="B294" s="114" t="s">
        <v>1919</v>
      </c>
      <c r="C294" s="114" t="s">
        <v>85</v>
      </c>
      <c r="D294" s="115"/>
      <c r="E294" s="114" t="s">
        <v>2380</v>
      </c>
      <c r="F294" s="114" t="s">
        <v>78</v>
      </c>
      <c r="G294" s="114" t="s">
        <v>78</v>
      </c>
      <c r="H294" s="114" t="s">
        <v>2001</v>
      </c>
      <c r="I294" s="114" t="s">
        <v>2018</v>
      </c>
      <c r="J294" s="114" t="s">
        <v>2312</v>
      </c>
      <c r="K294" s="114" t="s">
        <v>3407</v>
      </c>
      <c r="L294" s="114" t="s">
        <v>2668</v>
      </c>
      <c r="M294" s="114" t="s">
        <v>39</v>
      </c>
      <c r="N294" s="114" t="s">
        <v>2268</v>
      </c>
      <c r="O294" s="115"/>
      <c r="P294" s="115"/>
      <c r="Q294" s="115"/>
      <c r="R294" s="114" t="s">
        <v>2384</v>
      </c>
      <c r="S294" s="114">
        <v>274.0</v>
      </c>
      <c r="T294" s="116" t="s">
        <v>3408</v>
      </c>
      <c r="U294" s="115"/>
      <c r="V294" s="115"/>
      <c r="W294" s="115"/>
      <c r="X294" s="114" t="s">
        <v>130</v>
      </c>
      <c r="Y294" s="115"/>
      <c r="Z294" s="115"/>
      <c r="AA294" s="114" t="s">
        <v>199</v>
      </c>
      <c r="AB294" s="115"/>
      <c r="AC294" s="115"/>
    </row>
    <row r="295">
      <c r="A295" s="113" t="s">
        <v>3409</v>
      </c>
      <c r="B295" s="114" t="s">
        <v>672</v>
      </c>
      <c r="C295" s="114" t="s">
        <v>76</v>
      </c>
      <c r="D295" s="115"/>
      <c r="E295" s="114" t="s">
        <v>2380</v>
      </c>
      <c r="F295" s="114" t="s">
        <v>1174</v>
      </c>
      <c r="G295" s="114" t="s">
        <v>3410</v>
      </c>
      <c r="H295" s="114" t="s">
        <v>2001</v>
      </c>
      <c r="I295" s="114" t="s">
        <v>2018</v>
      </c>
      <c r="J295" s="114" t="s">
        <v>2312</v>
      </c>
      <c r="K295" s="114" t="s">
        <v>3411</v>
      </c>
      <c r="L295" s="115"/>
      <c r="M295" s="115"/>
      <c r="N295" s="114" t="s">
        <v>70</v>
      </c>
      <c r="O295" s="114" t="s">
        <v>2526</v>
      </c>
      <c r="P295" s="114" t="s">
        <v>2113</v>
      </c>
      <c r="Q295" s="114" t="s">
        <v>2532</v>
      </c>
      <c r="R295" s="114" t="s">
        <v>2384</v>
      </c>
      <c r="S295" s="114">
        <v>275.0</v>
      </c>
      <c r="T295" s="116" t="s">
        <v>3412</v>
      </c>
      <c r="U295" s="114" t="s">
        <v>2529</v>
      </c>
      <c r="V295" s="114" t="s">
        <v>123</v>
      </c>
      <c r="W295" s="114" t="s">
        <v>2556</v>
      </c>
      <c r="X295" s="115"/>
      <c r="Y295" s="115"/>
      <c r="Z295" s="115"/>
      <c r="AA295" s="114" t="s">
        <v>199</v>
      </c>
      <c r="AB295" s="114" t="s">
        <v>75</v>
      </c>
      <c r="AC295" s="114" t="s">
        <v>250</v>
      </c>
    </row>
    <row r="296">
      <c r="A296" s="113" t="s">
        <v>3413</v>
      </c>
      <c r="B296" s="114" t="s">
        <v>444</v>
      </c>
      <c r="C296" s="114" t="s">
        <v>178</v>
      </c>
      <c r="D296" s="115"/>
      <c r="E296" s="114" t="s">
        <v>3414</v>
      </c>
      <c r="F296" s="114" t="s">
        <v>78</v>
      </c>
      <c r="G296" s="114" t="s">
        <v>78</v>
      </c>
      <c r="H296" s="114" t="s">
        <v>2001</v>
      </c>
      <c r="I296" s="114" t="s">
        <v>2018</v>
      </c>
      <c r="J296" s="115"/>
      <c r="K296" s="115"/>
      <c r="L296" s="115"/>
      <c r="M296" s="115"/>
      <c r="N296" s="114" t="s">
        <v>2519</v>
      </c>
      <c r="O296" s="115"/>
      <c r="P296" s="115"/>
      <c r="Q296" s="115"/>
      <c r="R296" s="114" t="s">
        <v>2384</v>
      </c>
      <c r="S296" s="114">
        <v>275.0</v>
      </c>
      <c r="T296" s="116" t="s">
        <v>3415</v>
      </c>
      <c r="U296" s="115"/>
      <c r="V296" s="115"/>
      <c r="W296" s="115"/>
      <c r="X296" s="115"/>
      <c r="Y296" s="115"/>
      <c r="Z296" s="115"/>
      <c r="AA296" s="114" t="s">
        <v>199</v>
      </c>
      <c r="AB296" s="114" t="s">
        <v>75</v>
      </c>
      <c r="AC296" s="115"/>
    </row>
    <row r="297">
      <c r="A297" s="113" t="s">
        <v>3416</v>
      </c>
      <c r="B297" s="114" t="s">
        <v>444</v>
      </c>
      <c r="C297" s="114" t="s">
        <v>178</v>
      </c>
      <c r="D297" s="115"/>
      <c r="E297" s="114" t="s">
        <v>2486</v>
      </c>
      <c r="F297" s="114" t="s">
        <v>1174</v>
      </c>
      <c r="G297" s="114" t="s">
        <v>2506</v>
      </c>
      <c r="H297" s="114" t="s">
        <v>2001</v>
      </c>
      <c r="I297" s="114" t="s">
        <v>2018</v>
      </c>
      <c r="J297" s="114" t="s">
        <v>2312</v>
      </c>
      <c r="K297" s="114" t="s">
        <v>3417</v>
      </c>
      <c r="L297" s="115"/>
      <c r="M297" s="114" t="s">
        <v>39</v>
      </c>
      <c r="N297" s="114" t="s">
        <v>134</v>
      </c>
      <c r="O297" s="115"/>
      <c r="P297" s="115"/>
      <c r="Q297" s="115"/>
      <c r="R297" s="114" t="s">
        <v>2384</v>
      </c>
      <c r="S297" s="114">
        <v>275.0</v>
      </c>
      <c r="T297" s="116" t="s">
        <v>3418</v>
      </c>
      <c r="U297" s="115"/>
      <c r="V297" s="115"/>
      <c r="W297" s="114" t="s">
        <v>108</v>
      </c>
      <c r="X297" s="115"/>
      <c r="Y297" s="114" t="s">
        <v>570</v>
      </c>
      <c r="Z297" s="115"/>
      <c r="AA297" s="115"/>
      <c r="AB297" s="115"/>
      <c r="AC297" s="115"/>
    </row>
    <row r="298">
      <c r="A298" s="113" t="s">
        <v>3419</v>
      </c>
      <c r="B298" s="114" t="s">
        <v>64</v>
      </c>
      <c r="C298" s="114" t="s">
        <v>85</v>
      </c>
      <c r="D298" s="115"/>
      <c r="E298" s="114" t="s">
        <v>2486</v>
      </c>
      <c r="F298" s="114" t="s">
        <v>71</v>
      </c>
      <c r="G298" s="114" t="s">
        <v>3420</v>
      </c>
      <c r="H298" s="114" t="s">
        <v>2001</v>
      </c>
      <c r="I298" s="114" t="s">
        <v>2018</v>
      </c>
      <c r="J298" s="114" t="s">
        <v>2312</v>
      </c>
      <c r="K298" s="114" t="s">
        <v>3421</v>
      </c>
      <c r="L298" s="115"/>
      <c r="M298" s="115"/>
      <c r="N298" s="114" t="s">
        <v>2222</v>
      </c>
      <c r="O298" s="115"/>
      <c r="P298" s="115"/>
      <c r="Q298" s="115"/>
      <c r="R298" s="114" t="s">
        <v>2384</v>
      </c>
      <c r="S298" s="114">
        <v>275.0</v>
      </c>
      <c r="T298" s="116" t="s">
        <v>3422</v>
      </c>
      <c r="U298" s="115"/>
      <c r="V298" s="115"/>
      <c r="W298" s="114" t="s">
        <v>2404</v>
      </c>
      <c r="X298" s="114" t="s">
        <v>130</v>
      </c>
      <c r="Y298" s="115"/>
      <c r="Z298" s="115"/>
      <c r="AA298" s="115"/>
      <c r="AB298" s="115"/>
      <c r="AC298" s="115"/>
    </row>
    <row r="299">
      <c r="A299" s="113" t="s">
        <v>3423</v>
      </c>
      <c r="B299" s="114" t="s">
        <v>64</v>
      </c>
      <c r="C299" s="114" t="s">
        <v>76</v>
      </c>
      <c r="D299" s="115"/>
      <c r="E299" s="114" t="s">
        <v>2380</v>
      </c>
      <c r="F299" s="114" t="s">
        <v>71</v>
      </c>
      <c r="G299" s="114" t="s">
        <v>2506</v>
      </c>
      <c r="H299" s="114" t="s">
        <v>2001</v>
      </c>
      <c r="I299" s="114" t="s">
        <v>2018</v>
      </c>
      <c r="J299" s="115"/>
      <c r="K299" s="115"/>
      <c r="L299" s="115"/>
      <c r="M299" s="115"/>
      <c r="N299" s="114" t="s">
        <v>70</v>
      </c>
      <c r="O299" s="114" t="s">
        <v>2900</v>
      </c>
      <c r="P299" s="114" t="s">
        <v>2098</v>
      </c>
      <c r="Q299" s="114" t="s">
        <v>3316</v>
      </c>
      <c r="R299" s="114" t="s">
        <v>2384</v>
      </c>
      <c r="S299" s="114">
        <v>275.0</v>
      </c>
      <c r="T299" s="116" t="s">
        <v>3424</v>
      </c>
      <c r="U299" s="115"/>
      <c r="V299" s="115"/>
      <c r="W299" s="115"/>
      <c r="X299" s="115"/>
      <c r="Y299" s="115"/>
      <c r="Z299" s="115"/>
      <c r="AA299" s="114" t="s">
        <v>199</v>
      </c>
      <c r="AB299" s="114" t="s">
        <v>75</v>
      </c>
      <c r="AC299" s="115"/>
    </row>
    <row r="300">
      <c r="A300" s="113" t="s">
        <v>3425</v>
      </c>
      <c r="B300" s="114" t="s">
        <v>672</v>
      </c>
      <c r="C300" s="114" t="s">
        <v>65</v>
      </c>
      <c r="D300" s="114" t="s">
        <v>28</v>
      </c>
      <c r="E300" s="114" t="s">
        <v>2380</v>
      </c>
      <c r="F300" s="114" t="s">
        <v>2223</v>
      </c>
      <c r="G300" s="114" t="s">
        <v>2558</v>
      </c>
      <c r="H300" s="114" t="s">
        <v>2001</v>
      </c>
      <c r="I300" s="114" t="s">
        <v>2018</v>
      </c>
      <c r="J300" s="115"/>
      <c r="K300" s="115"/>
      <c r="L300" s="115"/>
      <c r="M300" s="114" t="s">
        <v>39</v>
      </c>
      <c r="N300" s="114" t="s">
        <v>134</v>
      </c>
      <c r="O300" s="115"/>
      <c r="P300" s="115"/>
      <c r="Q300" s="115"/>
      <c r="R300" s="114" t="s">
        <v>2384</v>
      </c>
      <c r="S300" s="114">
        <v>275.0</v>
      </c>
      <c r="T300" s="116" t="s">
        <v>3426</v>
      </c>
      <c r="U300" s="115"/>
      <c r="V300" s="114" t="s">
        <v>123</v>
      </c>
      <c r="W300" s="114" t="s">
        <v>108</v>
      </c>
      <c r="X300" s="114" t="s">
        <v>2542</v>
      </c>
      <c r="Y300" s="115"/>
      <c r="Z300" s="114" t="s">
        <v>443</v>
      </c>
      <c r="AA300" s="115"/>
      <c r="AB300" s="115"/>
      <c r="AC300" s="115"/>
    </row>
    <row r="301">
      <c r="A301" s="113" t="s">
        <v>3427</v>
      </c>
      <c r="B301" s="114" t="s">
        <v>444</v>
      </c>
      <c r="C301" s="114" t="s">
        <v>65</v>
      </c>
      <c r="D301" s="115"/>
      <c r="E301" s="114" t="s">
        <v>2380</v>
      </c>
      <c r="F301" s="114" t="s">
        <v>1174</v>
      </c>
      <c r="G301" s="114" t="s">
        <v>3428</v>
      </c>
      <c r="H301" s="114" t="s">
        <v>2001</v>
      </c>
      <c r="I301" s="114" t="s">
        <v>2018</v>
      </c>
      <c r="J301" s="114" t="s">
        <v>2312</v>
      </c>
      <c r="K301" s="114" t="s">
        <v>3168</v>
      </c>
      <c r="L301" s="115"/>
      <c r="M301" s="114" t="s">
        <v>39</v>
      </c>
      <c r="N301" s="114" t="s">
        <v>134</v>
      </c>
      <c r="O301" s="115"/>
      <c r="P301" s="115"/>
      <c r="Q301" s="115"/>
      <c r="R301" s="114" t="s">
        <v>2384</v>
      </c>
      <c r="S301" s="114">
        <v>276.0</v>
      </c>
      <c r="T301" s="116" t="s">
        <v>3429</v>
      </c>
      <c r="U301" s="115"/>
      <c r="V301" s="114" t="s">
        <v>123</v>
      </c>
      <c r="W301" s="115"/>
      <c r="X301" s="115"/>
      <c r="Y301" s="115"/>
      <c r="Z301" s="115"/>
      <c r="AA301" s="114" t="s">
        <v>199</v>
      </c>
      <c r="AB301" s="114" t="s">
        <v>75</v>
      </c>
      <c r="AC301" s="115"/>
    </row>
    <row r="302">
      <c r="A302" s="113" t="s">
        <v>3430</v>
      </c>
      <c r="B302" s="114" t="s">
        <v>1709</v>
      </c>
      <c r="C302" s="114" t="s">
        <v>65</v>
      </c>
      <c r="D302" s="115"/>
      <c r="E302" s="114" t="s">
        <v>3431</v>
      </c>
      <c r="F302" s="114" t="s">
        <v>71</v>
      </c>
      <c r="G302" s="115"/>
      <c r="H302" s="114" t="s">
        <v>2001</v>
      </c>
      <c r="I302" s="114" t="s">
        <v>2018</v>
      </c>
      <c r="J302" s="114" t="s">
        <v>2312</v>
      </c>
      <c r="K302" s="114" t="s">
        <v>2508</v>
      </c>
      <c r="L302" s="114" t="s">
        <v>2668</v>
      </c>
      <c r="M302" s="115"/>
      <c r="N302" s="114" t="s">
        <v>2446</v>
      </c>
      <c r="O302" s="115"/>
      <c r="P302" s="115"/>
      <c r="Q302" s="115"/>
      <c r="R302" s="114" t="s">
        <v>2384</v>
      </c>
      <c r="S302" s="114">
        <v>276.0</v>
      </c>
      <c r="T302" s="116" t="s">
        <v>3432</v>
      </c>
      <c r="U302" s="115"/>
      <c r="V302" s="115"/>
      <c r="W302" s="115"/>
      <c r="X302" s="115"/>
      <c r="Y302" s="115"/>
      <c r="Z302" s="115"/>
      <c r="AA302" s="114" t="s">
        <v>199</v>
      </c>
      <c r="AB302" s="115"/>
      <c r="AC302" s="115"/>
    </row>
    <row r="303">
      <c r="A303" s="113" t="s">
        <v>3433</v>
      </c>
      <c r="B303" s="114" t="s">
        <v>444</v>
      </c>
      <c r="C303" s="114" t="s">
        <v>183</v>
      </c>
      <c r="D303" s="115"/>
      <c r="E303" s="114" t="s">
        <v>2380</v>
      </c>
      <c r="F303" s="114" t="s">
        <v>2513</v>
      </c>
      <c r="G303" s="114" t="s">
        <v>3434</v>
      </c>
      <c r="H303" s="114" t="s">
        <v>2001</v>
      </c>
      <c r="I303" s="114" t="s">
        <v>2018</v>
      </c>
      <c r="J303" s="114" t="s">
        <v>2312</v>
      </c>
      <c r="K303" s="114" t="s">
        <v>3435</v>
      </c>
      <c r="L303" s="115"/>
      <c r="M303" s="115"/>
      <c r="N303" s="114" t="s">
        <v>2222</v>
      </c>
      <c r="O303" s="115"/>
      <c r="P303" s="115"/>
      <c r="Q303" s="115"/>
      <c r="R303" s="114" t="s">
        <v>2384</v>
      </c>
      <c r="S303" s="114">
        <v>276.0</v>
      </c>
      <c r="T303" s="116" t="s">
        <v>3436</v>
      </c>
      <c r="U303" s="114" t="s">
        <v>3437</v>
      </c>
      <c r="V303" s="114" t="s">
        <v>123</v>
      </c>
      <c r="W303" s="115"/>
      <c r="X303" s="115"/>
      <c r="Y303" s="115"/>
      <c r="Z303" s="115"/>
      <c r="AA303" s="114" t="s">
        <v>199</v>
      </c>
      <c r="AB303" s="114" t="s">
        <v>75</v>
      </c>
      <c r="AC303" s="115"/>
    </row>
    <row r="304">
      <c r="A304" s="113" t="s">
        <v>3438</v>
      </c>
      <c r="B304" s="114" t="s">
        <v>945</v>
      </c>
      <c r="C304" s="114" t="s">
        <v>103</v>
      </c>
      <c r="D304" s="115"/>
      <c r="E304" s="114" t="s">
        <v>2380</v>
      </c>
      <c r="F304" s="114" t="s">
        <v>2561</v>
      </c>
      <c r="G304" s="114" t="s">
        <v>3439</v>
      </c>
      <c r="H304" s="114" t="s">
        <v>2001</v>
      </c>
      <c r="I304" s="114" t="s">
        <v>2018</v>
      </c>
      <c r="J304" s="114" t="s">
        <v>2312</v>
      </c>
      <c r="K304" s="114" t="s">
        <v>3440</v>
      </c>
      <c r="L304" s="115"/>
      <c r="M304" s="114" t="s">
        <v>39</v>
      </c>
      <c r="N304" s="114" t="s">
        <v>2222</v>
      </c>
      <c r="O304" s="114" t="s">
        <v>2382</v>
      </c>
      <c r="P304" s="115"/>
      <c r="Q304" s="115"/>
      <c r="R304" s="114" t="s">
        <v>2384</v>
      </c>
      <c r="S304" s="114">
        <v>276.0</v>
      </c>
      <c r="T304" s="116" t="s">
        <v>3441</v>
      </c>
      <c r="U304" s="115"/>
      <c r="V304" s="115"/>
      <c r="W304" s="114" t="s">
        <v>2556</v>
      </c>
      <c r="X304" s="114" t="s">
        <v>130</v>
      </c>
      <c r="Y304" s="115"/>
      <c r="Z304" s="115"/>
      <c r="AA304" s="114" t="s">
        <v>199</v>
      </c>
      <c r="AB304" s="114" t="s">
        <v>75</v>
      </c>
      <c r="AC304" s="115"/>
    </row>
    <row r="305">
      <c r="A305" s="113" t="s">
        <v>3442</v>
      </c>
      <c r="B305" s="114" t="s">
        <v>945</v>
      </c>
      <c r="C305" s="114" t="s">
        <v>85</v>
      </c>
      <c r="D305" s="115"/>
      <c r="E305" s="114" t="s">
        <v>2380</v>
      </c>
      <c r="F305" s="114" t="s">
        <v>2223</v>
      </c>
      <c r="G305" s="114" t="s">
        <v>3443</v>
      </c>
      <c r="H305" s="114" t="s">
        <v>2001</v>
      </c>
      <c r="I305" s="114" t="s">
        <v>2018</v>
      </c>
      <c r="J305" s="114" t="s">
        <v>2312</v>
      </c>
      <c r="K305" s="114" t="s">
        <v>3444</v>
      </c>
      <c r="L305" s="115"/>
      <c r="M305" s="114" t="s">
        <v>39</v>
      </c>
      <c r="N305" s="114" t="s">
        <v>2222</v>
      </c>
      <c r="O305" s="114" t="s">
        <v>2401</v>
      </c>
      <c r="P305" s="115"/>
      <c r="Q305" s="115"/>
      <c r="R305" s="114" t="s">
        <v>2384</v>
      </c>
      <c r="S305" s="114">
        <v>277.0</v>
      </c>
      <c r="T305" s="116" t="s">
        <v>3445</v>
      </c>
      <c r="U305" s="115"/>
      <c r="V305" s="115"/>
      <c r="W305" s="115"/>
      <c r="X305" s="114" t="s">
        <v>2630</v>
      </c>
      <c r="Y305" s="115"/>
      <c r="Z305" s="115"/>
      <c r="AA305" s="114" t="s">
        <v>199</v>
      </c>
      <c r="AB305" s="114" t="s">
        <v>75</v>
      </c>
      <c r="AC305" s="115"/>
    </row>
    <row r="306">
      <c r="A306" s="113" t="s">
        <v>3446</v>
      </c>
      <c r="B306" s="114" t="s">
        <v>64</v>
      </c>
      <c r="C306" s="114" t="s">
        <v>140</v>
      </c>
      <c r="D306" s="115"/>
      <c r="E306" s="114" t="s">
        <v>2380</v>
      </c>
      <c r="F306" s="114" t="s">
        <v>71</v>
      </c>
      <c r="G306" s="114" t="s">
        <v>3447</v>
      </c>
      <c r="H306" s="114" t="s">
        <v>2001</v>
      </c>
      <c r="I306" s="114" t="s">
        <v>2018</v>
      </c>
      <c r="J306" s="115"/>
      <c r="K306" s="115"/>
      <c r="L306" s="115"/>
      <c r="M306" s="115"/>
      <c r="N306" s="114" t="s">
        <v>70</v>
      </c>
      <c r="O306" s="115"/>
      <c r="P306" s="115"/>
      <c r="Q306" s="115"/>
      <c r="R306" s="114" t="s">
        <v>2384</v>
      </c>
      <c r="S306" s="114">
        <v>277.0</v>
      </c>
      <c r="T306" s="116" t="s">
        <v>3448</v>
      </c>
      <c r="U306" s="115"/>
      <c r="V306" s="115"/>
      <c r="W306" s="114" t="s">
        <v>108</v>
      </c>
      <c r="X306" s="115"/>
      <c r="Y306" s="115"/>
      <c r="Z306" s="115"/>
      <c r="AA306" s="115"/>
      <c r="AB306" s="115"/>
      <c r="AC306" s="115"/>
    </row>
    <row r="307">
      <c r="A307" s="113" t="s">
        <v>3449</v>
      </c>
      <c r="B307" s="114" t="s">
        <v>444</v>
      </c>
      <c r="C307" s="114" t="s">
        <v>144</v>
      </c>
      <c r="D307" s="114" t="s">
        <v>28</v>
      </c>
      <c r="E307" s="114" t="s">
        <v>2380</v>
      </c>
      <c r="F307" s="114" t="s">
        <v>78</v>
      </c>
      <c r="G307" s="114" t="s">
        <v>78</v>
      </c>
      <c r="H307" s="114" t="s">
        <v>2001</v>
      </c>
      <c r="I307" s="114" t="s">
        <v>2018</v>
      </c>
      <c r="J307" s="115"/>
      <c r="K307" s="115"/>
      <c r="L307" s="115"/>
      <c r="M307" s="115"/>
      <c r="N307" s="114" t="s">
        <v>134</v>
      </c>
      <c r="O307" s="115"/>
      <c r="P307" s="115"/>
      <c r="Q307" s="115"/>
      <c r="R307" s="114" t="s">
        <v>2384</v>
      </c>
      <c r="S307" s="114">
        <v>277.0</v>
      </c>
      <c r="T307" s="116" t="s">
        <v>3450</v>
      </c>
      <c r="U307" s="115"/>
      <c r="V307" s="114" t="s">
        <v>123</v>
      </c>
      <c r="W307" s="114" t="s">
        <v>2404</v>
      </c>
      <c r="X307" s="114" t="s">
        <v>130</v>
      </c>
      <c r="Y307" s="114" t="s">
        <v>2617</v>
      </c>
      <c r="Z307" s="114" t="s">
        <v>443</v>
      </c>
      <c r="AA307" s="115"/>
      <c r="AB307" s="115"/>
      <c r="AC307" s="115"/>
    </row>
    <row r="308">
      <c r="A308" s="113" t="s">
        <v>3451</v>
      </c>
      <c r="B308" s="114" t="s">
        <v>945</v>
      </c>
      <c r="C308" s="114" t="s">
        <v>140</v>
      </c>
      <c r="D308" s="115"/>
      <c r="E308" s="114" t="s">
        <v>2380</v>
      </c>
      <c r="F308" s="114" t="s">
        <v>2413</v>
      </c>
      <c r="G308" s="114" t="s">
        <v>3337</v>
      </c>
      <c r="H308" s="114" t="s">
        <v>2001</v>
      </c>
      <c r="I308" s="114" t="s">
        <v>2018</v>
      </c>
      <c r="J308" s="114" t="s">
        <v>2312</v>
      </c>
      <c r="K308" s="114" t="s">
        <v>3452</v>
      </c>
      <c r="L308" s="115"/>
      <c r="M308" s="115"/>
      <c r="N308" s="114" t="s">
        <v>134</v>
      </c>
      <c r="O308" s="115"/>
      <c r="P308" s="115"/>
      <c r="Q308" s="115"/>
      <c r="R308" s="114" t="s">
        <v>2384</v>
      </c>
      <c r="S308" s="114">
        <v>277.0</v>
      </c>
      <c r="T308" s="116" t="s">
        <v>3453</v>
      </c>
      <c r="U308" s="115"/>
      <c r="V308" s="114" t="s">
        <v>123</v>
      </c>
      <c r="W308" s="114" t="s">
        <v>108</v>
      </c>
      <c r="X308" s="115"/>
      <c r="Y308" s="115"/>
      <c r="Z308" s="115"/>
      <c r="AA308" s="115"/>
      <c r="AB308" s="115"/>
      <c r="AC308" s="115"/>
    </row>
    <row r="309">
      <c r="A309" s="113" t="s">
        <v>3454</v>
      </c>
      <c r="B309" s="114" t="s">
        <v>945</v>
      </c>
      <c r="C309" s="114" t="s">
        <v>85</v>
      </c>
      <c r="D309" s="115"/>
      <c r="E309" s="114" t="s">
        <v>2380</v>
      </c>
      <c r="F309" s="114" t="s">
        <v>78</v>
      </c>
      <c r="G309" s="114" t="s">
        <v>913</v>
      </c>
      <c r="H309" s="114" t="s">
        <v>2001</v>
      </c>
      <c r="I309" s="114" t="s">
        <v>2018</v>
      </c>
      <c r="J309" s="115"/>
      <c r="K309" s="115"/>
      <c r="L309" s="115"/>
      <c r="M309" s="115"/>
      <c r="N309" s="114" t="s">
        <v>134</v>
      </c>
      <c r="O309" s="115"/>
      <c r="P309" s="115"/>
      <c r="Q309" s="115"/>
      <c r="R309" s="114" t="s">
        <v>2384</v>
      </c>
      <c r="S309" s="114">
        <v>277.0</v>
      </c>
      <c r="T309" s="116" t="s">
        <v>3455</v>
      </c>
      <c r="U309" s="115"/>
      <c r="V309" s="114" t="s">
        <v>123</v>
      </c>
      <c r="W309" s="115"/>
      <c r="X309" s="114" t="s">
        <v>130</v>
      </c>
      <c r="Y309" s="115"/>
      <c r="Z309" s="114" t="s">
        <v>443</v>
      </c>
      <c r="AA309" s="115"/>
      <c r="AB309" s="115"/>
      <c r="AC309" s="115"/>
    </row>
    <row r="310">
      <c r="A310" s="113" t="s">
        <v>3456</v>
      </c>
      <c r="B310" s="114" t="s">
        <v>672</v>
      </c>
      <c r="C310" s="114" t="s">
        <v>85</v>
      </c>
      <c r="D310" s="115"/>
      <c r="E310" s="114" t="s">
        <v>2380</v>
      </c>
      <c r="F310" s="114" t="s">
        <v>71</v>
      </c>
      <c r="G310" s="114" t="s">
        <v>2495</v>
      </c>
      <c r="H310" s="114" t="s">
        <v>2001</v>
      </c>
      <c r="I310" s="114" t="s">
        <v>2018</v>
      </c>
      <c r="J310" s="114" t="s">
        <v>2312</v>
      </c>
      <c r="K310" s="114" t="s">
        <v>3457</v>
      </c>
      <c r="L310" s="115"/>
      <c r="M310" s="114" t="s">
        <v>39</v>
      </c>
      <c r="N310" s="114" t="s">
        <v>2268</v>
      </c>
      <c r="O310" s="115"/>
      <c r="P310" s="115"/>
      <c r="Q310" s="115"/>
      <c r="R310" s="114" t="s">
        <v>2384</v>
      </c>
      <c r="S310" s="114">
        <v>277.0</v>
      </c>
      <c r="T310" s="116" t="s">
        <v>3458</v>
      </c>
      <c r="U310" s="115"/>
      <c r="V310" s="115"/>
      <c r="W310" s="115"/>
      <c r="X310" s="114" t="s">
        <v>3459</v>
      </c>
      <c r="Y310" s="115"/>
      <c r="Z310" s="115"/>
      <c r="AA310" s="114" t="s">
        <v>199</v>
      </c>
      <c r="AB310" s="114" t="s">
        <v>75</v>
      </c>
      <c r="AC310" s="114" t="s">
        <v>250</v>
      </c>
    </row>
    <row r="311">
      <c r="A311" s="113" t="s">
        <v>3460</v>
      </c>
      <c r="B311" s="114" t="s">
        <v>672</v>
      </c>
      <c r="C311" s="114" t="s">
        <v>85</v>
      </c>
      <c r="D311" s="115"/>
      <c r="E311" s="114" t="s">
        <v>2380</v>
      </c>
      <c r="F311" s="114" t="s">
        <v>2561</v>
      </c>
      <c r="G311" s="114" t="s">
        <v>3434</v>
      </c>
      <c r="H311" s="114" t="s">
        <v>2001</v>
      </c>
      <c r="I311" s="114" t="s">
        <v>2018</v>
      </c>
      <c r="J311" s="114" t="s">
        <v>2312</v>
      </c>
      <c r="K311" s="114" t="s">
        <v>3461</v>
      </c>
      <c r="L311" s="115"/>
      <c r="M311" s="114" t="s">
        <v>39</v>
      </c>
      <c r="N311" s="114" t="s">
        <v>134</v>
      </c>
      <c r="O311" s="115"/>
      <c r="P311" s="115"/>
      <c r="Q311" s="115"/>
      <c r="R311" s="114" t="s">
        <v>2384</v>
      </c>
      <c r="S311" s="114">
        <v>277.0</v>
      </c>
      <c r="T311" s="116" t="s">
        <v>3462</v>
      </c>
      <c r="U311" s="115"/>
      <c r="V311" s="115"/>
      <c r="W311" s="114" t="s">
        <v>2404</v>
      </c>
      <c r="X311" s="114" t="s">
        <v>130</v>
      </c>
      <c r="Y311" s="115"/>
      <c r="Z311" s="114" t="s">
        <v>443</v>
      </c>
      <c r="AA311" s="115"/>
      <c r="AB311" s="115"/>
      <c r="AC311" s="115"/>
    </row>
    <row r="312">
      <c r="A312" s="113" t="s">
        <v>3463</v>
      </c>
      <c r="B312" s="114" t="s">
        <v>945</v>
      </c>
      <c r="C312" s="114" t="s">
        <v>103</v>
      </c>
      <c r="D312" s="115"/>
      <c r="E312" s="114" t="s">
        <v>2380</v>
      </c>
      <c r="F312" s="114" t="s">
        <v>78</v>
      </c>
      <c r="G312" s="114" t="s">
        <v>3464</v>
      </c>
      <c r="H312" s="114" t="s">
        <v>2001</v>
      </c>
      <c r="I312" s="114" t="s">
        <v>2018</v>
      </c>
      <c r="J312" s="114" t="s">
        <v>2312</v>
      </c>
      <c r="K312" s="114" t="s">
        <v>3465</v>
      </c>
      <c r="L312" s="115"/>
      <c r="M312" s="114" t="s">
        <v>39</v>
      </c>
      <c r="N312" s="114" t="s">
        <v>134</v>
      </c>
      <c r="O312" s="114" t="s">
        <v>3466</v>
      </c>
      <c r="P312" s="114" t="s">
        <v>2926</v>
      </c>
      <c r="Q312" s="114" t="s">
        <v>2532</v>
      </c>
      <c r="R312" s="114" t="s">
        <v>2384</v>
      </c>
      <c r="S312" s="114">
        <v>278.0</v>
      </c>
      <c r="T312" s="116" t="s">
        <v>3467</v>
      </c>
      <c r="U312" s="114" t="s">
        <v>2529</v>
      </c>
      <c r="V312" s="115"/>
      <c r="W312" s="114" t="s">
        <v>108</v>
      </c>
      <c r="X312" s="115"/>
      <c r="Y312" s="115"/>
      <c r="Z312" s="115"/>
      <c r="AA312" s="115"/>
      <c r="AB312" s="115"/>
      <c r="AC312" s="115"/>
    </row>
    <row r="313">
      <c r="A313" s="113" t="s">
        <v>3468</v>
      </c>
      <c r="B313" s="114" t="s">
        <v>672</v>
      </c>
      <c r="C313" s="114" t="s">
        <v>76</v>
      </c>
      <c r="D313" s="115"/>
      <c r="E313" s="114" t="s">
        <v>2486</v>
      </c>
      <c r="F313" s="114" t="s">
        <v>1174</v>
      </c>
      <c r="G313" s="115"/>
      <c r="H313" s="114" t="s">
        <v>2001</v>
      </c>
      <c r="I313" s="114" t="s">
        <v>2018</v>
      </c>
      <c r="J313" s="115"/>
      <c r="K313" s="115"/>
      <c r="L313" s="115"/>
      <c r="M313" s="115"/>
      <c r="N313" s="114" t="s">
        <v>2222</v>
      </c>
      <c r="O313" s="114" t="s">
        <v>2900</v>
      </c>
      <c r="P313" s="114" t="s">
        <v>2076</v>
      </c>
      <c r="Q313" s="114" t="s">
        <v>2578</v>
      </c>
      <c r="R313" s="114" t="s">
        <v>2384</v>
      </c>
      <c r="S313" s="114">
        <v>278.0</v>
      </c>
      <c r="T313" s="116" t="s">
        <v>3469</v>
      </c>
      <c r="U313" s="114" t="s">
        <v>2529</v>
      </c>
      <c r="V313" s="115"/>
      <c r="W313" s="114" t="s">
        <v>108</v>
      </c>
      <c r="X313" s="115"/>
      <c r="Y313" s="115"/>
      <c r="Z313" s="115"/>
      <c r="AA313" s="115"/>
      <c r="AB313" s="115"/>
      <c r="AC313" s="115"/>
    </row>
    <row r="314">
      <c r="A314" s="113" t="s">
        <v>3470</v>
      </c>
      <c r="B314" s="114" t="s">
        <v>1223</v>
      </c>
      <c r="C314" s="114" t="s">
        <v>76</v>
      </c>
      <c r="D314" s="115"/>
      <c r="E314" s="114" t="s">
        <v>2486</v>
      </c>
      <c r="F314" s="114" t="s">
        <v>78</v>
      </c>
      <c r="G314" s="114" t="s">
        <v>78</v>
      </c>
      <c r="H314" s="114" t="s">
        <v>2001</v>
      </c>
      <c r="I314" s="115"/>
      <c r="J314" s="115"/>
      <c r="K314" s="115"/>
      <c r="L314" s="115"/>
      <c r="M314" s="114" t="s">
        <v>39</v>
      </c>
      <c r="N314" s="114" t="s">
        <v>2222</v>
      </c>
      <c r="O314" s="114" t="s">
        <v>3390</v>
      </c>
      <c r="P314" s="114" t="s">
        <v>2052</v>
      </c>
      <c r="Q314" s="114" t="s">
        <v>2863</v>
      </c>
      <c r="R314" s="114" t="s">
        <v>2384</v>
      </c>
      <c r="S314" s="114">
        <v>278.0</v>
      </c>
      <c r="T314" s="116" t="s">
        <v>3471</v>
      </c>
      <c r="U314" s="115"/>
      <c r="V314" s="115"/>
      <c r="W314" s="115"/>
      <c r="X314" s="115"/>
      <c r="Y314" s="114" t="s">
        <v>570</v>
      </c>
      <c r="Z314" s="115"/>
      <c r="AA314" s="115"/>
      <c r="AB314" s="115"/>
      <c r="AC314" s="115"/>
    </row>
    <row r="315">
      <c r="A315" s="113" t="s">
        <v>3472</v>
      </c>
      <c r="B315" s="114" t="s">
        <v>945</v>
      </c>
      <c r="C315" s="114" t="s">
        <v>103</v>
      </c>
      <c r="D315" s="115"/>
      <c r="E315" s="114" t="s">
        <v>2380</v>
      </c>
      <c r="F315" s="114" t="s">
        <v>2513</v>
      </c>
      <c r="G315" s="114" t="s">
        <v>2558</v>
      </c>
      <c r="H315" s="114" t="s">
        <v>2001</v>
      </c>
      <c r="I315" s="114" t="s">
        <v>2018</v>
      </c>
      <c r="J315" s="114" t="s">
        <v>2312</v>
      </c>
      <c r="K315" s="114" t="s">
        <v>3473</v>
      </c>
      <c r="L315" s="115"/>
      <c r="M315" s="114" t="s">
        <v>39</v>
      </c>
      <c r="N315" s="114" t="s">
        <v>2222</v>
      </c>
      <c r="O315" s="114" t="s">
        <v>2815</v>
      </c>
      <c r="P315" s="115"/>
      <c r="Q315" s="115"/>
      <c r="R315" s="114" t="s">
        <v>2384</v>
      </c>
      <c r="S315" s="114">
        <v>278.0</v>
      </c>
      <c r="T315" s="116" t="s">
        <v>3474</v>
      </c>
      <c r="U315" s="115"/>
      <c r="V315" s="114" t="s">
        <v>123</v>
      </c>
      <c r="W315" s="115"/>
      <c r="X315" s="114" t="s">
        <v>3475</v>
      </c>
      <c r="Y315" s="115"/>
      <c r="Z315" s="115"/>
      <c r="AA315" s="114" t="s">
        <v>199</v>
      </c>
      <c r="AB315" s="114" t="s">
        <v>75</v>
      </c>
      <c r="AC315" s="115"/>
    </row>
    <row r="316">
      <c r="A316" s="113" t="s">
        <v>3476</v>
      </c>
      <c r="B316" s="114" t="s">
        <v>1223</v>
      </c>
      <c r="C316" s="114" t="s">
        <v>85</v>
      </c>
      <c r="D316" s="115"/>
      <c r="E316" s="114" t="s">
        <v>2380</v>
      </c>
      <c r="F316" s="114" t="s">
        <v>71</v>
      </c>
      <c r="G316" s="114" t="s">
        <v>2597</v>
      </c>
      <c r="H316" s="114" t="s">
        <v>2001</v>
      </c>
      <c r="I316" s="114" t="s">
        <v>2018</v>
      </c>
      <c r="J316" s="114" t="s">
        <v>2312</v>
      </c>
      <c r="K316" s="114" t="s">
        <v>3477</v>
      </c>
      <c r="L316" s="115"/>
      <c r="M316" s="115"/>
      <c r="N316" s="114" t="s">
        <v>70</v>
      </c>
      <c r="O316" s="115"/>
      <c r="P316" s="115"/>
      <c r="Q316" s="115"/>
      <c r="R316" s="114" t="s">
        <v>2384</v>
      </c>
      <c r="S316" s="114">
        <v>278.0</v>
      </c>
      <c r="T316" s="116" t="s">
        <v>3478</v>
      </c>
      <c r="U316" s="115"/>
      <c r="V316" s="115"/>
      <c r="W316" s="114" t="s">
        <v>108</v>
      </c>
      <c r="X316" s="114" t="s">
        <v>130</v>
      </c>
      <c r="Y316" s="115"/>
      <c r="Z316" s="115"/>
      <c r="AA316" s="114" t="s">
        <v>199</v>
      </c>
      <c r="AB316" s="115"/>
      <c r="AC316" s="115"/>
    </row>
    <row r="317">
      <c r="A317" s="113" t="s">
        <v>3479</v>
      </c>
      <c r="B317" s="114" t="s">
        <v>1223</v>
      </c>
      <c r="C317" s="114" t="s">
        <v>178</v>
      </c>
      <c r="D317" s="115"/>
      <c r="E317" s="114" t="s">
        <v>2380</v>
      </c>
      <c r="F317" s="114" t="s">
        <v>71</v>
      </c>
      <c r="G317" s="114" t="s">
        <v>2495</v>
      </c>
      <c r="H317" s="114" t="s">
        <v>2001</v>
      </c>
      <c r="I317" s="114" t="s">
        <v>2018</v>
      </c>
      <c r="J317" s="114" t="s">
        <v>2312</v>
      </c>
      <c r="K317" s="114" t="s">
        <v>2984</v>
      </c>
      <c r="L317" s="114" t="s">
        <v>2591</v>
      </c>
      <c r="M317" s="114" t="s">
        <v>39</v>
      </c>
      <c r="N317" s="114" t="s">
        <v>2268</v>
      </c>
      <c r="O317" s="115"/>
      <c r="P317" s="115"/>
      <c r="Q317" s="115"/>
      <c r="R317" s="114" t="s">
        <v>2384</v>
      </c>
      <c r="S317" s="114">
        <v>278.0</v>
      </c>
      <c r="T317" s="116" t="s">
        <v>3480</v>
      </c>
      <c r="U317" s="115"/>
      <c r="V317" s="115"/>
      <c r="W317" s="114" t="s">
        <v>2713</v>
      </c>
      <c r="X317" s="114" t="s">
        <v>130</v>
      </c>
      <c r="Y317" s="114" t="s">
        <v>2617</v>
      </c>
      <c r="Z317" s="114" t="s">
        <v>443</v>
      </c>
      <c r="AA317" s="114" t="s">
        <v>199</v>
      </c>
      <c r="AB317" s="114" t="s">
        <v>75</v>
      </c>
      <c r="AC317" s="115"/>
    </row>
    <row r="318">
      <c r="A318" s="113" t="s">
        <v>3481</v>
      </c>
      <c r="B318" s="114" t="s">
        <v>1919</v>
      </c>
      <c r="C318" s="114" t="s">
        <v>103</v>
      </c>
      <c r="D318" s="115"/>
      <c r="E318" s="114" t="s">
        <v>2380</v>
      </c>
      <c r="F318" s="114" t="s">
        <v>2068</v>
      </c>
      <c r="G318" s="114" t="s">
        <v>3482</v>
      </c>
      <c r="H318" s="114" t="s">
        <v>2001</v>
      </c>
      <c r="I318" s="114" t="s">
        <v>2018</v>
      </c>
      <c r="J318" s="115"/>
      <c r="K318" s="115"/>
      <c r="L318" s="115"/>
      <c r="M318" s="114" t="s">
        <v>39</v>
      </c>
      <c r="N318" s="114" t="s">
        <v>2222</v>
      </c>
      <c r="O318" s="114" t="s">
        <v>2508</v>
      </c>
      <c r="P318" s="114" t="s">
        <v>2508</v>
      </c>
      <c r="Q318" s="114" t="s">
        <v>2508</v>
      </c>
      <c r="R318" s="114" t="s">
        <v>2384</v>
      </c>
      <c r="S318" s="114">
        <v>279.0</v>
      </c>
      <c r="T318" s="116" t="s">
        <v>3483</v>
      </c>
      <c r="U318" s="115"/>
      <c r="V318" s="115"/>
      <c r="W318" s="115"/>
      <c r="X318" s="114" t="s">
        <v>130</v>
      </c>
      <c r="Y318" s="115"/>
      <c r="Z318" s="115"/>
      <c r="AA318" s="115"/>
      <c r="AB318" s="115"/>
      <c r="AC318" s="115"/>
    </row>
    <row r="319">
      <c r="A319" s="113" t="s">
        <v>3484</v>
      </c>
      <c r="B319" s="114" t="s">
        <v>672</v>
      </c>
      <c r="C319" s="114" t="s">
        <v>183</v>
      </c>
      <c r="D319" s="115"/>
      <c r="E319" s="114" t="s">
        <v>2380</v>
      </c>
      <c r="F319" s="114" t="s">
        <v>2214</v>
      </c>
      <c r="G319" s="114" t="s">
        <v>2506</v>
      </c>
      <c r="H319" s="114" t="s">
        <v>2001</v>
      </c>
      <c r="I319" s="115"/>
      <c r="J319" s="114" t="s">
        <v>2312</v>
      </c>
      <c r="K319" s="114" t="s">
        <v>3182</v>
      </c>
      <c r="L319" s="115"/>
      <c r="M319" s="114" t="s">
        <v>39</v>
      </c>
      <c r="N319" s="114" t="s">
        <v>1008</v>
      </c>
      <c r="O319" s="114" t="s">
        <v>2401</v>
      </c>
      <c r="P319" s="115"/>
      <c r="Q319" s="115"/>
      <c r="R319" s="114" t="s">
        <v>2384</v>
      </c>
      <c r="S319" s="114">
        <v>279.0</v>
      </c>
      <c r="T319" s="116" t="s">
        <v>3485</v>
      </c>
      <c r="U319" s="115"/>
      <c r="V319" s="114" t="s">
        <v>123</v>
      </c>
      <c r="W319" s="114" t="s">
        <v>2438</v>
      </c>
      <c r="X319" s="115"/>
      <c r="Y319" s="115"/>
      <c r="Z319" s="115"/>
      <c r="AA319" s="114" t="s">
        <v>199</v>
      </c>
      <c r="AB319" s="114" t="s">
        <v>75</v>
      </c>
      <c r="AC319" s="114" t="s">
        <v>250</v>
      </c>
    </row>
    <row r="320">
      <c r="A320" s="113" t="s">
        <v>3486</v>
      </c>
      <c r="B320" s="114" t="s">
        <v>1594</v>
      </c>
      <c r="C320" s="114" t="s">
        <v>76</v>
      </c>
      <c r="D320" s="115"/>
      <c r="E320" s="114" t="s">
        <v>2380</v>
      </c>
      <c r="F320" s="114" t="s">
        <v>78</v>
      </c>
      <c r="G320" s="114" t="s">
        <v>3487</v>
      </c>
      <c r="H320" s="114" t="s">
        <v>2001</v>
      </c>
      <c r="I320" s="114" t="s">
        <v>2018</v>
      </c>
      <c r="J320" s="114" t="s">
        <v>2312</v>
      </c>
      <c r="K320" s="114" t="s">
        <v>3488</v>
      </c>
      <c r="L320" s="115"/>
      <c r="M320" s="114" t="s">
        <v>39</v>
      </c>
      <c r="N320" s="114" t="s">
        <v>2222</v>
      </c>
      <c r="O320" s="114" t="s">
        <v>3489</v>
      </c>
      <c r="P320" s="114" t="s">
        <v>2026</v>
      </c>
      <c r="Q320" s="114" t="s">
        <v>3490</v>
      </c>
      <c r="R320" s="114" t="s">
        <v>2384</v>
      </c>
      <c r="S320" s="114">
        <v>279.0</v>
      </c>
      <c r="T320" s="116" t="s">
        <v>3491</v>
      </c>
      <c r="U320" s="115"/>
      <c r="V320" s="115"/>
      <c r="W320" s="115"/>
      <c r="X320" s="114" t="s">
        <v>130</v>
      </c>
      <c r="Y320" s="115"/>
      <c r="Z320" s="115"/>
      <c r="AA320" s="114" t="s">
        <v>199</v>
      </c>
      <c r="AB320" s="114" t="s">
        <v>75</v>
      </c>
      <c r="AC320" s="115"/>
    </row>
    <row r="321">
      <c r="A321" s="113" t="s">
        <v>3492</v>
      </c>
      <c r="B321" s="114" t="s">
        <v>1837</v>
      </c>
      <c r="C321" s="114" t="s">
        <v>76</v>
      </c>
      <c r="D321" s="115"/>
      <c r="E321" s="114" t="s">
        <v>2380</v>
      </c>
      <c r="F321" s="114" t="s">
        <v>2561</v>
      </c>
      <c r="G321" s="114" t="s">
        <v>2581</v>
      </c>
      <c r="H321" s="114" t="s">
        <v>2001</v>
      </c>
      <c r="I321" s="114" t="s">
        <v>2018</v>
      </c>
      <c r="J321" s="114" t="s">
        <v>2312</v>
      </c>
      <c r="K321" s="114" t="s">
        <v>3493</v>
      </c>
      <c r="L321" s="115"/>
      <c r="M321" s="115"/>
      <c r="N321" s="114" t="s">
        <v>70</v>
      </c>
      <c r="O321" s="114" t="s">
        <v>3489</v>
      </c>
      <c r="P321" s="114" t="s">
        <v>2026</v>
      </c>
      <c r="Q321" s="114" t="s">
        <v>2734</v>
      </c>
      <c r="R321" s="114" t="s">
        <v>2384</v>
      </c>
      <c r="S321" s="114">
        <v>279.0</v>
      </c>
      <c r="T321" s="116" t="s">
        <v>3494</v>
      </c>
      <c r="U321" s="115"/>
      <c r="V321" s="115"/>
      <c r="W321" s="115"/>
      <c r="X321" s="114" t="s">
        <v>130</v>
      </c>
      <c r="Y321" s="115"/>
      <c r="Z321" s="115"/>
      <c r="AA321" s="114" t="s">
        <v>199</v>
      </c>
      <c r="AB321" s="114" t="s">
        <v>75</v>
      </c>
      <c r="AC321" s="115"/>
    </row>
    <row r="322">
      <c r="A322" s="113" t="s">
        <v>3495</v>
      </c>
      <c r="B322" s="114" t="s">
        <v>1452</v>
      </c>
      <c r="C322" s="114" t="s">
        <v>85</v>
      </c>
      <c r="D322" s="115"/>
      <c r="E322" s="114" t="s">
        <v>2486</v>
      </c>
      <c r="F322" s="114" t="s">
        <v>71</v>
      </c>
      <c r="G322" s="114" t="s">
        <v>3496</v>
      </c>
      <c r="H322" s="114" t="s">
        <v>2001</v>
      </c>
      <c r="I322" s="114" t="s">
        <v>2018</v>
      </c>
      <c r="J322" s="114" t="s">
        <v>2312</v>
      </c>
      <c r="K322" s="114" t="s">
        <v>3497</v>
      </c>
      <c r="L322" s="115"/>
      <c r="M322" s="114" t="s">
        <v>39</v>
      </c>
      <c r="N322" s="114" t="s">
        <v>2222</v>
      </c>
      <c r="O322" s="115"/>
      <c r="P322" s="115"/>
      <c r="Q322" s="115"/>
      <c r="R322" s="114" t="s">
        <v>2384</v>
      </c>
      <c r="S322" s="114">
        <v>279.0</v>
      </c>
      <c r="T322" s="116" t="s">
        <v>3498</v>
      </c>
      <c r="U322" s="115"/>
      <c r="V322" s="115"/>
      <c r="W322" s="115"/>
      <c r="X322" s="115"/>
      <c r="Y322" s="115"/>
      <c r="Z322" s="114" t="s">
        <v>443</v>
      </c>
      <c r="AA322" s="115"/>
      <c r="AB322" s="115"/>
      <c r="AC322" s="115"/>
    </row>
    <row r="323">
      <c r="A323" s="113" t="s">
        <v>3499</v>
      </c>
      <c r="B323" s="114" t="s">
        <v>1709</v>
      </c>
      <c r="C323" s="114" t="s">
        <v>178</v>
      </c>
      <c r="D323" s="115"/>
      <c r="E323" s="114" t="s">
        <v>2222</v>
      </c>
      <c r="F323" s="114" t="s">
        <v>71</v>
      </c>
      <c r="G323" s="114" t="s">
        <v>3500</v>
      </c>
      <c r="H323" s="114" t="s">
        <v>2001</v>
      </c>
      <c r="I323" s="114" t="s">
        <v>2018</v>
      </c>
      <c r="J323" s="114" t="s">
        <v>2312</v>
      </c>
      <c r="K323" s="114" t="s">
        <v>3501</v>
      </c>
      <c r="L323" s="114" t="s">
        <v>2476</v>
      </c>
      <c r="M323" s="115"/>
      <c r="N323" s="114" t="s">
        <v>2969</v>
      </c>
      <c r="O323" s="114" t="s">
        <v>2508</v>
      </c>
      <c r="P323" s="114" t="s">
        <v>2508</v>
      </c>
      <c r="Q323" s="114" t="s">
        <v>2508</v>
      </c>
      <c r="R323" s="114" t="s">
        <v>2384</v>
      </c>
      <c r="S323" s="114">
        <v>280.0</v>
      </c>
      <c r="T323" s="116" t="s">
        <v>3502</v>
      </c>
      <c r="U323" s="115"/>
      <c r="V323" s="114" t="s">
        <v>123</v>
      </c>
      <c r="W323" s="114" t="s">
        <v>108</v>
      </c>
      <c r="X323" s="115"/>
      <c r="Y323" s="115"/>
      <c r="Z323" s="115"/>
      <c r="AA323" s="114" t="s">
        <v>199</v>
      </c>
      <c r="AB323" s="115"/>
      <c r="AC323" s="115"/>
    </row>
    <row r="324">
      <c r="A324" s="113" t="s">
        <v>3503</v>
      </c>
      <c r="B324" s="114" t="s">
        <v>444</v>
      </c>
      <c r="C324" s="114" t="s">
        <v>183</v>
      </c>
      <c r="D324" s="115"/>
      <c r="E324" s="114" t="s">
        <v>2380</v>
      </c>
      <c r="F324" s="114" t="s">
        <v>2214</v>
      </c>
      <c r="G324" s="114" t="s">
        <v>2506</v>
      </c>
      <c r="H324" s="114" t="s">
        <v>2001</v>
      </c>
      <c r="I324" s="114" t="s">
        <v>2018</v>
      </c>
      <c r="J324" s="114" t="s">
        <v>2312</v>
      </c>
      <c r="K324" s="114" t="s">
        <v>3504</v>
      </c>
      <c r="L324" s="115"/>
      <c r="M324" s="114" t="s">
        <v>39</v>
      </c>
      <c r="N324" s="114" t="s">
        <v>2222</v>
      </c>
      <c r="O324" s="114" t="s">
        <v>2401</v>
      </c>
      <c r="P324" s="115"/>
      <c r="Q324" s="115"/>
      <c r="R324" s="114" t="s">
        <v>2384</v>
      </c>
      <c r="S324" s="114">
        <v>280.0</v>
      </c>
      <c r="T324" s="116" t="s">
        <v>3505</v>
      </c>
      <c r="U324" s="115"/>
      <c r="V324" s="114" t="s">
        <v>123</v>
      </c>
      <c r="W324" s="115"/>
      <c r="X324" s="115"/>
      <c r="Y324" s="115"/>
      <c r="Z324" s="115"/>
      <c r="AA324" s="114" t="s">
        <v>199</v>
      </c>
      <c r="AB324" s="115"/>
      <c r="AC324" s="115"/>
    </row>
    <row r="325">
      <c r="A325" s="113" t="s">
        <v>3506</v>
      </c>
      <c r="B325" s="114" t="s">
        <v>1452</v>
      </c>
      <c r="C325" s="114" t="s">
        <v>85</v>
      </c>
      <c r="D325" s="115"/>
      <c r="E325" s="114" t="s">
        <v>2380</v>
      </c>
      <c r="F325" s="114" t="s">
        <v>1174</v>
      </c>
      <c r="G325" s="114" t="s">
        <v>3507</v>
      </c>
      <c r="H325" s="114" t="s">
        <v>2001</v>
      </c>
      <c r="I325" s="114" t="s">
        <v>2018</v>
      </c>
      <c r="J325" s="115"/>
      <c r="K325" s="115"/>
      <c r="L325" s="115"/>
      <c r="M325" s="114" t="s">
        <v>39</v>
      </c>
      <c r="N325" s="114" t="s">
        <v>134</v>
      </c>
      <c r="O325" s="115"/>
      <c r="P325" s="115"/>
      <c r="Q325" s="115"/>
      <c r="R325" s="114" t="s">
        <v>2384</v>
      </c>
      <c r="S325" s="114">
        <v>280.0</v>
      </c>
      <c r="T325" s="116" t="s">
        <v>3508</v>
      </c>
      <c r="U325" s="115"/>
      <c r="V325" s="115"/>
      <c r="W325" s="115"/>
      <c r="X325" s="115"/>
      <c r="Y325" s="115"/>
      <c r="Z325" s="115"/>
      <c r="AA325" s="114" t="s">
        <v>199</v>
      </c>
      <c r="AB325" s="114" t="s">
        <v>75</v>
      </c>
      <c r="AC325" s="115"/>
    </row>
    <row r="326">
      <c r="A326" s="113" t="s">
        <v>3509</v>
      </c>
      <c r="B326" s="114" t="s">
        <v>1837</v>
      </c>
      <c r="C326" s="114" t="s">
        <v>76</v>
      </c>
      <c r="D326" s="115"/>
      <c r="E326" s="114" t="s">
        <v>2380</v>
      </c>
      <c r="F326" s="114" t="s">
        <v>2088</v>
      </c>
      <c r="G326" s="114" t="s">
        <v>2495</v>
      </c>
      <c r="H326" s="114" t="s">
        <v>2001</v>
      </c>
      <c r="I326" s="114" t="s">
        <v>2018</v>
      </c>
      <c r="J326" s="114" t="s">
        <v>2312</v>
      </c>
      <c r="K326" s="114" t="s">
        <v>3510</v>
      </c>
      <c r="L326" s="115"/>
      <c r="M326" s="115"/>
      <c r="N326" s="114" t="s">
        <v>347</v>
      </c>
      <c r="O326" s="115"/>
      <c r="P326" s="115"/>
      <c r="Q326" s="115"/>
      <c r="R326" s="114" t="s">
        <v>2384</v>
      </c>
      <c r="S326" s="114">
        <v>281.0</v>
      </c>
      <c r="T326" s="116" t="s">
        <v>3511</v>
      </c>
      <c r="U326" s="115"/>
      <c r="V326" s="115"/>
      <c r="W326" s="115"/>
      <c r="X326" s="115"/>
      <c r="Y326" s="115"/>
      <c r="Z326" s="115"/>
      <c r="AA326" s="114" t="s">
        <v>199</v>
      </c>
      <c r="AB326" s="115"/>
      <c r="AC326" s="115"/>
    </row>
    <row r="327">
      <c r="A327" s="113" t="s">
        <v>3512</v>
      </c>
      <c r="B327" s="114" t="s">
        <v>1709</v>
      </c>
      <c r="C327" s="114" t="s">
        <v>103</v>
      </c>
      <c r="D327" s="115"/>
      <c r="E327" s="114" t="s">
        <v>2380</v>
      </c>
      <c r="F327" s="114" t="s">
        <v>2413</v>
      </c>
      <c r="G327" s="114" t="s">
        <v>3513</v>
      </c>
      <c r="H327" s="114" t="s">
        <v>2001</v>
      </c>
      <c r="I327" s="115"/>
      <c r="J327" s="115"/>
      <c r="K327" s="115"/>
      <c r="L327" s="115"/>
      <c r="M327" s="115"/>
      <c r="N327" s="114" t="s">
        <v>70</v>
      </c>
      <c r="O327" s="115"/>
      <c r="P327" s="115"/>
      <c r="Q327" s="115"/>
      <c r="R327" s="114" t="s">
        <v>2384</v>
      </c>
      <c r="S327" s="114">
        <v>281.0</v>
      </c>
      <c r="T327" s="116" t="s">
        <v>3514</v>
      </c>
      <c r="U327" s="115"/>
      <c r="V327" s="114" t="s">
        <v>123</v>
      </c>
      <c r="W327" s="115"/>
      <c r="X327" s="115"/>
      <c r="Y327" s="115"/>
      <c r="Z327" s="115"/>
      <c r="AA327" s="114" t="s">
        <v>199</v>
      </c>
      <c r="AB327" s="114" t="s">
        <v>75</v>
      </c>
      <c r="AC327" s="115"/>
    </row>
    <row r="328">
      <c r="A328" s="113" t="s">
        <v>3515</v>
      </c>
      <c r="B328" s="114" t="s">
        <v>1452</v>
      </c>
      <c r="C328" s="114" t="s">
        <v>103</v>
      </c>
      <c r="D328" s="115"/>
      <c r="E328" s="114" t="s">
        <v>2222</v>
      </c>
      <c r="F328" s="114" t="s">
        <v>2413</v>
      </c>
      <c r="G328" s="114" t="s">
        <v>3516</v>
      </c>
      <c r="H328" s="114" t="s">
        <v>2001</v>
      </c>
      <c r="I328" s="115"/>
      <c r="J328" s="114" t="s">
        <v>2312</v>
      </c>
      <c r="K328" s="114" t="s">
        <v>3517</v>
      </c>
      <c r="L328" s="114" t="s">
        <v>2577</v>
      </c>
      <c r="M328" s="115"/>
      <c r="N328" s="114" t="s">
        <v>2519</v>
      </c>
      <c r="O328" s="115"/>
      <c r="P328" s="115"/>
      <c r="Q328" s="115"/>
      <c r="R328" s="114" t="s">
        <v>2384</v>
      </c>
      <c r="S328" s="114">
        <v>282.0</v>
      </c>
      <c r="T328" s="116" t="s">
        <v>3518</v>
      </c>
      <c r="U328" s="115"/>
      <c r="V328" s="114" t="s">
        <v>123</v>
      </c>
      <c r="W328" s="115"/>
      <c r="X328" s="115"/>
      <c r="Y328" s="115"/>
      <c r="Z328" s="115"/>
      <c r="AA328" s="114" t="s">
        <v>199</v>
      </c>
      <c r="AB328" s="114" t="s">
        <v>75</v>
      </c>
      <c r="AC328" s="115"/>
    </row>
    <row r="329">
      <c r="A329" s="113" t="s">
        <v>3519</v>
      </c>
      <c r="B329" s="114" t="s">
        <v>444</v>
      </c>
      <c r="C329" s="114" t="s">
        <v>103</v>
      </c>
      <c r="D329" s="114" t="s">
        <v>28</v>
      </c>
      <c r="E329" s="114" t="s">
        <v>2380</v>
      </c>
      <c r="F329" s="114" t="s">
        <v>2214</v>
      </c>
      <c r="G329" s="114" t="s">
        <v>3520</v>
      </c>
      <c r="H329" s="114" t="s">
        <v>2001</v>
      </c>
      <c r="I329" s="114" t="s">
        <v>2018</v>
      </c>
      <c r="J329" s="114" t="s">
        <v>2312</v>
      </c>
      <c r="K329" s="114" t="s">
        <v>3521</v>
      </c>
      <c r="L329" s="115"/>
      <c r="M329" s="115"/>
      <c r="N329" s="114" t="s">
        <v>2268</v>
      </c>
      <c r="O329" s="115"/>
      <c r="P329" s="115"/>
      <c r="Q329" s="115"/>
      <c r="R329" s="114" t="s">
        <v>2384</v>
      </c>
      <c r="S329" s="114">
        <v>282.0</v>
      </c>
      <c r="T329" s="116" t="s">
        <v>3522</v>
      </c>
      <c r="U329" s="115"/>
      <c r="V329" s="115"/>
      <c r="W329" s="115"/>
      <c r="X329" s="115"/>
      <c r="Y329" s="115"/>
      <c r="Z329" s="115"/>
      <c r="AA329" s="114" t="s">
        <v>199</v>
      </c>
      <c r="AB329" s="115"/>
      <c r="AC329" s="115"/>
    </row>
    <row r="330">
      <c r="A330" s="113" t="s">
        <v>3523</v>
      </c>
      <c r="B330" s="114" t="s">
        <v>64</v>
      </c>
      <c r="C330" s="114" t="s">
        <v>85</v>
      </c>
      <c r="D330" s="115"/>
      <c r="E330" s="114" t="s">
        <v>2380</v>
      </c>
      <c r="F330" s="114" t="s">
        <v>2214</v>
      </c>
      <c r="G330" s="115"/>
      <c r="H330" s="114" t="s">
        <v>2001</v>
      </c>
      <c r="I330" s="115"/>
      <c r="J330" s="115"/>
      <c r="K330" s="115"/>
      <c r="L330" s="115"/>
      <c r="M330" s="115"/>
      <c r="N330" s="114" t="s">
        <v>3524</v>
      </c>
      <c r="O330" s="115"/>
      <c r="P330" s="115"/>
      <c r="Q330" s="115"/>
      <c r="R330" s="114" t="s">
        <v>2384</v>
      </c>
      <c r="S330" s="114">
        <v>282.0</v>
      </c>
      <c r="T330" s="116" t="s">
        <v>3309</v>
      </c>
      <c r="U330" s="115"/>
      <c r="V330" s="115"/>
      <c r="W330" s="114" t="s">
        <v>108</v>
      </c>
      <c r="X330" s="115"/>
      <c r="Y330" s="115"/>
      <c r="Z330" s="115"/>
      <c r="AA330" s="115"/>
      <c r="AB330" s="115"/>
      <c r="AC330" s="115"/>
    </row>
    <row r="331">
      <c r="A331" s="113" t="s">
        <v>3525</v>
      </c>
      <c r="B331" s="114" t="s">
        <v>64</v>
      </c>
      <c r="C331" s="114" t="s">
        <v>85</v>
      </c>
      <c r="D331" s="115"/>
      <c r="E331" s="114" t="s">
        <v>2380</v>
      </c>
      <c r="F331" s="114" t="s">
        <v>2214</v>
      </c>
      <c r="G331" s="115"/>
      <c r="H331" s="114" t="s">
        <v>2001</v>
      </c>
      <c r="I331" s="114" t="s">
        <v>2018</v>
      </c>
      <c r="J331" s="114" t="s">
        <v>2312</v>
      </c>
      <c r="K331" s="114" t="s">
        <v>3526</v>
      </c>
      <c r="L331" s="115"/>
      <c r="M331" s="115"/>
      <c r="N331" s="114" t="s">
        <v>70</v>
      </c>
      <c r="O331" s="114" t="s">
        <v>2900</v>
      </c>
      <c r="P331" s="114" t="s">
        <v>2106</v>
      </c>
      <c r="Q331" s="114" t="s">
        <v>2383</v>
      </c>
      <c r="R331" s="114" t="s">
        <v>2384</v>
      </c>
      <c r="S331" s="114">
        <v>282.0</v>
      </c>
      <c r="T331" s="116" t="s">
        <v>3527</v>
      </c>
      <c r="U331" s="115"/>
      <c r="V331" s="115"/>
      <c r="W331" s="114" t="s">
        <v>2404</v>
      </c>
      <c r="X331" s="114" t="s">
        <v>130</v>
      </c>
      <c r="Y331" s="115"/>
      <c r="Z331" s="115"/>
      <c r="AA331" s="115"/>
      <c r="AB331" s="115"/>
      <c r="AC331" s="115"/>
    </row>
    <row r="332">
      <c r="A332" s="113" t="s">
        <v>3528</v>
      </c>
      <c r="B332" s="114" t="s">
        <v>444</v>
      </c>
      <c r="C332" s="114" t="s">
        <v>76</v>
      </c>
      <c r="D332" s="115"/>
      <c r="E332" s="114" t="s">
        <v>2486</v>
      </c>
      <c r="F332" s="114" t="s">
        <v>78</v>
      </c>
      <c r="G332" s="114" t="s">
        <v>2506</v>
      </c>
      <c r="H332" s="114" t="s">
        <v>2001</v>
      </c>
      <c r="I332" s="115"/>
      <c r="J332" s="115"/>
      <c r="K332" s="115"/>
      <c r="L332" s="115"/>
      <c r="M332" s="114" t="s">
        <v>39</v>
      </c>
      <c r="N332" s="114" t="s">
        <v>2222</v>
      </c>
      <c r="O332" s="114" t="s">
        <v>3390</v>
      </c>
      <c r="P332" s="114" t="s">
        <v>2113</v>
      </c>
      <c r="Q332" s="114" t="s">
        <v>2455</v>
      </c>
      <c r="R332" s="114" t="s">
        <v>2384</v>
      </c>
      <c r="S332" s="114">
        <v>282.0</v>
      </c>
      <c r="T332" s="116" t="s">
        <v>3529</v>
      </c>
      <c r="U332" s="115"/>
      <c r="V332" s="115"/>
      <c r="W332" s="115"/>
      <c r="X332" s="115"/>
      <c r="Y332" s="114" t="s">
        <v>570</v>
      </c>
      <c r="Z332" s="115"/>
      <c r="AA332" s="115"/>
      <c r="AB332" s="115"/>
      <c r="AC332" s="115"/>
    </row>
    <row r="333">
      <c r="A333" s="113" t="s">
        <v>3530</v>
      </c>
      <c r="B333" s="114" t="s">
        <v>444</v>
      </c>
      <c r="C333" s="114" t="s">
        <v>76</v>
      </c>
      <c r="D333" s="115"/>
      <c r="E333" s="114" t="s">
        <v>2380</v>
      </c>
      <c r="F333" s="114" t="s">
        <v>78</v>
      </c>
      <c r="G333" s="114" t="s">
        <v>3428</v>
      </c>
      <c r="H333" s="114" t="s">
        <v>2001</v>
      </c>
      <c r="I333" s="114" t="s">
        <v>2018</v>
      </c>
      <c r="J333" s="115"/>
      <c r="K333" s="115"/>
      <c r="L333" s="115"/>
      <c r="M333" s="115"/>
      <c r="N333" s="114" t="s">
        <v>70</v>
      </c>
      <c r="O333" s="114" t="s">
        <v>3531</v>
      </c>
      <c r="P333" s="114" t="s">
        <v>2113</v>
      </c>
      <c r="Q333" s="114" t="s">
        <v>2890</v>
      </c>
      <c r="R333" s="114" t="s">
        <v>2384</v>
      </c>
      <c r="S333" s="114">
        <v>282.0</v>
      </c>
      <c r="T333" s="116" t="s">
        <v>3532</v>
      </c>
      <c r="U333" s="114" t="s">
        <v>2529</v>
      </c>
      <c r="V333" s="114" t="s">
        <v>123</v>
      </c>
      <c r="W333" s="114" t="s">
        <v>2556</v>
      </c>
      <c r="X333" s="114" t="s">
        <v>130</v>
      </c>
      <c r="Y333" s="115"/>
      <c r="Z333" s="115"/>
      <c r="AA333" s="114" t="s">
        <v>199</v>
      </c>
      <c r="AB333" s="114" t="s">
        <v>75</v>
      </c>
      <c r="AC333" s="115"/>
    </row>
    <row r="334">
      <c r="A334" s="113" t="s">
        <v>3533</v>
      </c>
      <c r="B334" s="114" t="s">
        <v>1919</v>
      </c>
      <c r="C334" s="114" t="s">
        <v>85</v>
      </c>
      <c r="D334" s="115"/>
      <c r="E334" s="114" t="s">
        <v>2380</v>
      </c>
      <c r="F334" s="114" t="s">
        <v>78</v>
      </c>
      <c r="G334" s="115"/>
      <c r="H334" s="114" t="s">
        <v>2001</v>
      </c>
      <c r="I334" s="115"/>
      <c r="J334" s="115"/>
      <c r="K334" s="115"/>
      <c r="L334" s="115"/>
      <c r="M334" s="115"/>
      <c r="N334" s="114" t="s">
        <v>70</v>
      </c>
      <c r="O334" s="115"/>
      <c r="P334" s="115"/>
      <c r="Q334" s="115"/>
      <c r="R334" s="114" t="s">
        <v>2384</v>
      </c>
      <c r="S334" s="114">
        <v>283.0</v>
      </c>
      <c r="T334" s="116" t="s">
        <v>3534</v>
      </c>
      <c r="U334" s="115"/>
      <c r="V334" s="115"/>
      <c r="W334" s="115"/>
      <c r="X334" s="115"/>
      <c r="Y334" s="115"/>
      <c r="Z334" s="115"/>
      <c r="AA334" s="114" t="s">
        <v>199</v>
      </c>
      <c r="AB334" s="114" t="s">
        <v>75</v>
      </c>
      <c r="AC334" s="115"/>
    </row>
    <row r="335">
      <c r="A335" s="113" t="s">
        <v>3535</v>
      </c>
      <c r="B335" s="114" t="s">
        <v>945</v>
      </c>
      <c r="C335" s="114" t="s">
        <v>144</v>
      </c>
      <c r="D335" s="115"/>
      <c r="E335" s="114" t="s">
        <v>2380</v>
      </c>
      <c r="F335" s="114" t="s">
        <v>71</v>
      </c>
      <c r="G335" s="114" t="s">
        <v>2506</v>
      </c>
      <c r="H335" s="114" t="s">
        <v>2001</v>
      </c>
      <c r="I335" s="115"/>
      <c r="J335" s="114" t="s">
        <v>2312</v>
      </c>
      <c r="K335" s="114" t="s">
        <v>3536</v>
      </c>
      <c r="L335" s="115"/>
      <c r="M335" s="115"/>
      <c r="N335" s="114" t="s">
        <v>2268</v>
      </c>
      <c r="O335" s="115"/>
      <c r="P335" s="115"/>
      <c r="Q335" s="115"/>
      <c r="R335" s="114" t="s">
        <v>2384</v>
      </c>
      <c r="S335" s="114">
        <v>283.0</v>
      </c>
      <c r="T335" s="116" t="s">
        <v>3537</v>
      </c>
      <c r="U335" s="115"/>
      <c r="V335" s="114" t="s">
        <v>123</v>
      </c>
      <c r="W335" s="114" t="s">
        <v>108</v>
      </c>
      <c r="X335" s="115"/>
      <c r="Y335" s="115"/>
      <c r="Z335" s="115"/>
      <c r="AA335" s="114" t="s">
        <v>199</v>
      </c>
      <c r="AB335" s="114" t="s">
        <v>75</v>
      </c>
      <c r="AC335" s="114" t="s">
        <v>250</v>
      </c>
    </row>
    <row r="336">
      <c r="A336" s="113" t="s">
        <v>3538</v>
      </c>
      <c r="B336" s="114" t="s">
        <v>1594</v>
      </c>
      <c r="C336" s="114" t="s">
        <v>103</v>
      </c>
      <c r="D336" s="115"/>
      <c r="E336" s="114" t="s">
        <v>2380</v>
      </c>
      <c r="F336" s="114" t="s">
        <v>2413</v>
      </c>
      <c r="G336" s="114" t="s">
        <v>3539</v>
      </c>
      <c r="H336" s="114" t="s">
        <v>2001</v>
      </c>
      <c r="I336" s="114" t="s">
        <v>2018</v>
      </c>
      <c r="J336" s="115"/>
      <c r="K336" s="115"/>
      <c r="L336" s="115"/>
      <c r="M336" s="115"/>
      <c r="N336" s="114" t="s">
        <v>2519</v>
      </c>
      <c r="O336" s="115"/>
      <c r="P336" s="115"/>
      <c r="Q336" s="115"/>
      <c r="R336" s="114" t="s">
        <v>2384</v>
      </c>
      <c r="S336" s="114">
        <v>283.0</v>
      </c>
      <c r="T336" s="116" t="s">
        <v>3540</v>
      </c>
      <c r="U336" s="115"/>
      <c r="V336" s="115"/>
      <c r="W336" s="115"/>
      <c r="X336" s="114" t="s">
        <v>130</v>
      </c>
      <c r="Y336" s="115"/>
      <c r="Z336" s="115"/>
      <c r="AA336" s="115"/>
      <c r="AB336" s="115"/>
      <c r="AC336" s="115"/>
    </row>
    <row r="337">
      <c r="A337" s="113" t="s">
        <v>3541</v>
      </c>
      <c r="B337" s="114" t="s">
        <v>1452</v>
      </c>
      <c r="C337" s="114" t="s">
        <v>103</v>
      </c>
      <c r="D337" s="115"/>
      <c r="E337" s="114" t="s">
        <v>2380</v>
      </c>
      <c r="F337" s="114" t="s">
        <v>78</v>
      </c>
      <c r="G337" s="114" t="s">
        <v>78</v>
      </c>
      <c r="H337" s="114" t="s">
        <v>2001</v>
      </c>
      <c r="I337" s="114" t="s">
        <v>2018</v>
      </c>
      <c r="J337" s="115"/>
      <c r="K337" s="115"/>
      <c r="L337" s="115"/>
      <c r="M337" s="114" t="s">
        <v>39</v>
      </c>
      <c r="N337" s="114" t="s">
        <v>2222</v>
      </c>
      <c r="O337" s="115"/>
      <c r="P337" s="115"/>
      <c r="Q337" s="115"/>
      <c r="R337" s="114" t="s">
        <v>2384</v>
      </c>
      <c r="S337" s="114">
        <v>283.0</v>
      </c>
      <c r="T337" s="116" t="s">
        <v>3542</v>
      </c>
      <c r="U337" s="115"/>
      <c r="V337" s="115"/>
      <c r="W337" s="114" t="s">
        <v>2404</v>
      </c>
      <c r="X337" s="114" t="s">
        <v>130</v>
      </c>
      <c r="Y337" s="114" t="s">
        <v>2617</v>
      </c>
      <c r="Z337" s="114" t="s">
        <v>443</v>
      </c>
      <c r="AA337" s="115"/>
      <c r="AB337" s="115"/>
      <c r="AC337" s="115"/>
    </row>
    <row r="338">
      <c r="A338" s="113" t="s">
        <v>3543</v>
      </c>
      <c r="B338" s="114" t="s">
        <v>1919</v>
      </c>
      <c r="C338" s="114" t="s">
        <v>85</v>
      </c>
      <c r="D338" s="115"/>
      <c r="E338" s="114" t="s">
        <v>2380</v>
      </c>
      <c r="F338" s="114" t="s">
        <v>2214</v>
      </c>
      <c r="G338" s="114" t="s">
        <v>3544</v>
      </c>
      <c r="H338" s="114" t="s">
        <v>2001</v>
      </c>
      <c r="I338" s="114" t="s">
        <v>2018</v>
      </c>
      <c r="J338" s="114" t="s">
        <v>2312</v>
      </c>
      <c r="K338" s="114" t="s">
        <v>3545</v>
      </c>
      <c r="L338" s="115"/>
      <c r="M338" s="114" t="s">
        <v>39</v>
      </c>
      <c r="N338" s="114" t="s">
        <v>2268</v>
      </c>
      <c r="O338" s="115"/>
      <c r="P338" s="115"/>
      <c r="Q338" s="115"/>
      <c r="R338" s="114" t="s">
        <v>2384</v>
      </c>
      <c r="S338" s="114">
        <v>283.0</v>
      </c>
      <c r="T338" s="116" t="s">
        <v>3546</v>
      </c>
      <c r="U338" s="115"/>
      <c r="V338" s="114" t="s">
        <v>123</v>
      </c>
      <c r="W338" s="115"/>
      <c r="X338" s="115"/>
      <c r="Y338" s="115"/>
      <c r="Z338" s="115"/>
      <c r="AA338" s="114" t="s">
        <v>199</v>
      </c>
      <c r="AB338" s="115"/>
      <c r="AC338" s="114" t="s">
        <v>250</v>
      </c>
    </row>
    <row r="339">
      <c r="A339" s="113" t="s">
        <v>3547</v>
      </c>
      <c r="B339" s="114" t="s">
        <v>1919</v>
      </c>
      <c r="C339" s="114" t="s">
        <v>140</v>
      </c>
      <c r="D339" s="115"/>
      <c r="E339" s="114" t="s">
        <v>2268</v>
      </c>
      <c r="F339" s="114" t="s">
        <v>71</v>
      </c>
      <c r="G339" s="114" t="s">
        <v>3548</v>
      </c>
      <c r="H339" s="114" t="s">
        <v>2001</v>
      </c>
      <c r="I339" s="114" t="s">
        <v>2018</v>
      </c>
      <c r="J339" s="114" t="s">
        <v>2312</v>
      </c>
      <c r="K339" s="114" t="s">
        <v>3549</v>
      </c>
      <c r="L339" s="114" t="s">
        <v>3550</v>
      </c>
      <c r="M339" s="115"/>
      <c r="N339" s="114" t="s">
        <v>70</v>
      </c>
      <c r="O339" s="115"/>
      <c r="P339" s="115"/>
      <c r="Q339" s="115"/>
      <c r="R339" s="114" t="s">
        <v>2384</v>
      </c>
      <c r="S339" s="114">
        <v>284.0</v>
      </c>
      <c r="T339" s="116" t="s">
        <v>3551</v>
      </c>
      <c r="U339" s="115"/>
      <c r="V339" s="115"/>
      <c r="W339" s="114" t="s">
        <v>108</v>
      </c>
      <c r="X339" s="114" t="s">
        <v>130</v>
      </c>
      <c r="Y339" s="115"/>
      <c r="Z339" s="115"/>
      <c r="AA339" s="115"/>
      <c r="AB339" s="115"/>
      <c r="AC339" s="115"/>
    </row>
    <row r="340">
      <c r="A340" s="113" t="s">
        <v>3552</v>
      </c>
      <c r="B340" s="114" t="s">
        <v>1594</v>
      </c>
      <c r="C340" s="114" t="s">
        <v>144</v>
      </c>
      <c r="D340" s="115"/>
      <c r="E340" s="114" t="s">
        <v>2380</v>
      </c>
      <c r="F340" s="114" t="s">
        <v>71</v>
      </c>
      <c r="G340" s="114" t="s">
        <v>2495</v>
      </c>
      <c r="H340" s="114" t="s">
        <v>2001</v>
      </c>
      <c r="I340" s="114" t="s">
        <v>2018</v>
      </c>
      <c r="J340" s="114" t="s">
        <v>2312</v>
      </c>
      <c r="K340" s="114" t="s">
        <v>3553</v>
      </c>
      <c r="L340" s="114" t="s">
        <v>2445</v>
      </c>
      <c r="M340" s="115"/>
      <c r="N340" s="114" t="s">
        <v>2268</v>
      </c>
      <c r="O340" s="115"/>
      <c r="P340" s="115"/>
      <c r="Q340" s="115"/>
      <c r="R340" s="114" t="s">
        <v>2384</v>
      </c>
      <c r="S340" s="114">
        <v>284.0</v>
      </c>
      <c r="T340" s="116" t="s">
        <v>3554</v>
      </c>
      <c r="U340" s="115"/>
      <c r="V340" s="114" t="s">
        <v>123</v>
      </c>
      <c r="W340" s="114" t="s">
        <v>108</v>
      </c>
      <c r="X340" s="115"/>
      <c r="Y340" s="115"/>
      <c r="Z340" s="115"/>
      <c r="AA340" s="114" t="s">
        <v>199</v>
      </c>
      <c r="AB340" s="114" t="s">
        <v>75</v>
      </c>
      <c r="AC340" s="114" t="s">
        <v>250</v>
      </c>
    </row>
    <row r="341">
      <c r="A341" s="113" t="s">
        <v>3555</v>
      </c>
      <c r="B341" s="114" t="s">
        <v>64</v>
      </c>
      <c r="C341" s="114" t="s">
        <v>144</v>
      </c>
      <c r="D341" s="115"/>
      <c r="E341" s="114" t="s">
        <v>2380</v>
      </c>
      <c r="F341" s="114" t="s">
        <v>2214</v>
      </c>
      <c r="G341" s="114" t="s">
        <v>2506</v>
      </c>
      <c r="H341" s="115"/>
      <c r="I341" s="114" t="s">
        <v>2018</v>
      </c>
      <c r="J341" s="115"/>
      <c r="K341" s="115"/>
      <c r="L341" s="115"/>
      <c r="M341" s="114" t="s">
        <v>39</v>
      </c>
      <c r="N341" s="114" t="s">
        <v>2519</v>
      </c>
      <c r="O341" s="115"/>
      <c r="P341" s="115"/>
      <c r="Q341" s="115"/>
      <c r="R341" s="114" t="s">
        <v>2384</v>
      </c>
      <c r="S341" s="114">
        <v>284.0</v>
      </c>
      <c r="T341" s="116" t="s">
        <v>3556</v>
      </c>
      <c r="U341" s="115"/>
      <c r="V341" s="114" t="s">
        <v>123</v>
      </c>
      <c r="W341" s="115"/>
      <c r="X341" s="115"/>
      <c r="Y341" s="115"/>
      <c r="Z341" s="115"/>
      <c r="AA341" s="114" t="s">
        <v>199</v>
      </c>
      <c r="AB341" s="114" t="s">
        <v>75</v>
      </c>
      <c r="AC341" s="114" t="s">
        <v>250</v>
      </c>
    </row>
    <row r="342">
      <c r="A342" s="113" t="s">
        <v>3557</v>
      </c>
      <c r="B342" s="114" t="s">
        <v>1837</v>
      </c>
      <c r="C342" s="114" t="s">
        <v>103</v>
      </c>
      <c r="D342" s="115"/>
      <c r="E342" s="114" t="s">
        <v>2222</v>
      </c>
      <c r="F342" s="114" t="s">
        <v>2068</v>
      </c>
      <c r="G342" s="114" t="s">
        <v>3558</v>
      </c>
      <c r="H342" s="114" t="s">
        <v>2001</v>
      </c>
      <c r="I342" s="114" t="s">
        <v>2018</v>
      </c>
      <c r="J342" s="115"/>
      <c r="K342" s="115"/>
      <c r="L342" s="115"/>
      <c r="M342" s="114" t="s">
        <v>39</v>
      </c>
      <c r="N342" s="114" t="s">
        <v>3559</v>
      </c>
      <c r="O342" s="114" t="s">
        <v>3560</v>
      </c>
      <c r="P342" s="114" t="s">
        <v>2011</v>
      </c>
      <c r="Q342" s="114" t="s">
        <v>2516</v>
      </c>
      <c r="R342" s="114" t="s">
        <v>2384</v>
      </c>
      <c r="S342" s="114">
        <v>284.0</v>
      </c>
      <c r="T342" s="116" t="s">
        <v>3561</v>
      </c>
      <c r="U342" s="115"/>
      <c r="V342" s="115"/>
      <c r="W342" s="115"/>
      <c r="X342" s="114" t="s">
        <v>130</v>
      </c>
      <c r="Y342" s="115"/>
      <c r="Z342" s="115"/>
      <c r="AA342" s="115"/>
      <c r="AB342" s="115"/>
      <c r="AC342" s="115"/>
    </row>
    <row r="343">
      <c r="A343" s="113" t="s">
        <v>3562</v>
      </c>
      <c r="B343" s="114" t="s">
        <v>444</v>
      </c>
      <c r="C343" s="114" t="s">
        <v>103</v>
      </c>
      <c r="D343" s="114" t="s">
        <v>28</v>
      </c>
      <c r="E343" s="114" t="s">
        <v>2380</v>
      </c>
      <c r="F343" s="114" t="s">
        <v>1174</v>
      </c>
      <c r="G343" s="115"/>
      <c r="H343" s="114" t="s">
        <v>2001</v>
      </c>
      <c r="I343" s="114" t="s">
        <v>2018</v>
      </c>
      <c r="J343" s="114" t="s">
        <v>2312</v>
      </c>
      <c r="K343" s="114" t="s">
        <v>3563</v>
      </c>
      <c r="L343" s="115"/>
      <c r="M343" s="115"/>
      <c r="N343" s="114" t="s">
        <v>2268</v>
      </c>
      <c r="O343" s="115"/>
      <c r="P343" s="115"/>
      <c r="Q343" s="115"/>
      <c r="R343" s="114" t="s">
        <v>2384</v>
      </c>
      <c r="S343" s="114">
        <v>284.0</v>
      </c>
      <c r="T343" s="116" t="s">
        <v>3564</v>
      </c>
      <c r="U343" s="115"/>
      <c r="V343" s="114" t="s">
        <v>123</v>
      </c>
      <c r="W343" s="115"/>
      <c r="X343" s="115"/>
      <c r="Y343" s="115"/>
      <c r="Z343" s="115"/>
      <c r="AA343" s="114" t="s">
        <v>199</v>
      </c>
      <c r="AB343" s="115"/>
      <c r="AC343" s="114" t="s">
        <v>250</v>
      </c>
    </row>
    <row r="344">
      <c r="A344" s="113" t="s">
        <v>3565</v>
      </c>
      <c r="B344" s="114" t="s">
        <v>945</v>
      </c>
      <c r="C344" s="114" t="s">
        <v>140</v>
      </c>
      <c r="D344" s="115"/>
      <c r="E344" s="114" t="s">
        <v>2380</v>
      </c>
      <c r="F344" s="114" t="s">
        <v>78</v>
      </c>
      <c r="G344" s="114" t="s">
        <v>78</v>
      </c>
      <c r="H344" s="114" t="s">
        <v>2001</v>
      </c>
      <c r="I344" s="114" t="s">
        <v>2018</v>
      </c>
      <c r="J344" s="115"/>
      <c r="K344" s="115"/>
      <c r="L344" s="115"/>
      <c r="M344" s="114" t="s">
        <v>39</v>
      </c>
      <c r="N344" s="114" t="s">
        <v>2222</v>
      </c>
      <c r="O344" s="114" t="s">
        <v>2900</v>
      </c>
      <c r="P344" s="114" t="s">
        <v>2039</v>
      </c>
      <c r="Q344" s="114" t="s">
        <v>2548</v>
      </c>
      <c r="R344" s="114" t="s">
        <v>2384</v>
      </c>
      <c r="S344" s="114">
        <v>285.0</v>
      </c>
      <c r="T344" s="116" t="s">
        <v>3566</v>
      </c>
      <c r="U344" s="114" t="s">
        <v>2545</v>
      </c>
      <c r="V344" s="115"/>
      <c r="W344" s="114" t="s">
        <v>2426</v>
      </c>
      <c r="X344" s="115"/>
      <c r="Y344" s="115"/>
      <c r="Z344" s="115"/>
      <c r="AA344" s="114" t="s">
        <v>199</v>
      </c>
      <c r="AB344" s="115"/>
      <c r="AC344" s="114" t="s">
        <v>250</v>
      </c>
    </row>
    <row r="345">
      <c r="A345" s="113" t="s">
        <v>3567</v>
      </c>
      <c r="B345" s="114" t="s">
        <v>64</v>
      </c>
      <c r="C345" s="114" t="s">
        <v>183</v>
      </c>
      <c r="D345" s="115"/>
      <c r="E345" s="114" t="s">
        <v>2380</v>
      </c>
      <c r="F345" s="114" t="s">
        <v>1174</v>
      </c>
      <c r="G345" s="114" t="s">
        <v>2506</v>
      </c>
      <c r="H345" s="114" t="s">
        <v>2001</v>
      </c>
      <c r="I345" s="115"/>
      <c r="J345" s="115"/>
      <c r="K345" s="115"/>
      <c r="L345" s="115"/>
      <c r="M345" s="115"/>
      <c r="N345" s="114" t="s">
        <v>70</v>
      </c>
      <c r="O345" s="114" t="s">
        <v>2401</v>
      </c>
      <c r="P345" s="114" t="s">
        <v>2052</v>
      </c>
      <c r="Q345" s="114" t="s">
        <v>3568</v>
      </c>
      <c r="R345" s="114" t="s">
        <v>2384</v>
      </c>
      <c r="S345" s="114">
        <v>285.0</v>
      </c>
      <c r="T345" s="116" t="s">
        <v>3569</v>
      </c>
      <c r="U345" s="115"/>
      <c r="V345" s="114" t="s">
        <v>123</v>
      </c>
      <c r="W345" s="115"/>
      <c r="X345" s="115"/>
      <c r="Y345" s="115"/>
      <c r="Z345" s="115"/>
      <c r="AA345" s="115"/>
      <c r="AB345" s="115"/>
      <c r="AC345" s="115"/>
    </row>
    <row r="346">
      <c r="A346" s="113" t="s">
        <v>3570</v>
      </c>
      <c r="B346" s="114" t="s">
        <v>1223</v>
      </c>
      <c r="C346" s="114" t="s">
        <v>76</v>
      </c>
      <c r="D346" s="115"/>
      <c r="E346" s="114" t="s">
        <v>2380</v>
      </c>
      <c r="F346" s="114" t="s">
        <v>2223</v>
      </c>
      <c r="G346" s="114" t="s">
        <v>2508</v>
      </c>
      <c r="H346" s="114" t="s">
        <v>2001</v>
      </c>
      <c r="I346" s="114" t="s">
        <v>2018</v>
      </c>
      <c r="J346" s="114" t="s">
        <v>2312</v>
      </c>
      <c r="K346" s="114" t="s">
        <v>3571</v>
      </c>
      <c r="L346" s="115"/>
      <c r="M346" s="114" t="s">
        <v>39</v>
      </c>
      <c r="N346" s="114" t="s">
        <v>2222</v>
      </c>
      <c r="O346" s="114" t="s">
        <v>2515</v>
      </c>
      <c r="P346" s="114" t="s">
        <v>1997</v>
      </c>
      <c r="Q346" s="114" t="s">
        <v>2603</v>
      </c>
      <c r="R346" s="114" t="s">
        <v>2384</v>
      </c>
      <c r="S346" s="114">
        <v>285.0</v>
      </c>
      <c r="T346" s="116" t="s">
        <v>3572</v>
      </c>
      <c r="U346" s="114" t="s">
        <v>2529</v>
      </c>
      <c r="V346" s="115"/>
      <c r="W346" s="114" t="s">
        <v>2550</v>
      </c>
      <c r="X346" s="114" t="s">
        <v>130</v>
      </c>
      <c r="Y346" s="115"/>
      <c r="Z346" s="115"/>
      <c r="AA346" s="114" t="s">
        <v>199</v>
      </c>
      <c r="AB346" s="114" t="s">
        <v>75</v>
      </c>
      <c r="AC346" s="115"/>
    </row>
    <row r="347">
      <c r="A347" s="113" t="s">
        <v>3573</v>
      </c>
      <c r="B347" s="114" t="s">
        <v>1452</v>
      </c>
      <c r="C347" s="114" t="s">
        <v>76</v>
      </c>
      <c r="D347" s="115"/>
      <c r="E347" s="114" t="s">
        <v>2380</v>
      </c>
      <c r="F347" s="114" t="s">
        <v>2223</v>
      </c>
      <c r="G347" s="114" t="s">
        <v>2508</v>
      </c>
      <c r="H347" s="114" t="s">
        <v>2001</v>
      </c>
      <c r="I347" s="114" t="s">
        <v>2018</v>
      </c>
      <c r="J347" s="114" t="s">
        <v>2312</v>
      </c>
      <c r="K347" s="114" t="s">
        <v>3574</v>
      </c>
      <c r="L347" s="115"/>
      <c r="M347" s="114" t="s">
        <v>39</v>
      </c>
      <c r="N347" s="114" t="s">
        <v>134</v>
      </c>
      <c r="O347" s="115"/>
      <c r="P347" s="115"/>
      <c r="Q347" s="115"/>
      <c r="R347" s="114" t="s">
        <v>2384</v>
      </c>
      <c r="S347" s="114">
        <v>285.0</v>
      </c>
      <c r="T347" s="116" t="s">
        <v>3575</v>
      </c>
      <c r="U347" s="115"/>
      <c r="V347" s="115"/>
      <c r="W347" s="115"/>
      <c r="X347" s="115"/>
      <c r="Y347" s="115"/>
      <c r="Z347" s="115"/>
      <c r="AA347" s="114" t="s">
        <v>199</v>
      </c>
      <c r="AB347" s="115"/>
      <c r="AC347" s="115"/>
    </row>
    <row r="348">
      <c r="A348" s="113" t="s">
        <v>3576</v>
      </c>
      <c r="B348" s="114" t="s">
        <v>1594</v>
      </c>
      <c r="C348" s="114" t="s">
        <v>76</v>
      </c>
      <c r="D348" s="115"/>
      <c r="E348" s="114" t="s">
        <v>2380</v>
      </c>
      <c r="F348" s="114" t="s">
        <v>2223</v>
      </c>
      <c r="G348" s="114" t="s">
        <v>2508</v>
      </c>
      <c r="H348" s="114" t="s">
        <v>2001</v>
      </c>
      <c r="I348" s="114" t="s">
        <v>2018</v>
      </c>
      <c r="J348" s="114" t="s">
        <v>2312</v>
      </c>
      <c r="K348" s="114" t="s">
        <v>3577</v>
      </c>
      <c r="L348" s="115"/>
      <c r="M348" s="114" t="s">
        <v>39</v>
      </c>
      <c r="N348" s="114" t="s">
        <v>134</v>
      </c>
      <c r="O348" s="114" t="s">
        <v>2515</v>
      </c>
      <c r="P348" s="114" t="s">
        <v>2066</v>
      </c>
      <c r="Q348" s="114" t="s">
        <v>3256</v>
      </c>
      <c r="R348" s="114" t="s">
        <v>2384</v>
      </c>
      <c r="S348" s="114">
        <v>285.0</v>
      </c>
      <c r="T348" s="116" t="s">
        <v>3578</v>
      </c>
      <c r="U348" s="114" t="s">
        <v>3579</v>
      </c>
      <c r="V348" s="115"/>
      <c r="W348" s="115"/>
      <c r="X348" s="115"/>
      <c r="Y348" s="115"/>
      <c r="Z348" s="115"/>
      <c r="AA348" s="114" t="s">
        <v>199</v>
      </c>
      <c r="AB348" s="115"/>
      <c r="AC348" s="115"/>
    </row>
    <row r="349">
      <c r="A349" s="113" t="s">
        <v>3580</v>
      </c>
      <c r="B349" s="114" t="s">
        <v>1452</v>
      </c>
      <c r="C349" s="114" t="s">
        <v>76</v>
      </c>
      <c r="D349" s="115"/>
      <c r="E349" s="114" t="s">
        <v>2380</v>
      </c>
      <c r="F349" s="114" t="s">
        <v>2223</v>
      </c>
      <c r="G349" s="114" t="s">
        <v>2508</v>
      </c>
      <c r="H349" s="114" t="s">
        <v>2001</v>
      </c>
      <c r="I349" s="114" t="s">
        <v>2018</v>
      </c>
      <c r="J349" s="114" t="s">
        <v>2312</v>
      </c>
      <c r="K349" s="114" t="s">
        <v>3581</v>
      </c>
      <c r="L349" s="115"/>
      <c r="M349" s="114" t="s">
        <v>39</v>
      </c>
      <c r="N349" s="114" t="s">
        <v>134</v>
      </c>
      <c r="O349" s="114" t="s">
        <v>3582</v>
      </c>
      <c r="P349" s="115"/>
      <c r="Q349" s="115"/>
      <c r="R349" s="114" t="s">
        <v>2384</v>
      </c>
      <c r="S349" s="114">
        <v>287.0</v>
      </c>
      <c r="T349" s="116" t="s">
        <v>3583</v>
      </c>
      <c r="U349" s="115"/>
      <c r="V349" s="115"/>
      <c r="W349" s="115"/>
      <c r="X349" s="114" t="s">
        <v>130</v>
      </c>
      <c r="Y349" s="115"/>
      <c r="Z349" s="115"/>
      <c r="AA349" s="114" t="s">
        <v>199</v>
      </c>
      <c r="AB349" s="114" t="s">
        <v>75</v>
      </c>
      <c r="AC349" s="115"/>
    </row>
    <row r="350">
      <c r="A350" s="113" t="s">
        <v>3584</v>
      </c>
      <c r="B350" s="114" t="s">
        <v>1594</v>
      </c>
      <c r="C350" s="114" t="s">
        <v>103</v>
      </c>
      <c r="D350" s="115"/>
      <c r="E350" s="114" t="s">
        <v>2380</v>
      </c>
      <c r="F350" s="114" t="s">
        <v>2223</v>
      </c>
      <c r="G350" s="114" t="s">
        <v>2508</v>
      </c>
      <c r="H350" s="114" t="s">
        <v>2001</v>
      </c>
      <c r="I350" s="114" t="s">
        <v>2018</v>
      </c>
      <c r="J350" s="114" t="s">
        <v>2312</v>
      </c>
      <c r="K350" s="114" t="s">
        <v>3585</v>
      </c>
      <c r="L350" s="115"/>
      <c r="M350" s="114" t="s">
        <v>39</v>
      </c>
      <c r="N350" s="114" t="s">
        <v>134</v>
      </c>
      <c r="O350" s="114" t="s">
        <v>2515</v>
      </c>
      <c r="P350" s="114" t="s">
        <v>2106</v>
      </c>
      <c r="Q350" s="114" t="s">
        <v>3586</v>
      </c>
      <c r="R350" s="114" t="s">
        <v>2384</v>
      </c>
      <c r="S350" s="114">
        <v>287.0</v>
      </c>
      <c r="T350" s="116" t="s">
        <v>3587</v>
      </c>
      <c r="U350" s="114" t="s">
        <v>3588</v>
      </c>
      <c r="V350" s="115"/>
      <c r="W350" s="115"/>
      <c r="X350" s="114" t="s">
        <v>130</v>
      </c>
      <c r="Y350" s="115"/>
      <c r="Z350" s="115"/>
      <c r="AA350" s="115"/>
      <c r="AB350" s="115"/>
      <c r="AC350" s="115"/>
    </row>
    <row r="351">
      <c r="A351" s="113" t="s">
        <v>3589</v>
      </c>
      <c r="B351" s="114" t="s">
        <v>672</v>
      </c>
      <c r="C351" s="114" t="s">
        <v>178</v>
      </c>
      <c r="D351" s="115"/>
      <c r="E351" s="114" t="s">
        <v>2380</v>
      </c>
      <c r="F351" s="114" t="s">
        <v>71</v>
      </c>
      <c r="G351" s="114" t="s">
        <v>2495</v>
      </c>
      <c r="H351" s="114" t="s">
        <v>2001</v>
      </c>
      <c r="I351" s="114" t="s">
        <v>2018</v>
      </c>
      <c r="J351" s="114" t="s">
        <v>2312</v>
      </c>
      <c r="K351" s="114" t="s">
        <v>3590</v>
      </c>
      <c r="L351" s="114" t="s">
        <v>2577</v>
      </c>
      <c r="M351" s="115"/>
      <c r="N351" s="114" t="s">
        <v>2268</v>
      </c>
      <c r="O351" s="115"/>
      <c r="P351" s="115"/>
      <c r="Q351" s="115"/>
      <c r="R351" s="114" t="s">
        <v>2384</v>
      </c>
      <c r="S351" s="114">
        <v>287.0</v>
      </c>
      <c r="T351" s="116" t="s">
        <v>3591</v>
      </c>
      <c r="U351" s="115"/>
      <c r="V351" s="115"/>
      <c r="W351" s="114" t="s">
        <v>108</v>
      </c>
      <c r="X351" s="115"/>
      <c r="Y351" s="115"/>
      <c r="Z351" s="115"/>
      <c r="AA351" s="115"/>
      <c r="AB351" s="115"/>
      <c r="AC351" s="115"/>
    </row>
    <row r="352">
      <c r="A352" s="113" t="s">
        <v>3592</v>
      </c>
      <c r="B352" s="114" t="s">
        <v>945</v>
      </c>
      <c r="C352" s="114" t="s">
        <v>85</v>
      </c>
      <c r="D352" s="114" t="s">
        <v>28</v>
      </c>
      <c r="E352" s="114" t="s">
        <v>2380</v>
      </c>
      <c r="F352" s="114" t="s">
        <v>2214</v>
      </c>
      <c r="G352" s="114" t="s">
        <v>3593</v>
      </c>
      <c r="H352" s="114" t="s">
        <v>2001</v>
      </c>
      <c r="I352" s="114" t="s">
        <v>2018</v>
      </c>
      <c r="J352" s="114" t="s">
        <v>2312</v>
      </c>
      <c r="K352" s="114" t="s">
        <v>3594</v>
      </c>
      <c r="L352" s="115"/>
      <c r="M352" s="115"/>
      <c r="N352" s="114" t="s">
        <v>347</v>
      </c>
      <c r="O352" s="115"/>
      <c r="P352" s="115"/>
      <c r="Q352" s="115"/>
      <c r="R352" s="114" t="s">
        <v>2384</v>
      </c>
      <c r="S352" s="114">
        <v>287.0</v>
      </c>
      <c r="T352" s="116" t="s">
        <v>3595</v>
      </c>
      <c r="U352" s="115"/>
      <c r="V352" s="115"/>
      <c r="W352" s="115"/>
      <c r="X352" s="114" t="s">
        <v>130</v>
      </c>
      <c r="Y352" s="115"/>
      <c r="Z352" s="114" t="s">
        <v>443</v>
      </c>
      <c r="AA352" s="114" t="s">
        <v>199</v>
      </c>
      <c r="AB352" s="114" t="s">
        <v>75</v>
      </c>
      <c r="AC352" s="115"/>
    </row>
    <row r="353">
      <c r="A353" s="113" t="s">
        <v>3596</v>
      </c>
      <c r="B353" s="114" t="s">
        <v>945</v>
      </c>
      <c r="C353" s="114" t="s">
        <v>85</v>
      </c>
      <c r="D353" s="114" t="s">
        <v>28</v>
      </c>
      <c r="E353" s="114" t="s">
        <v>2380</v>
      </c>
      <c r="F353" s="114" t="s">
        <v>2214</v>
      </c>
      <c r="G353" s="114" t="s">
        <v>3593</v>
      </c>
      <c r="H353" s="114" t="s">
        <v>2001</v>
      </c>
      <c r="I353" s="114" t="s">
        <v>2018</v>
      </c>
      <c r="J353" s="114" t="s">
        <v>2312</v>
      </c>
      <c r="K353" s="114" t="s">
        <v>3597</v>
      </c>
      <c r="L353" s="115"/>
      <c r="M353" s="115"/>
      <c r="N353" s="114" t="s">
        <v>2268</v>
      </c>
      <c r="O353" s="115"/>
      <c r="P353" s="115"/>
      <c r="Q353" s="115"/>
      <c r="R353" s="114" t="s">
        <v>2384</v>
      </c>
      <c r="S353" s="114">
        <v>287.0</v>
      </c>
      <c r="T353" s="116" t="s">
        <v>3598</v>
      </c>
      <c r="U353" s="115"/>
      <c r="V353" s="115"/>
      <c r="W353" s="114" t="s">
        <v>108</v>
      </c>
      <c r="X353" s="114" t="s">
        <v>130</v>
      </c>
      <c r="Y353" s="115"/>
      <c r="Z353" s="114" t="s">
        <v>443</v>
      </c>
      <c r="AA353" s="115"/>
      <c r="AB353" s="114" t="s">
        <v>75</v>
      </c>
      <c r="AC353" s="115"/>
    </row>
    <row r="354">
      <c r="A354" s="113" t="s">
        <v>3599</v>
      </c>
      <c r="B354" s="114" t="s">
        <v>672</v>
      </c>
      <c r="C354" s="114" t="s">
        <v>103</v>
      </c>
      <c r="D354" s="115"/>
      <c r="E354" s="114" t="s">
        <v>2380</v>
      </c>
      <c r="F354" s="114" t="s">
        <v>1174</v>
      </c>
      <c r="G354" s="114" t="s">
        <v>2844</v>
      </c>
      <c r="H354" s="114" t="s">
        <v>2001</v>
      </c>
      <c r="I354" s="114" t="s">
        <v>2018</v>
      </c>
      <c r="J354" s="114" t="s">
        <v>2312</v>
      </c>
      <c r="K354" s="114" t="s">
        <v>3600</v>
      </c>
      <c r="L354" s="115"/>
      <c r="M354" s="114" t="s">
        <v>39</v>
      </c>
      <c r="N354" s="114" t="s">
        <v>2268</v>
      </c>
      <c r="O354" s="114" t="s">
        <v>2382</v>
      </c>
      <c r="P354" s="115"/>
      <c r="Q354" s="115"/>
      <c r="R354" s="114" t="s">
        <v>2384</v>
      </c>
      <c r="S354" s="114">
        <v>287.0</v>
      </c>
      <c r="T354" s="116" t="s">
        <v>3601</v>
      </c>
      <c r="U354" s="115"/>
      <c r="V354" s="115"/>
      <c r="W354" s="115"/>
      <c r="X354" s="114" t="s">
        <v>2605</v>
      </c>
      <c r="Y354" s="115"/>
      <c r="Z354" s="115"/>
      <c r="AA354" s="114" t="s">
        <v>199</v>
      </c>
      <c r="AB354" s="114" t="s">
        <v>75</v>
      </c>
      <c r="AC354" s="115"/>
    </row>
    <row r="355">
      <c r="A355" s="113" t="s">
        <v>3602</v>
      </c>
      <c r="B355" s="114" t="s">
        <v>1919</v>
      </c>
      <c r="C355" s="114" t="s">
        <v>65</v>
      </c>
      <c r="D355" s="115"/>
      <c r="E355" s="114" t="s">
        <v>2380</v>
      </c>
      <c r="F355" s="114" t="s">
        <v>2223</v>
      </c>
      <c r="G355" s="114" t="s">
        <v>913</v>
      </c>
      <c r="H355" s="114" t="s">
        <v>2001</v>
      </c>
      <c r="I355" s="114" t="s">
        <v>2018</v>
      </c>
      <c r="J355" s="115"/>
      <c r="K355" s="115"/>
      <c r="L355" s="115"/>
      <c r="M355" s="114" t="s">
        <v>39</v>
      </c>
      <c r="N355" s="114" t="s">
        <v>2222</v>
      </c>
      <c r="O355" s="114" t="s">
        <v>2401</v>
      </c>
      <c r="P355" s="114" t="s">
        <v>2052</v>
      </c>
      <c r="Q355" s="114" t="s">
        <v>3086</v>
      </c>
      <c r="R355" s="114" t="s">
        <v>2384</v>
      </c>
      <c r="S355" s="114">
        <v>288.0</v>
      </c>
      <c r="T355" s="116" t="s">
        <v>3603</v>
      </c>
      <c r="U355" s="115"/>
      <c r="V355" s="115"/>
      <c r="W355" s="115"/>
      <c r="X355" s="115"/>
      <c r="Y355" s="115"/>
      <c r="Z355" s="115"/>
      <c r="AA355" s="114" t="s">
        <v>199</v>
      </c>
      <c r="AB355" s="115"/>
      <c r="AC355" s="115"/>
    </row>
    <row r="356">
      <c r="A356" s="113" t="s">
        <v>3604</v>
      </c>
      <c r="B356" s="114" t="s">
        <v>1594</v>
      </c>
      <c r="C356" s="114" t="s">
        <v>85</v>
      </c>
      <c r="D356" s="115"/>
      <c r="E356" s="114" t="s">
        <v>2222</v>
      </c>
      <c r="F356" s="114" t="s">
        <v>2214</v>
      </c>
      <c r="G356" s="114" t="s">
        <v>3605</v>
      </c>
      <c r="H356" s="114" t="s">
        <v>2001</v>
      </c>
      <c r="I356" s="114" t="s">
        <v>2018</v>
      </c>
      <c r="J356" s="114" t="s">
        <v>2312</v>
      </c>
      <c r="K356" s="114" t="s">
        <v>3606</v>
      </c>
      <c r="L356" s="115"/>
      <c r="M356" s="115"/>
      <c r="N356" s="114" t="s">
        <v>1008</v>
      </c>
      <c r="O356" s="115"/>
      <c r="P356" s="115"/>
      <c r="Q356" s="115"/>
      <c r="R356" s="114" t="s">
        <v>2384</v>
      </c>
      <c r="S356" s="114">
        <v>288.0</v>
      </c>
      <c r="T356" s="116" t="s">
        <v>3607</v>
      </c>
      <c r="U356" s="115"/>
      <c r="V356" s="115"/>
      <c r="W356" s="115"/>
      <c r="X356" s="114" t="s">
        <v>130</v>
      </c>
      <c r="Y356" s="115"/>
      <c r="Z356" s="115"/>
      <c r="AA356" s="115"/>
      <c r="AB356" s="115"/>
      <c r="AC356" s="115"/>
    </row>
    <row r="357">
      <c r="A357" s="113" t="s">
        <v>3608</v>
      </c>
      <c r="B357" s="114" t="s">
        <v>945</v>
      </c>
      <c r="C357" s="114" t="s">
        <v>76</v>
      </c>
      <c r="D357" s="115"/>
      <c r="E357" s="114" t="s">
        <v>2380</v>
      </c>
      <c r="F357" s="114" t="s">
        <v>2223</v>
      </c>
      <c r="G357" s="114" t="s">
        <v>2508</v>
      </c>
      <c r="H357" s="114" t="s">
        <v>2001</v>
      </c>
      <c r="I357" s="114" t="s">
        <v>2018</v>
      </c>
      <c r="J357" s="114" t="s">
        <v>2312</v>
      </c>
      <c r="K357" s="114" t="s">
        <v>3609</v>
      </c>
      <c r="L357" s="115"/>
      <c r="M357" s="114" t="s">
        <v>39</v>
      </c>
      <c r="N357" s="114" t="s">
        <v>2222</v>
      </c>
      <c r="O357" s="114" t="s">
        <v>3560</v>
      </c>
      <c r="P357" s="114" t="s">
        <v>2011</v>
      </c>
      <c r="Q357" s="114" t="s">
        <v>2532</v>
      </c>
      <c r="R357" s="114" t="s">
        <v>2384</v>
      </c>
      <c r="S357" s="114">
        <v>288.0</v>
      </c>
      <c r="T357" s="116" t="s">
        <v>3610</v>
      </c>
      <c r="U357" s="115"/>
      <c r="V357" s="115"/>
      <c r="W357" s="114" t="s">
        <v>2404</v>
      </c>
      <c r="X357" s="114" t="s">
        <v>130</v>
      </c>
      <c r="Y357" s="115"/>
      <c r="Z357" s="114" t="s">
        <v>443</v>
      </c>
      <c r="AA357" s="115"/>
      <c r="AB357" s="115"/>
      <c r="AC357" s="115"/>
    </row>
    <row r="358">
      <c r="A358" s="113" t="s">
        <v>3611</v>
      </c>
      <c r="B358" s="114" t="s">
        <v>1919</v>
      </c>
      <c r="C358" s="114" t="s">
        <v>103</v>
      </c>
      <c r="D358" s="115"/>
      <c r="E358" s="114" t="s">
        <v>2380</v>
      </c>
      <c r="F358" s="114" t="s">
        <v>78</v>
      </c>
      <c r="G358" s="114" t="s">
        <v>78</v>
      </c>
      <c r="H358" s="114" t="s">
        <v>2001</v>
      </c>
      <c r="I358" s="115"/>
      <c r="J358" s="115"/>
      <c r="K358" s="115"/>
      <c r="L358" s="115"/>
      <c r="M358" s="115"/>
      <c r="N358" s="114" t="s">
        <v>70</v>
      </c>
      <c r="O358" s="115"/>
      <c r="P358" s="115"/>
      <c r="Q358" s="115"/>
      <c r="R358" s="114" t="s">
        <v>2384</v>
      </c>
      <c r="S358" s="114">
        <v>288.0</v>
      </c>
      <c r="T358" s="116" t="s">
        <v>3612</v>
      </c>
      <c r="U358" s="115"/>
      <c r="V358" s="115"/>
      <c r="W358" s="115"/>
      <c r="X358" s="115"/>
      <c r="Y358" s="115"/>
      <c r="Z358" s="115"/>
      <c r="AA358" s="114" t="s">
        <v>199</v>
      </c>
      <c r="AB358" s="114" t="s">
        <v>75</v>
      </c>
      <c r="AC358" s="115"/>
    </row>
    <row r="359">
      <c r="A359" s="113" t="s">
        <v>3613</v>
      </c>
      <c r="B359" s="114" t="s">
        <v>444</v>
      </c>
      <c r="C359" s="114" t="s">
        <v>76</v>
      </c>
      <c r="D359" s="115"/>
      <c r="E359" s="114" t="s">
        <v>2380</v>
      </c>
      <c r="F359" s="114" t="s">
        <v>2214</v>
      </c>
      <c r="G359" s="114" t="s">
        <v>2506</v>
      </c>
      <c r="H359" s="114" t="s">
        <v>2001</v>
      </c>
      <c r="I359" s="114" t="s">
        <v>2018</v>
      </c>
      <c r="J359" s="114" t="s">
        <v>2312</v>
      </c>
      <c r="K359" s="114" t="s">
        <v>3614</v>
      </c>
      <c r="L359" s="115"/>
      <c r="M359" s="114" t="s">
        <v>39</v>
      </c>
      <c r="N359" s="114" t="s">
        <v>2222</v>
      </c>
      <c r="O359" s="114" t="s">
        <v>2573</v>
      </c>
      <c r="P359" s="114" t="s">
        <v>2098</v>
      </c>
      <c r="Q359" s="114" t="s">
        <v>3293</v>
      </c>
      <c r="R359" s="114" t="s">
        <v>2384</v>
      </c>
      <c r="S359" s="114">
        <v>289.0</v>
      </c>
      <c r="T359" s="116" t="s">
        <v>3615</v>
      </c>
      <c r="U359" s="114" t="s">
        <v>3616</v>
      </c>
      <c r="V359" s="115"/>
      <c r="W359" s="115"/>
      <c r="X359" s="115"/>
      <c r="Y359" s="115"/>
      <c r="Z359" s="115"/>
      <c r="AA359" s="114" t="s">
        <v>199</v>
      </c>
      <c r="AB359" s="114" t="s">
        <v>75</v>
      </c>
      <c r="AC359" s="114" t="s">
        <v>250</v>
      </c>
    </row>
    <row r="360">
      <c r="A360" s="113" t="s">
        <v>3617</v>
      </c>
      <c r="B360" s="114" t="s">
        <v>1594</v>
      </c>
      <c r="C360" s="114" t="s">
        <v>103</v>
      </c>
      <c r="D360" s="115"/>
      <c r="E360" s="114" t="s">
        <v>2380</v>
      </c>
      <c r="F360" s="114" t="s">
        <v>2684</v>
      </c>
      <c r="G360" s="114" t="s">
        <v>3618</v>
      </c>
      <c r="H360" s="114" t="s">
        <v>2001</v>
      </c>
      <c r="I360" s="115"/>
      <c r="J360" s="115"/>
      <c r="K360" s="115"/>
      <c r="L360" s="115"/>
      <c r="M360" s="115"/>
      <c r="N360" s="114" t="s">
        <v>70</v>
      </c>
      <c r="O360" s="115"/>
      <c r="P360" s="115"/>
      <c r="Q360" s="115"/>
      <c r="R360" s="114" t="s">
        <v>2384</v>
      </c>
      <c r="S360" s="114">
        <v>289.0</v>
      </c>
      <c r="T360" s="116" t="s">
        <v>3619</v>
      </c>
      <c r="U360" s="115"/>
      <c r="V360" s="115"/>
      <c r="W360" s="114" t="s">
        <v>108</v>
      </c>
      <c r="X360" s="115"/>
      <c r="Y360" s="115"/>
      <c r="Z360" s="115"/>
      <c r="AA360" s="115"/>
      <c r="AB360" s="115"/>
      <c r="AC360" s="115"/>
    </row>
    <row r="361">
      <c r="A361" s="113" t="s">
        <v>3620</v>
      </c>
      <c r="B361" s="114" t="s">
        <v>444</v>
      </c>
      <c r="C361" s="114" t="s">
        <v>76</v>
      </c>
      <c r="D361" s="115"/>
      <c r="E361" s="114" t="s">
        <v>2486</v>
      </c>
      <c r="F361" s="114" t="s">
        <v>78</v>
      </c>
      <c r="G361" s="114" t="s">
        <v>2506</v>
      </c>
      <c r="H361" s="114" t="s">
        <v>2001</v>
      </c>
      <c r="I361" s="115"/>
      <c r="J361" s="115"/>
      <c r="K361" s="115"/>
      <c r="L361" s="115"/>
      <c r="M361" s="114" t="s">
        <v>39</v>
      </c>
      <c r="N361" s="114" t="s">
        <v>2222</v>
      </c>
      <c r="O361" s="114" t="s">
        <v>3390</v>
      </c>
      <c r="P361" s="114" t="s">
        <v>2052</v>
      </c>
      <c r="Q361" s="114" t="s">
        <v>2383</v>
      </c>
      <c r="R361" s="114" t="s">
        <v>2384</v>
      </c>
      <c r="S361" s="114">
        <v>289.0</v>
      </c>
      <c r="T361" s="116" t="s">
        <v>3621</v>
      </c>
      <c r="U361" s="115"/>
      <c r="V361" s="115"/>
      <c r="W361" s="115"/>
      <c r="X361" s="115"/>
      <c r="Y361" s="114" t="s">
        <v>570</v>
      </c>
      <c r="Z361" s="115"/>
      <c r="AA361" s="115"/>
      <c r="AB361" s="115"/>
      <c r="AC361" s="115"/>
    </row>
    <row r="362">
      <c r="A362" s="113" t="s">
        <v>3622</v>
      </c>
      <c r="B362" s="114" t="s">
        <v>672</v>
      </c>
      <c r="C362" s="114" t="s">
        <v>183</v>
      </c>
      <c r="D362" s="115"/>
      <c r="E362" s="114" t="s">
        <v>2380</v>
      </c>
      <c r="F362" s="114" t="s">
        <v>1174</v>
      </c>
      <c r="G362" s="114" t="s">
        <v>2721</v>
      </c>
      <c r="H362" s="114" t="s">
        <v>2001</v>
      </c>
      <c r="I362" s="114" t="s">
        <v>2018</v>
      </c>
      <c r="J362" s="115"/>
      <c r="K362" s="115"/>
      <c r="L362" s="115"/>
      <c r="M362" s="115"/>
      <c r="N362" s="114" t="s">
        <v>134</v>
      </c>
      <c r="O362" s="114" t="s">
        <v>2481</v>
      </c>
      <c r="P362" s="115"/>
      <c r="Q362" s="115"/>
      <c r="R362" s="114" t="s">
        <v>2384</v>
      </c>
      <c r="S362" s="114">
        <v>289.0</v>
      </c>
      <c r="T362" s="116" t="s">
        <v>3623</v>
      </c>
      <c r="U362" s="115"/>
      <c r="V362" s="114" t="s">
        <v>123</v>
      </c>
      <c r="W362" s="114" t="s">
        <v>108</v>
      </c>
      <c r="X362" s="115"/>
      <c r="Y362" s="114" t="s">
        <v>570</v>
      </c>
      <c r="Z362" s="115"/>
      <c r="AA362" s="115"/>
      <c r="AB362" s="115"/>
      <c r="AC362" s="115"/>
    </row>
    <row r="363">
      <c r="T363" s="98"/>
    </row>
    <row r="364">
      <c r="T364" s="98"/>
    </row>
    <row r="365">
      <c r="T365" s="98"/>
    </row>
    <row r="366">
      <c r="T366" s="98"/>
    </row>
    <row r="367">
      <c r="T367" s="98"/>
    </row>
    <row r="368">
      <c r="T368" s="98"/>
    </row>
    <row r="369">
      <c r="T369" s="98"/>
    </row>
    <row r="370">
      <c r="T370" s="98"/>
    </row>
    <row r="371">
      <c r="T371" s="98"/>
    </row>
    <row r="372">
      <c r="T372" s="98"/>
    </row>
    <row r="373">
      <c r="T373" s="98"/>
    </row>
    <row r="374">
      <c r="T374" s="98"/>
    </row>
    <row r="375">
      <c r="T375" s="98"/>
    </row>
    <row r="376">
      <c r="T376" s="98"/>
    </row>
    <row r="377">
      <c r="T377" s="98"/>
    </row>
    <row r="378">
      <c r="T378" s="98"/>
    </row>
    <row r="379">
      <c r="T379" s="98"/>
    </row>
    <row r="380">
      <c r="T380" s="98"/>
    </row>
    <row r="381">
      <c r="T381" s="98"/>
    </row>
    <row r="382">
      <c r="T382" s="98"/>
    </row>
    <row r="383">
      <c r="T383" s="98"/>
    </row>
    <row r="384">
      <c r="T384" s="98"/>
    </row>
    <row r="385">
      <c r="T385" s="98"/>
    </row>
    <row r="386">
      <c r="T386" s="98"/>
    </row>
    <row r="387">
      <c r="T387" s="98"/>
    </row>
    <row r="388">
      <c r="T388" s="98"/>
    </row>
    <row r="389">
      <c r="T389" s="98"/>
    </row>
    <row r="390">
      <c r="T390" s="98"/>
    </row>
    <row r="391">
      <c r="T391" s="98"/>
    </row>
    <row r="392">
      <c r="T392" s="98"/>
    </row>
    <row r="393">
      <c r="T393" s="98"/>
    </row>
    <row r="394">
      <c r="T394" s="98"/>
    </row>
    <row r="395">
      <c r="T395" s="98"/>
    </row>
    <row r="396">
      <c r="T396" s="98"/>
    </row>
    <row r="397">
      <c r="T397" s="98"/>
    </row>
    <row r="398">
      <c r="T398" s="98"/>
    </row>
    <row r="399">
      <c r="T399" s="98"/>
    </row>
    <row r="400">
      <c r="T400" s="98"/>
    </row>
    <row r="401">
      <c r="T401" s="98"/>
    </row>
    <row r="402">
      <c r="T402" s="98"/>
    </row>
    <row r="403">
      <c r="T403" s="98"/>
    </row>
    <row r="404">
      <c r="T404" s="98"/>
    </row>
    <row r="405">
      <c r="T405" s="98"/>
    </row>
    <row r="406">
      <c r="T406" s="98"/>
    </row>
    <row r="407">
      <c r="T407" s="98"/>
    </row>
    <row r="408">
      <c r="T408" s="98"/>
    </row>
    <row r="409">
      <c r="T409" s="98"/>
    </row>
    <row r="410">
      <c r="T410" s="98"/>
    </row>
    <row r="411">
      <c r="T411" s="98"/>
    </row>
    <row r="412">
      <c r="T412" s="98"/>
    </row>
    <row r="413">
      <c r="T413" s="98"/>
    </row>
    <row r="414">
      <c r="T414" s="98"/>
    </row>
    <row r="415">
      <c r="T415" s="98"/>
    </row>
    <row r="416">
      <c r="T416" s="98"/>
    </row>
    <row r="417">
      <c r="T417" s="98"/>
    </row>
    <row r="418">
      <c r="T418" s="98"/>
    </row>
    <row r="419">
      <c r="T419" s="98"/>
    </row>
    <row r="420">
      <c r="T420" s="98"/>
    </row>
    <row r="421">
      <c r="T421" s="98"/>
    </row>
    <row r="422">
      <c r="T422" s="98"/>
    </row>
    <row r="423">
      <c r="T423" s="98"/>
    </row>
    <row r="424">
      <c r="T424" s="98"/>
    </row>
    <row r="425">
      <c r="T425" s="98"/>
    </row>
    <row r="426">
      <c r="T426" s="98"/>
    </row>
    <row r="427">
      <c r="T427" s="98"/>
    </row>
    <row r="428">
      <c r="T428" s="98"/>
    </row>
    <row r="429">
      <c r="T429" s="98"/>
    </row>
    <row r="430">
      <c r="T430" s="98"/>
    </row>
    <row r="431">
      <c r="T431" s="98"/>
    </row>
    <row r="432">
      <c r="T432" s="98"/>
    </row>
    <row r="433">
      <c r="T433" s="98"/>
    </row>
    <row r="434">
      <c r="T434" s="98"/>
    </row>
    <row r="435">
      <c r="T435" s="98"/>
    </row>
    <row r="436">
      <c r="T436" s="98"/>
    </row>
    <row r="437">
      <c r="T437" s="98"/>
    </row>
    <row r="438">
      <c r="T438" s="98"/>
    </row>
    <row r="439">
      <c r="T439" s="98"/>
    </row>
    <row r="440">
      <c r="T440" s="98"/>
    </row>
    <row r="441">
      <c r="T441" s="98"/>
    </row>
    <row r="442">
      <c r="T442" s="98"/>
    </row>
    <row r="443">
      <c r="T443" s="98"/>
    </row>
    <row r="444">
      <c r="T444" s="98"/>
    </row>
    <row r="445">
      <c r="T445" s="98"/>
    </row>
    <row r="446">
      <c r="T446" s="98"/>
    </row>
    <row r="447">
      <c r="T447" s="98"/>
    </row>
    <row r="448">
      <c r="T448" s="98"/>
    </row>
    <row r="449">
      <c r="T449" s="98"/>
    </row>
    <row r="450">
      <c r="T450" s="98"/>
    </row>
    <row r="451">
      <c r="T451" s="98"/>
    </row>
    <row r="452">
      <c r="T452" s="98"/>
    </row>
    <row r="453">
      <c r="T453" s="98"/>
    </row>
    <row r="454">
      <c r="T454" s="98"/>
    </row>
    <row r="455">
      <c r="T455" s="98"/>
    </row>
    <row r="456">
      <c r="T456" s="98"/>
    </row>
    <row r="457">
      <c r="T457" s="98"/>
    </row>
    <row r="458">
      <c r="T458" s="98"/>
    </row>
    <row r="459">
      <c r="T459" s="98"/>
    </row>
    <row r="460">
      <c r="T460" s="98"/>
    </row>
    <row r="461">
      <c r="T461" s="98"/>
    </row>
    <row r="462">
      <c r="T462" s="98"/>
    </row>
    <row r="463">
      <c r="T463" s="98"/>
    </row>
    <row r="464">
      <c r="T464" s="98"/>
    </row>
    <row r="465">
      <c r="T465" s="98"/>
    </row>
    <row r="466">
      <c r="T466" s="98"/>
    </row>
    <row r="467">
      <c r="T467" s="98"/>
    </row>
    <row r="468">
      <c r="T468" s="98"/>
    </row>
    <row r="469">
      <c r="T469" s="98"/>
    </row>
    <row r="470">
      <c r="T470" s="98"/>
    </row>
    <row r="471">
      <c r="T471" s="98"/>
    </row>
    <row r="472">
      <c r="T472" s="98"/>
    </row>
    <row r="473">
      <c r="T473" s="98"/>
    </row>
    <row r="474">
      <c r="T474" s="98"/>
    </row>
    <row r="475">
      <c r="T475" s="98"/>
    </row>
    <row r="476">
      <c r="T476" s="98"/>
    </row>
    <row r="477">
      <c r="T477" s="98"/>
    </row>
    <row r="478">
      <c r="T478" s="98"/>
    </row>
    <row r="479">
      <c r="T479" s="98"/>
    </row>
    <row r="480">
      <c r="T480" s="98"/>
    </row>
    <row r="481">
      <c r="T481" s="98"/>
    </row>
    <row r="482">
      <c r="T482" s="98"/>
    </row>
    <row r="483">
      <c r="T483" s="98"/>
    </row>
    <row r="484">
      <c r="T484" s="98"/>
    </row>
    <row r="485">
      <c r="T485" s="98"/>
    </row>
    <row r="486">
      <c r="T486" s="98"/>
    </row>
    <row r="487">
      <c r="T487" s="98"/>
    </row>
    <row r="488">
      <c r="T488" s="98"/>
    </row>
    <row r="489">
      <c r="T489" s="98"/>
    </row>
    <row r="490">
      <c r="T490" s="98"/>
    </row>
    <row r="491">
      <c r="T491" s="98"/>
    </row>
    <row r="492">
      <c r="T492" s="98"/>
    </row>
    <row r="493">
      <c r="T493" s="98"/>
    </row>
    <row r="494">
      <c r="T494" s="98"/>
    </row>
    <row r="495">
      <c r="T495" s="98"/>
    </row>
    <row r="496">
      <c r="T496" s="98"/>
    </row>
    <row r="497">
      <c r="T497" s="98"/>
    </row>
    <row r="498">
      <c r="T498" s="98"/>
    </row>
    <row r="499">
      <c r="T499" s="98"/>
    </row>
    <row r="500">
      <c r="T500" s="98"/>
    </row>
    <row r="501">
      <c r="T501" s="98"/>
    </row>
    <row r="502">
      <c r="T502" s="98"/>
    </row>
    <row r="503">
      <c r="T503" s="98"/>
    </row>
    <row r="504">
      <c r="T504" s="98"/>
    </row>
    <row r="505">
      <c r="T505" s="98"/>
    </row>
    <row r="506">
      <c r="T506" s="98"/>
    </row>
    <row r="507">
      <c r="T507" s="98"/>
    </row>
    <row r="508">
      <c r="T508" s="98"/>
    </row>
    <row r="509">
      <c r="T509" s="98"/>
    </row>
    <row r="510">
      <c r="T510" s="98"/>
    </row>
    <row r="511">
      <c r="T511" s="98"/>
    </row>
    <row r="512">
      <c r="T512" s="98"/>
    </row>
    <row r="513">
      <c r="T513" s="98"/>
    </row>
    <row r="514">
      <c r="T514" s="98"/>
    </row>
    <row r="515">
      <c r="T515" s="98"/>
    </row>
    <row r="516">
      <c r="T516" s="98"/>
    </row>
    <row r="517">
      <c r="T517" s="98"/>
    </row>
    <row r="518">
      <c r="T518" s="98"/>
    </row>
    <row r="519">
      <c r="T519" s="98"/>
    </row>
    <row r="520">
      <c r="T520" s="98"/>
    </row>
    <row r="521">
      <c r="T521" s="98"/>
    </row>
    <row r="522">
      <c r="T522" s="98"/>
    </row>
    <row r="523">
      <c r="T523" s="98"/>
    </row>
    <row r="524">
      <c r="T524" s="98"/>
    </row>
    <row r="525">
      <c r="T525" s="98"/>
    </row>
    <row r="526">
      <c r="T526" s="98"/>
    </row>
    <row r="527">
      <c r="T527" s="98"/>
    </row>
    <row r="528">
      <c r="T528" s="98"/>
    </row>
    <row r="529">
      <c r="T529" s="98"/>
    </row>
    <row r="530">
      <c r="T530" s="98"/>
    </row>
    <row r="531">
      <c r="T531" s="98"/>
    </row>
    <row r="532">
      <c r="T532" s="98"/>
    </row>
    <row r="533">
      <c r="T533" s="98"/>
    </row>
    <row r="534">
      <c r="T534" s="98"/>
    </row>
    <row r="535">
      <c r="T535" s="98"/>
    </row>
    <row r="536">
      <c r="T536" s="98"/>
    </row>
    <row r="537">
      <c r="T537" s="98"/>
    </row>
    <row r="538">
      <c r="T538" s="98"/>
    </row>
    <row r="539">
      <c r="T539" s="98"/>
    </row>
    <row r="540">
      <c r="T540" s="98"/>
    </row>
    <row r="541">
      <c r="T541" s="98"/>
    </row>
    <row r="542">
      <c r="T542" s="98"/>
    </row>
    <row r="543">
      <c r="T543" s="98"/>
    </row>
    <row r="544">
      <c r="T544" s="98"/>
    </row>
    <row r="545">
      <c r="T545" s="98"/>
    </row>
    <row r="546">
      <c r="T546" s="98"/>
    </row>
    <row r="547">
      <c r="T547" s="98"/>
    </row>
    <row r="548">
      <c r="T548" s="98"/>
    </row>
    <row r="549">
      <c r="T549" s="98"/>
    </row>
    <row r="550">
      <c r="T550" s="98"/>
    </row>
    <row r="551">
      <c r="T551" s="98"/>
    </row>
    <row r="552">
      <c r="T552" s="98"/>
    </row>
    <row r="553">
      <c r="T553" s="98"/>
    </row>
    <row r="554">
      <c r="T554" s="98"/>
    </row>
    <row r="555">
      <c r="T555" s="98"/>
    </row>
    <row r="556">
      <c r="T556" s="98"/>
    </row>
    <row r="557">
      <c r="T557" s="98"/>
    </row>
    <row r="558">
      <c r="T558" s="98"/>
    </row>
    <row r="559">
      <c r="T559" s="98"/>
    </row>
    <row r="560">
      <c r="T560" s="98"/>
    </row>
    <row r="561">
      <c r="T561" s="98"/>
    </row>
    <row r="562">
      <c r="T562" s="98"/>
    </row>
    <row r="563">
      <c r="T563" s="98"/>
    </row>
    <row r="564">
      <c r="T564" s="98"/>
    </row>
    <row r="565">
      <c r="T565" s="98"/>
    </row>
    <row r="566">
      <c r="T566" s="98"/>
    </row>
    <row r="567">
      <c r="T567" s="98"/>
    </row>
    <row r="568">
      <c r="T568" s="98"/>
    </row>
    <row r="569">
      <c r="T569" s="98"/>
    </row>
    <row r="570">
      <c r="T570" s="98"/>
    </row>
    <row r="571">
      <c r="T571" s="98"/>
    </row>
    <row r="572">
      <c r="T572" s="98"/>
    </row>
    <row r="573">
      <c r="T573" s="98"/>
    </row>
    <row r="574">
      <c r="T574" s="98"/>
    </row>
    <row r="575">
      <c r="T575" s="98"/>
    </row>
    <row r="576">
      <c r="T576" s="98"/>
    </row>
    <row r="577">
      <c r="T577" s="98"/>
    </row>
    <row r="578">
      <c r="T578" s="98"/>
    </row>
    <row r="579">
      <c r="T579" s="98"/>
    </row>
    <row r="580">
      <c r="T580" s="98"/>
    </row>
    <row r="581">
      <c r="T581" s="98"/>
    </row>
    <row r="582">
      <c r="T582" s="98"/>
    </row>
    <row r="583">
      <c r="T583" s="98"/>
    </row>
    <row r="584">
      <c r="T584" s="98"/>
    </row>
    <row r="585">
      <c r="T585" s="98"/>
    </row>
    <row r="586">
      <c r="T586" s="98"/>
    </row>
    <row r="587">
      <c r="T587" s="98"/>
    </row>
    <row r="588">
      <c r="T588" s="98"/>
    </row>
    <row r="589">
      <c r="T589" s="98"/>
    </row>
    <row r="590">
      <c r="T590" s="98"/>
    </row>
    <row r="591">
      <c r="T591" s="98"/>
    </row>
    <row r="592">
      <c r="T592" s="98"/>
    </row>
    <row r="593">
      <c r="T593" s="98"/>
    </row>
    <row r="594">
      <c r="T594" s="98"/>
    </row>
    <row r="595">
      <c r="T595" s="98"/>
    </row>
    <row r="596">
      <c r="T596" s="98"/>
    </row>
    <row r="597">
      <c r="T597" s="98"/>
    </row>
    <row r="598">
      <c r="T598" s="98"/>
    </row>
    <row r="599">
      <c r="T599" s="98"/>
    </row>
    <row r="600">
      <c r="T600" s="98"/>
    </row>
    <row r="601">
      <c r="T601" s="98"/>
    </row>
    <row r="602">
      <c r="T602" s="98"/>
    </row>
    <row r="603">
      <c r="T603" s="98"/>
    </row>
    <row r="604">
      <c r="T604" s="98"/>
    </row>
    <row r="605">
      <c r="T605" s="98"/>
    </row>
    <row r="606">
      <c r="T606" s="98"/>
    </row>
    <row r="607">
      <c r="T607" s="98"/>
    </row>
    <row r="608">
      <c r="T608" s="98"/>
    </row>
    <row r="609">
      <c r="T609" s="98"/>
    </row>
    <row r="610">
      <c r="T610" s="98"/>
    </row>
    <row r="611">
      <c r="T611" s="98"/>
    </row>
    <row r="612">
      <c r="T612" s="98"/>
    </row>
    <row r="613">
      <c r="T613" s="98"/>
    </row>
    <row r="614">
      <c r="T614" s="98"/>
    </row>
    <row r="615">
      <c r="T615" s="98"/>
    </row>
    <row r="616">
      <c r="T616" s="98"/>
    </row>
    <row r="617">
      <c r="T617" s="98"/>
    </row>
    <row r="618">
      <c r="T618" s="98"/>
    </row>
    <row r="619">
      <c r="T619" s="98"/>
    </row>
    <row r="620">
      <c r="T620" s="98"/>
    </row>
    <row r="621">
      <c r="T621" s="98"/>
    </row>
    <row r="622">
      <c r="T622" s="98"/>
    </row>
    <row r="623">
      <c r="T623" s="98"/>
    </row>
    <row r="624">
      <c r="T624" s="98"/>
    </row>
    <row r="625">
      <c r="T625" s="98"/>
    </row>
    <row r="626">
      <c r="T626" s="98"/>
    </row>
    <row r="627">
      <c r="T627" s="98"/>
    </row>
    <row r="628">
      <c r="T628" s="98"/>
    </row>
    <row r="629">
      <c r="T629" s="98"/>
    </row>
    <row r="630">
      <c r="T630" s="98"/>
    </row>
    <row r="631">
      <c r="T631" s="98"/>
    </row>
    <row r="632">
      <c r="T632" s="98"/>
    </row>
    <row r="633">
      <c r="T633" s="98"/>
    </row>
    <row r="634">
      <c r="T634" s="98"/>
    </row>
    <row r="635">
      <c r="T635" s="98"/>
    </row>
    <row r="636">
      <c r="T636" s="98"/>
    </row>
    <row r="637">
      <c r="T637" s="98"/>
    </row>
    <row r="638">
      <c r="T638" s="98"/>
    </row>
    <row r="639">
      <c r="T639" s="98"/>
    </row>
    <row r="640">
      <c r="T640" s="98"/>
    </row>
    <row r="641">
      <c r="T641" s="98"/>
    </row>
    <row r="642">
      <c r="T642" s="98"/>
    </row>
    <row r="643">
      <c r="T643" s="98"/>
    </row>
    <row r="644">
      <c r="T644" s="98"/>
    </row>
    <row r="645">
      <c r="T645" s="98"/>
    </row>
    <row r="646">
      <c r="T646" s="98"/>
    </row>
    <row r="647">
      <c r="T647" s="98"/>
    </row>
    <row r="648">
      <c r="T648" s="98"/>
    </row>
    <row r="649">
      <c r="T649" s="98"/>
    </row>
    <row r="650">
      <c r="T650" s="98"/>
    </row>
    <row r="651">
      <c r="T651" s="98"/>
    </row>
    <row r="652">
      <c r="T652" s="98"/>
    </row>
    <row r="653">
      <c r="T653" s="98"/>
    </row>
    <row r="654">
      <c r="T654" s="98"/>
    </row>
    <row r="655">
      <c r="T655" s="98"/>
    </row>
    <row r="656">
      <c r="T656" s="98"/>
    </row>
    <row r="657">
      <c r="T657" s="98"/>
    </row>
    <row r="658">
      <c r="T658" s="98"/>
    </row>
    <row r="659">
      <c r="T659" s="98"/>
    </row>
    <row r="660">
      <c r="T660" s="98"/>
    </row>
    <row r="661">
      <c r="T661" s="98"/>
    </row>
    <row r="662">
      <c r="T662" s="98"/>
    </row>
    <row r="663">
      <c r="T663" s="98"/>
    </row>
    <row r="664">
      <c r="T664" s="98"/>
    </row>
    <row r="665">
      <c r="T665" s="98"/>
    </row>
    <row r="666">
      <c r="T666" s="98"/>
    </row>
    <row r="667">
      <c r="T667" s="98"/>
    </row>
    <row r="668">
      <c r="T668" s="98"/>
    </row>
    <row r="669">
      <c r="T669" s="98"/>
    </row>
    <row r="670">
      <c r="T670" s="98"/>
    </row>
    <row r="671">
      <c r="T671" s="98"/>
    </row>
    <row r="672">
      <c r="T672" s="98"/>
    </row>
    <row r="673">
      <c r="T673" s="98"/>
    </row>
    <row r="674">
      <c r="T674" s="98"/>
    </row>
    <row r="675">
      <c r="T675" s="98"/>
    </row>
    <row r="676">
      <c r="T676" s="98"/>
    </row>
    <row r="677">
      <c r="T677" s="98"/>
    </row>
    <row r="678">
      <c r="T678" s="98"/>
    </row>
    <row r="679">
      <c r="T679" s="98"/>
    </row>
    <row r="680">
      <c r="T680" s="98"/>
    </row>
    <row r="681">
      <c r="T681" s="98"/>
    </row>
    <row r="682">
      <c r="T682" s="98"/>
    </row>
    <row r="683">
      <c r="T683" s="98"/>
    </row>
    <row r="684">
      <c r="T684" s="98"/>
    </row>
    <row r="685">
      <c r="T685" s="98"/>
    </row>
    <row r="686">
      <c r="T686" s="98"/>
    </row>
    <row r="687">
      <c r="T687" s="98"/>
    </row>
    <row r="688">
      <c r="T688" s="98"/>
    </row>
    <row r="689">
      <c r="T689" s="98"/>
    </row>
    <row r="690">
      <c r="T690" s="98"/>
    </row>
    <row r="691">
      <c r="T691" s="98"/>
    </row>
    <row r="692">
      <c r="T692" s="98"/>
    </row>
    <row r="693">
      <c r="T693" s="98"/>
    </row>
    <row r="694">
      <c r="T694" s="98"/>
    </row>
    <row r="695">
      <c r="T695" s="98"/>
    </row>
    <row r="696">
      <c r="T696" s="98"/>
    </row>
    <row r="697">
      <c r="T697" s="98"/>
    </row>
    <row r="698">
      <c r="T698" s="98"/>
    </row>
    <row r="699">
      <c r="T699" s="98"/>
    </row>
    <row r="700">
      <c r="T700" s="98"/>
    </row>
    <row r="701">
      <c r="T701" s="98"/>
    </row>
    <row r="702">
      <c r="T702" s="98"/>
    </row>
    <row r="703">
      <c r="T703" s="98"/>
    </row>
    <row r="704">
      <c r="T704" s="98"/>
    </row>
    <row r="705">
      <c r="T705" s="98"/>
    </row>
    <row r="706">
      <c r="T706" s="98"/>
    </row>
    <row r="707">
      <c r="T707" s="98"/>
    </row>
    <row r="708">
      <c r="T708" s="98"/>
    </row>
    <row r="709">
      <c r="T709" s="98"/>
    </row>
    <row r="710">
      <c r="T710" s="98"/>
    </row>
    <row r="711">
      <c r="T711" s="98"/>
    </row>
    <row r="712">
      <c r="T712" s="98"/>
    </row>
    <row r="713">
      <c r="T713" s="98"/>
    </row>
    <row r="714">
      <c r="T714" s="98"/>
    </row>
    <row r="715">
      <c r="T715" s="98"/>
    </row>
    <row r="716">
      <c r="T716" s="98"/>
    </row>
    <row r="717">
      <c r="T717" s="98"/>
    </row>
    <row r="718">
      <c r="T718" s="98"/>
    </row>
    <row r="719">
      <c r="T719" s="98"/>
    </row>
    <row r="720">
      <c r="T720" s="98"/>
    </row>
    <row r="721">
      <c r="T721" s="98"/>
    </row>
    <row r="722">
      <c r="T722" s="98"/>
    </row>
    <row r="723">
      <c r="T723" s="98"/>
    </row>
    <row r="724">
      <c r="T724" s="98"/>
    </row>
    <row r="725">
      <c r="T725" s="98"/>
    </row>
    <row r="726">
      <c r="T726" s="98"/>
    </row>
    <row r="727">
      <c r="T727" s="98"/>
    </row>
    <row r="728">
      <c r="T728" s="98"/>
    </row>
    <row r="729">
      <c r="T729" s="98"/>
    </row>
    <row r="730">
      <c r="T730" s="98"/>
    </row>
    <row r="731">
      <c r="T731" s="98"/>
    </row>
    <row r="732">
      <c r="T732" s="98"/>
    </row>
    <row r="733">
      <c r="T733" s="98"/>
    </row>
    <row r="734">
      <c r="T734" s="98"/>
    </row>
    <row r="735">
      <c r="T735" s="98"/>
    </row>
    <row r="736">
      <c r="T736" s="98"/>
    </row>
    <row r="737">
      <c r="T737" s="98"/>
    </row>
    <row r="738">
      <c r="T738" s="98"/>
    </row>
    <row r="739">
      <c r="T739" s="98"/>
    </row>
    <row r="740">
      <c r="T740" s="98"/>
    </row>
    <row r="741">
      <c r="T741" s="98"/>
    </row>
    <row r="742">
      <c r="T742" s="98"/>
    </row>
    <row r="743">
      <c r="T743" s="98"/>
    </row>
    <row r="744">
      <c r="T744" s="98"/>
    </row>
    <row r="745">
      <c r="T745" s="98"/>
    </row>
    <row r="746">
      <c r="T746" s="98"/>
    </row>
    <row r="747">
      <c r="T747" s="98"/>
    </row>
    <row r="748">
      <c r="T748" s="98"/>
    </row>
    <row r="749">
      <c r="T749" s="98"/>
    </row>
    <row r="750">
      <c r="T750" s="98"/>
    </row>
    <row r="751">
      <c r="T751" s="98"/>
    </row>
    <row r="752">
      <c r="T752" s="98"/>
    </row>
    <row r="753">
      <c r="T753" s="98"/>
    </row>
    <row r="754">
      <c r="T754" s="98"/>
    </row>
    <row r="755">
      <c r="T755" s="98"/>
    </row>
    <row r="756">
      <c r="T756" s="98"/>
    </row>
    <row r="757">
      <c r="T757" s="98"/>
    </row>
    <row r="758">
      <c r="T758" s="98"/>
    </row>
    <row r="759">
      <c r="T759" s="98"/>
    </row>
    <row r="760">
      <c r="T760" s="98"/>
    </row>
    <row r="761">
      <c r="T761" s="98"/>
    </row>
    <row r="762">
      <c r="T762" s="98"/>
    </row>
    <row r="763">
      <c r="T763" s="98"/>
    </row>
    <row r="764">
      <c r="T764" s="98"/>
    </row>
    <row r="765">
      <c r="T765" s="98"/>
    </row>
    <row r="766">
      <c r="T766" s="98"/>
    </row>
    <row r="767">
      <c r="T767" s="98"/>
    </row>
    <row r="768">
      <c r="T768" s="98"/>
    </row>
    <row r="769">
      <c r="T769" s="98"/>
    </row>
    <row r="770">
      <c r="T770" s="98"/>
    </row>
    <row r="771">
      <c r="T771" s="98"/>
    </row>
    <row r="772">
      <c r="T772" s="98"/>
    </row>
    <row r="773">
      <c r="T773" s="98"/>
    </row>
    <row r="774">
      <c r="T774" s="98"/>
    </row>
    <row r="775">
      <c r="T775" s="98"/>
    </row>
    <row r="776">
      <c r="T776" s="98"/>
    </row>
    <row r="777">
      <c r="T777" s="98"/>
    </row>
    <row r="778">
      <c r="T778" s="98"/>
    </row>
    <row r="779">
      <c r="T779" s="98"/>
    </row>
    <row r="780">
      <c r="T780" s="98"/>
    </row>
    <row r="781">
      <c r="T781" s="98"/>
    </row>
    <row r="782">
      <c r="T782" s="98"/>
    </row>
    <row r="783">
      <c r="T783" s="98"/>
    </row>
    <row r="784">
      <c r="T784" s="98"/>
    </row>
    <row r="785">
      <c r="T785" s="98"/>
    </row>
    <row r="786">
      <c r="T786" s="98"/>
    </row>
    <row r="787">
      <c r="T787" s="98"/>
    </row>
    <row r="788">
      <c r="T788" s="98"/>
    </row>
    <row r="789">
      <c r="T789" s="98"/>
    </row>
    <row r="790">
      <c r="T790" s="98"/>
    </row>
    <row r="791">
      <c r="T791" s="98"/>
    </row>
    <row r="792">
      <c r="T792" s="98"/>
    </row>
    <row r="793">
      <c r="T793" s="98"/>
    </row>
    <row r="794">
      <c r="T794" s="98"/>
    </row>
    <row r="795">
      <c r="T795" s="98"/>
    </row>
    <row r="796">
      <c r="T796" s="98"/>
    </row>
    <row r="797">
      <c r="T797" s="98"/>
    </row>
    <row r="798">
      <c r="T798" s="98"/>
    </row>
    <row r="799">
      <c r="T799" s="98"/>
    </row>
    <row r="800">
      <c r="T800" s="98"/>
    </row>
    <row r="801">
      <c r="T801" s="98"/>
    </row>
    <row r="802">
      <c r="T802" s="98"/>
    </row>
    <row r="803">
      <c r="T803" s="98"/>
    </row>
    <row r="804">
      <c r="T804" s="98"/>
    </row>
    <row r="805">
      <c r="T805" s="98"/>
    </row>
    <row r="806">
      <c r="T806" s="98"/>
    </row>
    <row r="807">
      <c r="T807" s="98"/>
    </row>
    <row r="808">
      <c r="T808" s="98"/>
    </row>
    <row r="809">
      <c r="T809" s="98"/>
    </row>
    <row r="810">
      <c r="T810" s="98"/>
    </row>
    <row r="811">
      <c r="T811" s="98"/>
    </row>
    <row r="812">
      <c r="T812" s="98"/>
    </row>
    <row r="813">
      <c r="T813" s="98"/>
    </row>
    <row r="814">
      <c r="T814" s="98"/>
    </row>
    <row r="815">
      <c r="T815" s="98"/>
    </row>
    <row r="816">
      <c r="T816" s="98"/>
    </row>
    <row r="817">
      <c r="T817" s="98"/>
    </row>
    <row r="818">
      <c r="T818" s="98"/>
    </row>
    <row r="819">
      <c r="T819" s="98"/>
    </row>
    <row r="820">
      <c r="T820" s="98"/>
    </row>
    <row r="821">
      <c r="T821" s="98"/>
    </row>
    <row r="822">
      <c r="T822" s="98"/>
    </row>
    <row r="823">
      <c r="T823" s="98"/>
    </row>
    <row r="824">
      <c r="T824" s="98"/>
    </row>
    <row r="825">
      <c r="T825" s="98"/>
    </row>
    <row r="826">
      <c r="T826" s="98"/>
    </row>
    <row r="827">
      <c r="T827" s="98"/>
    </row>
    <row r="828">
      <c r="T828" s="98"/>
    </row>
    <row r="829">
      <c r="T829" s="98"/>
    </row>
    <row r="830">
      <c r="T830" s="98"/>
    </row>
    <row r="831">
      <c r="T831" s="98"/>
    </row>
    <row r="832">
      <c r="T832" s="98"/>
    </row>
    <row r="833">
      <c r="T833" s="98"/>
    </row>
    <row r="834">
      <c r="T834" s="98"/>
    </row>
    <row r="835">
      <c r="T835" s="98"/>
    </row>
    <row r="836">
      <c r="T836" s="98"/>
    </row>
    <row r="837">
      <c r="T837" s="98"/>
    </row>
    <row r="838">
      <c r="T838" s="98"/>
    </row>
    <row r="839">
      <c r="T839" s="98"/>
    </row>
    <row r="840">
      <c r="T840" s="98"/>
    </row>
    <row r="841">
      <c r="T841" s="98"/>
    </row>
    <row r="842">
      <c r="T842" s="98"/>
    </row>
    <row r="843">
      <c r="T843" s="98"/>
    </row>
    <row r="844">
      <c r="T844" s="98"/>
    </row>
    <row r="845">
      <c r="T845" s="98"/>
    </row>
    <row r="846">
      <c r="T846" s="98"/>
    </row>
    <row r="847">
      <c r="T847" s="98"/>
    </row>
    <row r="848">
      <c r="T848" s="98"/>
    </row>
    <row r="849">
      <c r="T849" s="98"/>
    </row>
    <row r="850">
      <c r="T850" s="98"/>
    </row>
    <row r="851">
      <c r="T851" s="98"/>
    </row>
    <row r="852">
      <c r="T852" s="98"/>
    </row>
    <row r="853">
      <c r="T853" s="98"/>
    </row>
    <row r="854">
      <c r="T854" s="98"/>
    </row>
    <row r="855">
      <c r="T855" s="98"/>
    </row>
    <row r="856">
      <c r="T856" s="98"/>
    </row>
    <row r="857">
      <c r="T857" s="98"/>
    </row>
    <row r="858">
      <c r="T858" s="98"/>
    </row>
    <row r="859">
      <c r="T859" s="98"/>
    </row>
    <row r="860">
      <c r="T860" s="98"/>
    </row>
    <row r="861">
      <c r="T861" s="98"/>
    </row>
    <row r="862">
      <c r="T862" s="98"/>
    </row>
    <row r="863">
      <c r="T863" s="98"/>
    </row>
    <row r="864">
      <c r="T864" s="98"/>
    </row>
    <row r="865">
      <c r="T865" s="98"/>
    </row>
    <row r="866">
      <c r="T866" s="98"/>
    </row>
    <row r="867">
      <c r="T867" s="98"/>
    </row>
    <row r="868">
      <c r="T868" s="98"/>
    </row>
    <row r="869">
      <c r="T869" s="98"/>
    </row>
    <row r="870">
      <c r="T870" s="98"/>
    </row>
    <row r="871">
      <c r="T871" s="98"/>
    </row>
    <row r="872">
      <c r="T872" s="98"/>
    </row>
    <row r="873">
      <c r="T873" s="98"/>
    </row>
    <row r="874">
      <c r="T874" s="98"/>
    </row>
    <row r="875">
      <c r="T875" s="98"/>
    </row>
    <row r="876">
      <c r="T876" s="98"/>
    </row>
    <row r="877">
      <c r="T877" s="98"/>
    </row>
    <row r="878">
      <c r="T878" s="98"/>
    </row>
    <row r="879">
      <c r="T879" s="98"/>
    </row>
    <row r="880">
      <c r="T880" s="98"/>
    </row>
    <row r="881">
      <c r="T881" s="98"/>
    </row>
    <row r="882">
      <c r="T882" s="98"/>
    </row>
    <row r="883">
      <c r="T883" s="98"/>
    </row>
    <row r="884">
      <c r="T884" s="98"/>
    </row>
    <row r="885">
      <c r="T885" s="98"/>
    </row>
    <row r="886">
      <c r="T886" s="98"/>
    </row>
    <row r="887">
      <c r="T887" s="98"/>
    </row>
    <row r="888">
      <c r="T888" s="98"/>
    </row>
    <row r="889">
      <c r="T889" s="98"/>
    </row>
    <row r="890">
      <c r="T890" s="98"/>
    </row>
    <row r="891">
      <c r="T891" s="98"/>
    </row>
    <row r="892">
      <c r="T892" s="98"/>
    </row>
    <row r="893">
      <c r="T893" s="98"/>
    </row>
    <row r="894">
      <c r="T894" s="98"/>
    </row>
    <row r="895">
      <c r="T895" s="98"/>
    </row>
    <row r="896">
      <c r="T896" s="98"/>
    </row>
    <row r="897">
      <c r="T897" s="98"/>
    </row>
    <row r="898">
      <c r="T898" s="98"/>
    </row>
    <row r="899">
      <c r="T899" s="98"/>
    </row>
    <row r="900">
      <c r="T900" s="98"/>
    </row>
    <row r="901">
      <c r="T901" s="98"/>
    </row>
    <row r="902">
      <c r="T902" s="98"/>
    </row>
    <row r="903">
      <c r="T903" s="98"/>
    </row>
    <row r="904">
      <c r="T904" s="98"/>
    </row>
    <row r="905">
      <c r="T905" s="98"/>
    </row>
    <row r="906">
      <c r="T906" s="98"/>
    </row>
    <row r="907">
      <c r="T907" s="98"/>
    </row>
    <row r="908">
      <c r="T908" s="98"/>
    </row>
    <row r="909">
      <c r="T909" s="98"/>
    </row>
    <row r="910">
      <c r="T910" s="98"/>
    </row>
    <row r="911">
      <c r="T911" s="98"/>
    </row>
    <row r="912">
      <c r="T912" s="98"/>
    </row>
    <row r="913">
      <c r="T913" s="98"/>
    </row>
    <row r="914">
      <c r="T914" s="98"/>
    </row>
    <row r="915">
      <c r="T915" s="98"/>
    </row>
    <row r="916">
      <c r="T916" s="98"/>
    </row>
    <row r="917">
      <c r="T917" s="98"/>
    </row>
    <row r="918">
      <c r="T918" s="98"/>
    </row>
    <row r="919">
      <c r="T919" s="98"/>
    </row>
    <row r="920">
      <c r="T920" s="98"/>
    </row>
    <row r="921">
      <c r="T921" s="98"/>
    </row>
    <row r="922">
      <c r="T922" s="98"/>
    </row>
    <row r="923">
      <c r="T923" s="98"/>
    </row>
    <row r="924">
      <c r="T924" s="98"/>
    </row>
    <row r="925">
      <c r="T925" s="98"/>
    </row>
    <row r="926">
      <c r="T926" s="98"/>
    </row>
    <row r="927">
      <c r="T927" s="98"/>
    </row>
    <row r="928">
      <c r="T928" s="98"/>
    </row>
    <row r="929">
      <c r="T929" s="98"/>
    </row>
    <row r="930">
      <c r="T930" s="98"/>
    </row>
    <row r="931">
      <c r="T931" s="98"/>
    </row>
    <row r="932">
      <c r="T932" s="98"/>
    </row>
    <row r="933">
      <c r="T933" s="98"/>
    </row>
    <row r="934">
      <c r="T934" s="98"/>
    </row>
    <row r="935">
      <c r="T935" s="98"/>
    </row>
    <row r="936">
      <c r="T936" s="98"/>
    </row>
    <row r="937">
      <c r="T937" s="98"/>
    </row>
    <row r="938">
      <c r="T938" s="98"/>
    </row>
    <row r="939">
      <c r="T939" s="98"/>
    </row>
    <row r="940">
      <c r="T940" s="98"/>
    </row>
    <row r="941">
      <c r="T941" s="98"/>
    </row>
    <row r="942">
      <c r="T942" s="98"/>
    </row>
    <row r="943">
      <c r="T943" s="98"/>
    </row>
    <row r="944">
      <c r="T944" s="98"/>
    </row>
    <row r="945">
      <c r="T945" s="98"/>
    </row>
    <row r="946">
      <c r="T946" s="98"/>
    </row>
    <row r="947">
      <c r="T947" s="98"/>
    </row>
    <row r="948">
      <c r="T948" s="98"/>
    </row>
    <row r="949">
      <c r="T949" s="98"/>
    </row>
    <row r="950">
      <c r="T950" s="98"/>
    </row>
    <row r="951">
      <c r="T951" s="98"/>
    </row>
    <row r="952">
      <c r="T952" s="98"/>
    </row>
    <row r="953">
      <c r="T953" s="98"/>
    </row>
    <row r="954">
      <c r="T954" s="98"/>
    </row>
    <row r="955">
      <c r="T955" s="98"/>
    </row>
    <row r="956">
      <c r="T956" s="98"/>
    </row>
    <row r="957">
      <c r="T957" s="98"/>
    </row>
    <row r="958">
      <c r="T958" s="98"/>
    </row>
    <row r="959">
      <c r="T959" s="98"/>
    </row>
    <row r="960">
      <c r="T960" s="98"/>
    </row>
    <row r="961">
      <c r="T961" s="98"/>
    </row>
    <row r="962">
      <c r="T962" s="98"/>
    </row>
    <row r="963">
      <c r="T963" s="98"/>
    </row>
    <row r="964">
      <c r="T964" s="98"/>
    </row>
    <row r="965">
      <c r="T965" s="98"/>
    </row>
    <row r="966">
      <c r="T966" s="98"/>
    </row>
    <row r="967">
      <c r="T967" s="98"/>
    </row>
    <row r="968">
      <c r="T968" s="98"/>
    </row>
    <row r="969">
      <c r="T969" s="98"/>
    </row>
    <row r="970">
      <c r="T970" s="98"/>
    </row>
    <row r="971">
      <c r="T971" s="98"/>
    </row>
    <row r="972">
      <c r="T972" s="98"/>
    </row>
    <row r="973">
      <c r="T973" s="98"/>
    </row>
    <row r="974">
      <c r="T974" s="98"/>
    </row>
    <row r="975">
      <c r="T975" s="98"/>
    </row>
    <row r="976">
      <c r="T976" s="98"/>
    </row>
    <row r="977">
      <c r="T977" s="98"/>
    </row>
    <row r="978">
      <c r="T978" s="98"/>
    </row>
    <row r="979">
      <c r="T979" s="98"/>
    </row>
    <row r="980">
      <c r="T980" s="98"/>
    </row>
    <row r="981">
      <c r="T981" s="98"/>
    </row>
    <row r="982">
      <c r="T982" s="98"/>
    </row>
    <row r="983">
      <c r="T983" s="98"/>
    </row>
    <row r="984">
      <c r="T984" s="98"/>
    </row>
    <row r="985">
      <c r="T985" s="98"/>
    </row>
    <row r="986">
      <c r="T986" s="98"/>
    </row>
    <row r="987">
      <c r="T987" s="98"/>
    </row>
    <row r="988">
      <c r="T988" s="98"/>
    </row>
    <row r="989">
      <c r="T989" s="98"/>
    </row>
    <row r="990">
      <c r="T990" s="98"/>
    </row>
    <row r="991">
      <c r="T991" s="98"/>
    </row>
    <row r="992">
      <c r="T992" s="98"/>
    </row>
    <row r="993">
      <c r="T993" s="98"/>
    </row>
    <row r="994">
      <c r="T994" s="98"/>
    </row>
    <row r="995">
      <c r="T995" s="98"/>
    </row>
    <row r="996">
      <c r="T996" s="98"/>
    </row>
    <row r="997">
      <c r="T997" s="98"/>
    </row>
    <row r="998">
      <c r="T998" s="98"/>
    </row>
    <row r="999">
      <c r="T999" s="98"/>
    </row>
    <row r="1000">
      <c r="T1000" s="98"/>
    </row>
  </sheetData>
  <drawing r:id="rId1"/>
</worksheet>
</file>