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njaminflynn/Downloads/"/>
    </mc:Choice>
  </mc:AlternateContent>
  <xr:revisionPtr revIDLastSave="0" documentId="13_ncr:1_{2D9697EC-B1B3-0A42-94BD-0158881372D3}" xr6:coauthVersionLast="4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0" windowWidth="28800" windowHeight="180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2" i="3" l="1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 l="1"/>
  <c r="BT6" i="3" s="1"/>
  <c r="AV33" i="3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AG21" i="3"/>
  <c r="AL21" i="3"/>
  <c r="AK21" i="3"/>
  <c r="AG19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W74" i="3" l="1"/>
  <c r="T59" i="3"/>
  <c r="U59" i="3" s="1"/>
  <c r="T61" i="3"/>
  <c r="U61" i="3" s="1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N61" i="3" l="1"/>
  <c r="AO61" i="3" s="1"/>
  <c r="CB13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B40" i="3"/>
  <c r="BA40" i="3"/>
  <c r="AA61" i="3"/>
  <c r="AB59" i="3"/>
  <c r="AF59" i="3" s="1"/>
  <c r="AA58" i="3"/>
  <c r="AB58" i="3"/>
  <c r="AF58" i="3" s="1"/>
  <c r="AG59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61" i="3"/>
  <c r="AI60" i="3"/>
  <c r="AH61" i="3"/>
  <c r="AG74" i="3"/>
  <c r="AH72" i="3"/>
  <c r="AK61" i="3"/>
  <c r="AG71" i="3"/>
  <c r="AL60" i="3"/>
  <c r="AG73" i="3"/>
  <c r="AK60" i="3"/>
  <c r="AJ61" i="3"/>
  <c r="AJ60" i="3"/>
  <c r="AG72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K72" i="3"/>
  <c r="AH71" i="3"/>
  <c r="AJ71" i="3"/>
  <c r="AH73" i="3"/>
  <c r="AI71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K59" i="3" l="1"/>
  <c r="AH59" i="3"/>
  <c r="AI58" i="3"/>
  <c r="AL59" i="3"/>
  <c r="AH58" i="3"/>
  <c r="AL58" i="3"/>
  <c r="AI59" i="3"/>
  <c r="AJ59" i="3"/>
  <c r="AG58" i="3"/>
  <c r="AJ58" i="3"/>
  <c r="AK58" i="3"/>
  <c r="AM58" i="3" s="1"/>
  <c r="AM18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A31" i="3" s="1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W11" i="2"/>
  <c r="X11" i="2"/>
  <c r="Z11" i="2"/>
  <c r="V14" i="2" l="1"/>
  <c r="A40" i="4"/>
  <c r="AB11" i="2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/>
  <c r="AA11" i="2"/>
  <c r="AB14" i="2" l="1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<sst xmlns="http://schemas.openxmlformats.org/spreadsheetml/2006/main" count="590" uniqueCount="144">
  <si>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</si>
  <si>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</si>
  <si>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</si>
  <si>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</si>
  <si>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</si>
  <si>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</si>
  <si>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</si>
  <si>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</si>
  <si>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</si>
  <si>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</si>
  <si>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</si>
  <si>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</si>
  <si>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</si>
  <si>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</si>
  <si>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</si>
  <si>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</si>
  <si>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</si>
  <si>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</si>
  <si>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</si>
  <si>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</si>
  <si>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</si>
  <si>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</si>
  <si>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</si>
  <si>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</si>
  <si>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</si>
  <si>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</si>
  <si>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</si>
  <si>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</si>
  <si>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</si>
  <si>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</si>
  <si>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</si>
  <si>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</si>
  <si>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</si>
  <si>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</si>
  <si>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</si>
  <si>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</si>
  <si>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</si>
  <si>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</si>
  <si>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</si>
  <si>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</si>
  <si>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</si>
  <si>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</si>
  <si>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</si>
  <si>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</si>
  <si>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</si>
  <si>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</si>
  <si>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</si>
  <si>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</si>
  <si>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</si>
  <si>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</si>
  <si>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</si>
  <si>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</si>
  <si>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</si>
  <si>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</si>
  <si>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</si>
  <si>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</si>
  <si>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</si>
  <si>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</si>
  <si>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</si>
  <si>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</si>
  <si>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</si>
  <si>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</si>
  <si>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</si>
  <si>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</si>
  <si>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</si>
  <si>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</si>
  <si>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</si>
  <si>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</si>
  <si>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</si>
  <si>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</si>
  <si>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</si>
  <si>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</si>
  <si>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</si>
  <si>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</si>
  <si>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</si>
  <si>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</si>
  <si>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</si>
  <si>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</si>
  <si>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</si>
  <si>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</si>
  <si>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</si>
  <si>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</si>
  <si>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</si>
  <si>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</si>
  <si>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</si>
  <si>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</si>
  <si>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</si>
  <si>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</si>
  <si>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</si>
  <si>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</si>
  <si>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</si>
  <si>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</si>
  <si>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</si>
  <si>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</si>
  <si>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</si>
  <si>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</si>
  <si>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</si>
  <si>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</si>
  <si>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</si>
  <si>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</si>
  <si>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</si>
  <si>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</si>
  <si>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</si>
  <si>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</si>
  <si>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</si>
  <si>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</si>
  <si>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</si>
  <si>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</si>
  <si>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</si>
  <si>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</si>
  <si>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</si>
  <si>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</si>
  <si>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</si>
  <si>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</si>
  <si>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</si>
  <si>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</si>
  <si>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</si>
  <si>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</si>
  <si>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</si>
  <si>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</si>
  <si>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</si>
  <si>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</si>
  <si>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</si>
  <si>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</si>
  <si>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</si>
  <si>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</si>
  <si>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</si>
  <si>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</si>
  <si>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</si>
  <si>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</si>
  <si>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</si>
  <si>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</si>
  <si>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</si>
  <si>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</si>
  <si>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</si>
  <si>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</si>
  <si>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</si>
  <si>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</si>
  <si>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</si>
  <si>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</si>
  <si>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</si>
  <si>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 xml:space="preserve">Lukaku </t>
  </si>
  <si>
    <t xml:space="preserve">Donnarumma </t>
  </si>
  <si>
    <t>Benji Flynn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</si>
</sst>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30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143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1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/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2</v>
      </c>
      <c r="AA11" s="44">
        <f>X11-Z11</f>
        <v>4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3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>Switzerland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1</v>
      </c>
      <c r="W12" s="53">
        <f>VLOOKUP(P12,'Dummy Table'!B4:E40,4,FALSE)</f>
        <v>0</v>
      </c>
      <c r="X12" s="53">
        <f>VLOOKUP(P12,'Dummy Table'!B4:F40,5,FALSE)</f>
        <v>5</v>
      </c>
      <c r="Y12" s="53" t="s">
        <v>45</v>
      </c>
      <c r="Z12" s="53">
        <f>VLOOKUP(P12,'Dummy Table'!B4:G40,6,FALSE)</f>
        <v>2</v>
      </c>
      <c r="AA12" s="53">
        <f>X12-Z12</f>
        <v>3</v>
      </c>
      <c r="AB12" s="53">
        <f>U12*3+V12*1</f>
        <v>7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2</v>
      </c>
      <c r="Y14" s="55" t="s">
        <v>45</v>
      </c>
      <c r="Z14" s="55">
        <f>VLOOKUP(P14,'Dummy Table'!B4:G40,6,FALSE)</f>
        <v>8</v>
      </c>
      <c r="AA14" s="55">
        <f>X14-Z14</f>
        <v>-6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2</v>
      </c>
      <c r="H15" s="50" t="s">
        <v>5</v>
      </c>
      <c r="I15" s="51"/>
      <c r="J15" s="51"/>
      <c r="K15" s="51"/>
      <c r="L15" s="269"/>
      <c r="M15" s="52" t="str">
        <f t="shared" si="0"/>
        <v/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9</v>
      </c>
      <c r="Y16" s="57" t="s">
        <v>45</v>
      </c>
      <c r="Z16" s="56">
        <f>VLOOKUP(P16,'Dummy Table'!B4:G40,6,FALSE)</f>
        <v>2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1</v>
      </c>
      <c r="H17" s="50" t="s">
        <v>25</v>
      </c>
      <c r="I17" s="51"/>
      <c r="J17" s="51"/>
      <c r="K17" s="51"/>
      <c r="L17" s="269"/>
      <c r="M17" s="52" t="str">
        <f t="shared" si="0"/>
        <v/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3</v>
      </c>
      <c r="AA17" s="58">
        <f>X17-Z17</f>
        <v>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2</v>
      </c>
      <c r="G18" s="185">
        <v>1</v>
      </c>
      <c r="H18" s="50" t="s">
        <v>6</v>
      </c>
      <c r="I18" s="51"/>
      <c r="J18" s="51"/>
      <c r="K18" s="51"/>
      <c r="L18" s="269"/>
      <c r="M18" s="52" t="str">
        <f t="shared" si="0"/>
        <v>Scotland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1</v>
      </c>
      <c r="W18" s="59">
        <f>VLOOKUP(P18,'Dummy Table'!B4:E40,4,FALSE)</f>
        <v>1</v>
      </c>
      <c r="X18" s="59">
        <f>VLOOKUP(P18,'Dummy Table'!B4:F40,5,FALSE)</f>
        <v>5</v>
      </c>
      <c r="Y18" s="59" t="s">
        <v>45</v>
      </c>
      <c r="Z18" s="59">
        <f>VLOOKUP(P18,'Dummy Table'!B4:G40,6,FALSE)</f>
        <v>5</v>
      </c>
      <c r="AA18" s="59">
        <f>X18-Z18</f>
        <v>0</v>
      </c>
      <c r="AB18" s="59">
        <f>U18*3+V18*1</f>
        <v>4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1</v>
      </c>
      <c r="Y19" s="55" t="s">
        <v>45</v>
      </c>
      <c r="Z19" s="55">
        <f>VLOOKUP(P19,'Dummy Table'!B4:G40,6,FALSE)</f>
        <v>9</v>
      </c>
      <c r="AA19" s="55">
        <f>X19-Z19</f>
        <v>-8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1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7</v>
      </c>
      <c r="Y21" s="61" t="s">
        <v>45</v>
      </c>
      <c r="Z21" s="60">
        <f>VLOOKUP(P21,'Dummy Table'!B4:G40,6,FALSE)</f>
        <v>2</v>
      </c>
      <c r="AA21" s="60">
        <f>X21-Z21</f>
        <v>5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/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1</v>
      </c>
      <c r="W22" s="70">
        <f>VLOOKUP(P22,'Dummy Table'!B4:E40,4,FALSE)</f>
        <v>0</v>
      </c>
      <c r="X22" s="70">
        <f>VLOOKUP(P22,'Dummy Table'!B4:F40,5,FALSE)</f>
        <v>4</v>
      </c>
      <c r="Y22" s="70" t="s">
        <v>45</v>
      </c>
      <c r="Z22" s="70">
        <f>VLOOKUP(P22,'Dummy Table'!B4:G40,6,FALSE)</f>
        <v>2</v>
      </c>
      <c r="AA22" s="70">
        <f>X22-Z22</f>
        <v>2</v>
      </c>
      <c r="AB22" s="70">
        <f>U22*3+V22*1</f>
        <v>7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3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6</v>
      </c>
      <c r="AA23" s="78">
        <f>X23-Z23</f>
        <v>-2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6</v>
      </c>
      <c r="AA24" s="55">
        <f>X24-Z24</f>
        <v>-5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8</v>
      </c>
      <c r="Y26" s="87" t="s">
        <v>45</v>
      </c>
      <c r="Z26" s="86">
        <f>VLOOKUP(P26,'Dummy Table'!B4:G40,6,FALSE)</f>
        <v>3</v>
      </c>
      <c r="AA26" s="86">
        <f>X26-Z26</f>
        <v>5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7</v>
      </c>
      <c r="Y27" s="88" t="s">
        <v>45</v>
      </c>
      <c r="Z27" s="88">
        <f>VLOOKUP(P27,'Dummy Table'!B4:G40,6,FALSE)</f>
        <v>4</v>
      </c>
      <c r="AA27" s="88">
        <f>X27-Z27</f>
        <v>3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3</v>
      </c>
      <c r="G28" s="185">
        <v>1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4</v>
      </c>
      <c r="Y28" s="89" t="s">
        <v>45</v>
      </c>
      <c r="Z28" s="89">
        <f>VLOOKUP(P28,'Dummy Table'!B4:G40,6,FALSE)</f>
        <v>6</v>
      </c>
      <c r="AA28" s="89">
        <f>X28-Z28</f>
        <v>-2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2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Czech Republic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2</v>
      </c>
      <c r="Y29" s="55" t="s">
        <v>45</v>
      </c>
      <c r="Z29" s="55">
        <f>VLOOKUP(P29,'Dummy Table'!B4:G40,6,FALSE)</f>
        <v>8</v>
      </c>
      <c r="AA29" s="55">
        <f>X29-Z29</f>
        <v>-6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3</v>
      </c>
      <c r="G30" s="185">
        <v>1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1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2</v>
      </c>
      <c r="AA31" s="90">
        <f>X31-Z31</f>
        <v>4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1</v>
      </c>
      <c r="W32" s="92">
        <f>VLOOKUP(P32,'Dummy Table'!B4:E40,4,FALSE)</f>
        <v>0</v>
      </c>
      <c r="X32" s="92">
        <f>VLOOKUP(P32,'Dummy Table'!B4:F40,5,FALSE)</f>
        <v>5</v>
      </c>
      <c r="Y32" s="92" t="s">
        <v>45</v>
      </c>
      <c r="Z32" s="92">
        <f>VLOOKUP(P32,'Dummy Table'!B4:G40,6,FALSE)</f>
        <v>2</v>
      </c>
      <c r="AA32" s="92">
        <f>X32-Z32</f>
        <v>3</v>
      </c>
      <c r="AB32" s="92">
        <f>U32*3+V32*1</f>
        <v>7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4</v>
      </c>
      <c r="Y33" s="93" t="s">
        <v>45</v>
      </c>
      <c r="Z33" s="93">
        <f>VLOOKUP(P33,'Dummy Table'!B4:G40,6,FALSE)</f>
        <v>5</v>
      </c>
      <c r="AA33" s="93">
        <f>X33-Z33</f>
        <v>-1</v>
      </c>
      <c r="AB33" s="93">
        <f>U33*3+V33*1</f>
        <v>3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1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/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7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3</v>
      </c>
      <c r="G36" s="185">
        <v>1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2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Germany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2</v>
      </c>
      <c r="AA37" s="105">
        <f>X37-Z37</f>
        <v>4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5</v>
      </c>
      <c r="Y38" s="106" t="s">
        <v>45</v>
      </c>
      <c r="Z38" s="106">
        <f>VLOOKUP(P38,'Dummy Table'!B4:G40,6,FALSE)</f>
        <v>4</v>
      </c>
      <c r="AA38" s="106">
        <f>X38-Z38</f>
        <v>1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1</v>
      </c>
      <c r="H39" s="50" t="s">
        <v>7</v>
      </c>
      <c r="I39" s="51"/>
      <c r="J39" s="51"/>
      <c r="K39" s="51"/>
      <c r="L39" s="269"/>
      <c r="M39" s="52" t="str">
        <f t="shared" si="0"/>
        <v/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10</v>
      </c>
      <c r="AA39" s="55">
        <f>X39-Z39</f>
        <v>-10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4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3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2</v>
      </c>
      <c r="H43" s="50" t="s">
        <v>16</v>
      </c>
      <c r="I43" s="51"/>
      <c r="J43" s="51"/>
      <c r="K43" s="51"/>
      <c r="L43" s="269"/>
      <c r="M43" s="52" t="str">
        <f t="shared" si="0"/>
        <v>Poland</v>
      </c>
      <c r="N43" s="31"/>
      <c r="O43" s="139">
        <v>1</v>
      </c>
      <c r="P43" s="280" t="str">
        <f>INDEX('Dummy Table'!DH3:DH8,MATCH(Matches!O43,'Dummy Table'!DU3:DU8,0),0)</f>
        <v>Russia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5</v>
      </c>
      <c r="Y43" s="111" t="s">
        <v>45</v>
      </c>
      <c r="Z43" s="111">
        <f>VLOOKUP(P43,P11:AB39,11,FALSE)</f>
        <v>5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B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Portugal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5</v>
      </c>
      <c r="Y44" s="111" t="s">
        <v>45</v>
      </c>
      <c r="Z44" s="111">
        <f>VLOOKUP(P44,P11:AB39,11,FALSE)</f>
        <v>4</v>
      </c>
      <c r="AA44" s="111">
        <f>VLOOKUP(P44,P11:AB39,12,FALSE)</f>
        <v>1</v>
      </c>
      <c r="AB44" s="111">
        <f>VLOOKUP(P44,P11:AB39,13,FALSE)</f>
        <v>3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Switzerland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A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Sweden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E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Austria</v>
      </c>
      <c r="Q47" s="281"/>
      <c r="R47" s="281"/>
      <c r="S47" s="281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4</v>
      </c>
      <c r="Y47" s="112" t="s">
        <v>45</v>
      </c>
      <c r="Z47" s="112">
        <f>VLOOKUP(P47,P11:AB39,11,FALSE)</f>
        <v>6</v>
      </c>
      <c r="AA47" s="112">
        <f>VLOOKUP(P47,P11:AB39,12,FALSE)</f>
        <v>-2</v>
      </c>
      <c r="AB47" s="112">
        <f>VLOOKUP(P47,P11:AB39,13,FALSE)</f>
        <v>3</v>
      </c>
      <c r="AC47" s="142" t="str">
        <f>INDEX('Dummy Table'!DV3:DV8,MATCH(Matches!O47,'Dummy Table'!DU3:DU8,0),0)</f>
        <v>C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Scotland</v>
      </c>
      <c r="Q48" s="282"/>
      <c r="R48" s="282"/>
      <c r="S48" s="282"/>
      <c r="T48" s="144">
        <f>VLOOKUP(P48,P11:AB39,5,FALSE)</f>
        <v>3</v>
      </c>
      <c r="U48" s="144">
        <f>VLOOKUP(P48,P11:AB39,6,FALSE)</f>
        <v>1</v>
      </c>
      <c r="V48" s="144">
        <f>VLOOKUP(P48,P11:AB39,7,FALSE)</f>
        <v>0</v>
      </c>
      <c r="W48" s="144">
        <f>VLOOKUP(P48,P11:AB39,8,FALSE)</f>
        <v>2</v>
      </c>
      <c r="X48" s="144">
        <f>VLOOKUP(P48,P11:AB39,9,FALSE)</f>
        <v>4</v>
      </c>
      <c r="Y48" s="144" t="s">
        <v>45</v>
      </c>
      <c r="Z48" s="144">
        <f>VLOOKUP(P48,P11:AB39,11,FALSE)</f>
        <v>6</v>
      </c>
      <c r="AA48" s="144">
        <f>VLOOKUP(P48,P11:AB39,12,FALSE)</f>
        <v>-2</v>
      </c>
      <c r="AB48" s="144">
        <f>VLOOKUP(P48,P11:AB39,13,FALSE)</f>
        <v>3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4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10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17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11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4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17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4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141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Benji Flynn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1-1</v>
      </c>
    </row>
    <row r="4" spans="1:1" x14ac:dyDescent="0.2">
      <c r="A4" s="190" t="str">
        <f>TEXT(Matches!F12,"#0")&amp;"-"&amp;TEXT(Matches!G12,"#0")</f>
        <v>1-3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2-2</v>
      </c>
    </row>
    <row r="8" spans="1:1" x14ac:dyDescent="0.2">
      <c r="A8" s="190" t="str">
        <f>TEXT(Matches!F16,"#0")&amp;"-"&amp;TEXT(Matches!G16,"#0")</f>
        <v>2-1</v>
      </c>
    </row>
    <row r="9" spans="1:1" x14ac:dyDescent="0.2">
      <c r="A9" s="190" t="str">
        <f>TEXT(Matches!F17,"#0")&amp;"-"&amp;TEXT(Matches!G17,"#0")</f>
        <v>1-1</v>
      </c>
    </row>
    <row r="10" spans="1:1" x14ac:dyDescent="0.2">
      <c r="A10" s="190" t="str">
        <f>TEXT(Matches!F18,"#0")&amp;"-"&amp;TEXT(Matches!G18,"#0")</f>
        <v>2-1</v>
      </c>
    </row>
    <row r="11" spans="1:1" x14ac:dyDescent="0.2">
      <c r="A11" s="190" t="str">
        <f>TEXT(Matches!F19,"#0")&amp;"-"&amp;TEXT(Matches!G19,"#0")</f>
        <v>2-0</v>
      </c>
    </row>
    <row r="12" spans="1:1" x14ac:dyDescent="0.2">
      <c r="A12" s="190" t="str">
        <f>TEXT(Matches!F20,"#0")&amp;"-"&amp;TEXT(Matches!G20,"#0")</f>
        <v>2-1</v>
      </c>
    </row>
    <row r="13" spans="1:1" x14ac:dyDescent="0.2">
      <c r="A13" s="190" t="str">
        <f>TEXT(Matches!F21,"#0")&amp;"-"&amp;TEXT(Matches!G21,"#0")</f>
        <v>0-3</v>
      </c>
    </row>
    <row r="14" spans="1:1" x14ac:dyDescent="0.2">
      <c r="A14" s="190" t="str">
        <f>TEXT(Matches!F22,"#0")&amp;"-"&amp;TEXT(Matches!G22,"#0")</f>
        <v>1-1</v>
      </c>
    </row>
    <row r="15" spans="1:1" x14ac:dyDescent="0.2">
      <c r="A15" s="190" t="str">
        <f>TEXT(Matches!F23,"#0")&amp;"-"&amp;TEXT(Matches!G23,"#0")</f>
        <v>1-3</v>
      </c>
    </row>
    <row r="16" spans="1:1" x14ac:dyDescent="0.2">
      <c r="A16" s="190" t="str">
        <f>TEXT(Matches!F24,"#0")&amp;"-"&amp;TEXT(Matches!G24,"#0")</f>
        <v>2-0</v>
      </c>
    </row>
    <row r="17" spans="1:1" x14ac:dyDescent="0.2">
      <c r="A17" s="190" t="str">
        <f>TEXT(Matches!F25,"#0")&amp;"-"&amp;TEXT(Matches!G25,"#0")</f>
        <v>2-0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1-2</v>
      </c>
    </row>
    <row r="20" spans="1:1" x14ac:dyDescent="0.2">
      <c r="A20" s="190" t="str">
        <f>TEXT(Matches!F28,"#0")&amp;"-"&amp;TEXT(Matches!G28,"#0")</f>
        <v>3-1</v>
      </c>
    </row>
    <row r="21" spans="1:1" x14ac:dyDescent="0.2">
      <c r="A21" s="190" t="str">
        <f>TEXT(Matches!F29,"#0")&amp;"-"&amp;TEXT(Matches!G29,"#0")</f>
        <v>2-1</v>
      </c>
    </row>
    <row r="22" spans="1:1" x14ac:dyDescent="0.2">
      <c r="A22" s="190" t="str">
        <f>TEXT(Matches!F30,"#0")&amp;"-"&amp;TEXT(Matches!G30,"#0")</f>
        <v>3-1</v>
      </c>
    </row>
    <row r="23" spans="1:1" x14ac:dyDescent="0.2">
      <c r="A23" s="190" t="str">
        <f>TEXT(Matches!F31,"#0")&amp;"-"&amp;TEXT(Matches!G31,"#0")</f>
        <v>3-1</v>
      </c>
    </row>
    <row r="24" spans="1:1" x14ac:dyDescent="0.2">
      <c r="A24" s="190" t="str">
        <f>TEXT(Matches!F32,"#0")&amp;"-"&amp;TEXT(Matches!G32,"#0")</f>
        <v>0-4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1-1</v>
      </c>
    </row>
    <row r="27" spans="1:1" x14ac:dyDescent="0.2">
      <c r="A27" s="190" t="str">
        <f>TEXT(Matches!F35,"#0")&amp;"-"&amp;TEXT(Matches!G35,"#0")</f>
        <v>1-2</v>
      </c>
    </row>
    <row r="28" spans="1:1" x14ac:dyDescent="0.2">
      <c r="A28" s="190" t="str">
        <f>TEXT(Matches!F36,"#0")&amp;"-"&amp;TEXT(Matches!G36,"#0")</f>
        <v>3-1</v>
      </c>
    </row>
    <row r="29" spans="1:1" x14ac:dyDescent="0.2">
      <c r="A29" s="190" t="str">
        <f>TEXT(Matches!F37,"#0")&amp;"-"&amp;TEXT(Matches!G37,"#0")</f>
        <v>0-3</v>
      </c>
    </row>
    <row r="30" spans="1:1" x14ac:dyDescent="0.2">
      <c r="A30" s="190" t="str">
        <f>TEXT(Matches!F38,"#0")&amp;"-"&amp;TEXT(Matches!G38,"#0")</f>
        <v>2-1</v>
      </c>
    </row>
    <row r="31" spans="1:1" x14ac:dyDescent="0.2">
      <c r="A31" s="190" t="str">
        <f>TEXT(Matches!F39,"#0")&amp;"-"&amp;TEXT(Matches!G39,"#0")</f>
        <v>1-1</v>
      </c>
    </row>
    <row r="32" spans="1:1" x14ac:dyDescent="0.2">
      <c r="A32" s="190" t="str">
        <f>TEXT(Matches!F40,"#0")&amp;"-"&amp;TEXT(Matches!G40,"#0")</f>
        <v>0-4</v>
      </c>
    </row>
    <row r="33" spans="1:1" x14ac:dyDescent="0.2">
      <c r="A33" s="190" t="str">
        <f>TEXT(Matches!F41,"#0")&amp;"-"&amp;TEXT(Matches!G41,"#0")</f>
        <v>2-1</v>
      </c>
    </row>
    <row r="34" spans="1:1" x14ac:dyDescent="0.2">
      <c r="A34" s="190" t="str">
        <f>TEXT(Matches!F42,"#0")&amp;"-"&amp;TEXT(Matches!G42,"#0")</f>
        <v>0-3</v>
      </c>
    </row>
    <row r="35" spans="1:1" x14ac:dyDescent="0.2">
      <c r="A35" s="190" t="str">
        <f>TEXT(Matches!F43,"#0")&amp;"-"&amp;TEXT(Matches!G43,"#0")</f>
        <v>1-2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3-0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Russia</v>
      </c>
    </row>
    <row r="53" spans="1:1" x14ac:dyDescent="0.2">
      <c r="A53" s="190" t="str">
        <f>Matches!P44</f>
        <v>Portugal</v>
      </c>
    </row>
    <row r="54" spans="1:1" x14ac:dyDescent="0.2">
      <c r="A54" s="190" t="str">
        <f>Matches!P45</f>
        <v>Switzerland</v>
      </c>
    </row>
    <row r="55" spans="1:1" x14ac:dyDescent="0.2">
      <c r="A55" s="190" t="str">
        <f>Matches!P46</f>
        <v>Sweden</v>
      </c>
    </row>
    <row r="56" spans="1:1" x14ac:dyDescent="0.2">
      <c r="A56" s="191" t="s">
        <v>55</v>
      </c>
    </row>
    <row r="57" spans="1:1" x14ac:dyDescent="0.2">
      <c r="A57" s="190" t="str">
        <f>Matches!B49</f>
        <v>Belgium</v>
      </c>
    </row>
    <row r="58" spans="1:1" x14ac:dyDescent="0.2">
      <c r="A58" s="190" t="str">
        <f>Matches!B50</f>
        <v>France</v>
      </c>
    </row>
    <row r="59" spans="1:1" x14ac:dyDescent="0.2">
      <c r="A59" s="190" t="str">
        <f>Matches!B51</f>
        <v>Portugal</v>
      </c>
    </row>
    <row r="60" spans="1:1" x14ac:dyDescent="0.2">
      <c r="A60" s="190" t="str">
        <f>Matches!B52</f>
        <v>Germany</v>
      </c>
    </row>
    <row r="61" spans="1:1" x14ac:dyDescent="0.2">
      <c r="A61" s="191" t="s">
        <v>41</v>
      </c>
    </row>
    <row r="62" spans="1:1" x14ac:dyDescent="0.2">
      <c r="A62" s="190" t="str">
        <f>Matches!B55</f>
        <v>Belgium</v>
      </c>
    </row>
    <row r="63" spans="1:1" x14ac:dyDescent="0.2">
      <c r="A63" s="190" t="str">
        <f>Matches!B56</f>
        <v>Portugal</v>
      </c>
    </row>
    <row r="64" spans="1:1" x14ac:dyDescent="0.2">
      <c r="A64" s="191" t="s">
        <v>114</v>
      </c>
    </row>
    <row r="65" spans="1:1" x14ac:dyDescent="0.2">
      <c r="A65" s="190" t="str">
        <f>Matches!B59</f>
        <v>Belgium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 xml:space="preserve">Lukaku </v>
      </c>
    </row>
    <row r="69" spans="1:1" x14ac:dyDescent="0.2">
      <c r="A69" s="190" t="str">
        <f>Matches!M64</f>
        <v xml:space="preserve">Donnarumma 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D</v>
      </c>
      <c r="DE3" s="21" t="str">
        <f>IF(DD3&lt;&gt;"",IF(DD3="W","L",IF(DD3="L","W","D")),"")</f>
        <v>D</v>
      </c>
      <c r="DF3" s="21"/>
      <c r="DG3" s="21"/>
      <c r="DH3" s="21" t="str">
        <f>Matches!P13</f>
        <v>Switzerland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4</v>
      </c>
      <c r="DM3" s="193">
        <f>Matches!Z13</f>
        <v>5</v>
      </c>
      <c r="DN3" s="193">
        <f>Matches!AA13</f>
        <v>-1</v>
      </c>
      <c r="DO3" s="193">
        <f>Matches!AB13</f>
        <v>3</v>
      </c>
      <c r="DP3" s="21">
        <f>VLOOKUP(DH3,B4:J40,9,FALSE)</f>
        <v>47</v>
      </c>
      <c r="DQ3" s="21">
        <f>RANK(DO3,DO3:DO8)</f>
        <v>2</v>
      </c>
      <c r="DR3" s="21">
        <f>SUMPRODUCT((DQ3:DQ8=DQ3)*(DN3:DN8&gt;DN3))</f>
        <v>1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0</v>
      </c>
      <c r="F4" s="21">
        <f>SUMIF(CZ3:CZ60,B4,DA3:DA60)+SUMIF(DC3:DC60,B4,DB3:DB60)</f>
        <v>5</v>
      </c>
      <c r="G4" s="21">
        <f>SUMIF(DC3:DC60,B4,DA3:DA60)+SUMIF(CZ3:CZ60,B4,DB3:DB60)</f>
        <v>2</v>
      </c>
      <c r="H4" s="21">
        <f>F4-G4+1000</f>
        <v>1003</v>
      </c>
      <c r="I4" s="21">
        <f>C4*3+D4*1</f>
        <v>7</v>
      </c>
      <c r="J4" s="21">
        <v>42</v>
      </c>
      <c r="K4" s="21">
        <f>IF(COUNTIF(I4:I8,4)&lt;&gt;4,RANK(I4,I4:I8),I44)</f>
        <v>1</v>
      </c>
      <c r="L4" s="21"/>
      <c r="M4" s="21">
        <f>SUMPRODUCT((K4:K7=K4)*(J4:J7&lt;J4))+K4</f>
        <v>1</v>
      </c>
      <c r="N4" s="21" t="str">
        <f>INDEX(B4:B8,MATCH(1,M4:M8,0),0)</f>
        <v>Turkey</v>
      </c>
      <c r="O4" s="21">
        <f>INDEX(K4:K8,MATCH(N4,B4:B8,0),0)</f>
        <v>1</v>
      </c>
      <c r="P4" s="21" t="str">
        <f>IF(O5=1,N4,"")</f>
        <v>Turkey</v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>Turkey</v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1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1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1</v>
      </c>
      <c r="AA4" s="21">
        <f>Y4-Z4+1000</f>
        <v>1000</v>
      </c>
      <c r="AB4" s="21">
        <f>IF(U4&lt;&gt;"",V4*3+W4*1,"")</f>
        <v>1</v>
      </c>
      <c r="AC4" s="21">
        <f>IF(U4&lt;&gt;"",VLOOKUP(U4,B4:H40,7,FALSE),"")</f>
        <v>1003</v>
      </c>
      <c r="AD4" s="21">
        <f>IF(U4&lt;&gt;"",VLOOKUP(U4,B4:H40,5,FALSE),"")</f>
        <v>5</v>
      </c>
      <c r="AE4" s="21">
        <f>IF(U4&lt;&gt;"",VLOOKUP(U4,B4:J40,9,FALSE),"")</f>
        <v>42</v>
      </c>
      <c r="AF4" s="21">
        <f>AB4</f>
        <v>1</v>
      </c>
      <c r="AG4" s="21">
        <f>IF(U4&lt;&gt;"",RANK(AF4,AF4:AF8),"")</f>
        <v>1</v>
      </c>
      <c r="AH4" s="21">
        <f>IF(U4&lt;&gt;"",SUMPRODUCT((AF4:AF8=AF4)*(AA4:AA8&gt;AA4)),"")</f>
        <v>0</v>
      </c>
      <c r="AI4" s="21">
        <f>IF(U4&lt;&gt;"",SUMPRODUCT((AF4:AF8=AF4)*(AA4:AA8=AA4)*(Y4:Y8&gt;Y4)),"")</f>
        <v>0</v>
      </c>
      <c r="AJ4" s="21">
        <f>IF(U4&lt;&gt;"",SUMPRODUCT((AF4:AF8=AF4)*(AA4:AA8=AA4)*(Y4:Y8=Y4)*(AC4:AC8&gt;AC4)),"")</f>
        <v>1</v>
      </c>
      <c r="AK4" s="21">
        <f>IF(U4&lt;&gt;"",SUMPRODUCT((AF4:AF8=AF4)*(AA4:AA8=AA4)*(Y4:Y8=Y4)*(AC4:AC8=AC4)*(AD4:AD8&gt;AD4)),"")</f>
        <v>0</v>
      </c>
      <c r="AL4" s="21">
        <f>IF(U4&lt;&gt;"",SUMPRODUCT((AF4:AF8=AF4)*(AA4:AA8=AA4)*(Y4:Y8=Y4)*(AC4:AC8=AC4)*(AD4:AD8=AD4)*(AE4:AE8&gt;AE4)),"")</f>
        <v>0</v>
      </c>
      <c r="AM4" s="21">
        <f>IF(U4&lt;&gt;"",IF(AM44&lt;&gt;"",IF(T43=3,AM44,AM44+T43),SUM(AG4:AL4)),"")</f>
        <v>2</v>
      </c>
      <c r="AN4" s="21" t="str">
        <f>IF(U4&lt;&gt;"",INDEX(U4:U8,MATCH(1,AM4:AM8,0),0),"")</f>
        <v>Italy</v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3</v>
      </c>
      <c r="DC4" s="21" t="str">
        <f>Matches!H12</f>
        <v>Switzerland</v>
      </c>
      <c r="DD4" s="21" t="str">
        <f>IF(AND(Matches!F12&lt;&gt;"",Matches!G12&lt;&gt;""),IF(DA4&gt;DB4,"W",IF(DA4=DB4,"D","L")),"")</f>
        <v>L</v>
      </c>
      <c r="DE4" s="21" t="str">
        <f t="shared" ref="DE4:DE38" si="0">IF(DD4&lt;&gt;"",IF(DD4="W","L",IF(DD4="L","W","D")),"")</f>
        <v>W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1</v>
      </c>
      <c r="DK4" s="193">
        <f>Matches!W18</f>
        <v>1</v>
      </c>
      <c r="DL4" s="193">
        <f>Matches!X18</f>
        <v>5</v>
      </c>
      <c r="DM4" s="193">
        <f>Matches!Z18</f>
        <v>5</v>
      </c>
      <c r="DN4" s="193">
        <f>Matches!AA18</f>
        <v>0</v>
      </c>
      <c r="DO4" s="193">
        <f>Matches!AB18</f>
        <v>4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1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2</v>
      </c>
      <c r="H5" s="21">
        <f t="shared" ref="H5:H7" si="2">F5-G5+1000</f>
        <v>1004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2</v>
      </c>
      <c r="N5" s="21" t="str">
        <f>INDEX(B4:B8,MATCH(2,M4:M8,0),0)</f>
        <v>Italy</v>
      </c>
      <c r="O5" s="21">
        <f>INDEX(K4:K8,MATCH(N5,B4:B8,0),0)</f>
        <v>1</v>
      </c>
      <c r="P5" s="21" t="str">
        <f>IF(P4&lt;&gt;"",N5,"")</f>
        <v>Italy</v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>Italy</v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1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1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1</v>
      </c>
      <c r="AA5" s="21">
        <f>Y5-Z5+1000</f>
        <v>1000</v>
      </c>
      <c r="AB5" s="21">
        <f t="shared" ref="AB5:AB7" si="5">IF(U5&lt;&gt;"",V5*3+W5*1,"")</f>
        <v>1</v>
      </c>
      <c r="AC5" s="21">
        <f>IF(U5&lt;&gt;"",VLOOKUP(U5,B4:H40,7,FALSE),"")</f>
        <v>1004</v>
      </c>
      <c r="AD5" s="21">
        <f>IF(U5&lt;&gt;"",VLOOKUP(U5,B4:H40,5,FALSE),"")</f>
        <v>6</v>
      </c>
      <c r="AE5" s="21">
        <f>IF(U5&lt;&gt;"",VLOOKUP(U5,B4:J40,9,FALSE),"")</f>
        <v>54</v>
      </c>
      <c r="AF5" s="21">
        <f t="shared" ref="AF5:AF7" si="6">AB5</f>
        <v>1</v>
      </c>
      <c r="AG5" s="21">
        <f>IF(U5&lt;&gt;"",RANK(AF5,AF4:AF8),"")</f>
        <v>1</v>
      </c>
      <c r="AH5" s="21">
        <f>IF(U5&lt;&gt;"",SUMPRODUCT((AF4:AF8=AF5)*(AA4:AA8&gt;AA5)),"")</f>
        <v>0</v>
      </c>
      <c r="AI5" s="21">
        <f>IF(U5&lt;&gt;"",SUMPRODUCT((AF4:AF8=AF5)*(AA4:AA8=AA5)*(Y4:Y8&gt;Y5)),"")</f>
        <v>0</v>
      </c>
      <c r="AJ5" s="21">
        <f>IF(U5&lt;&gt;"",SUMPRODUCT((AF4:AF8=AF5)*(AA4:AA8=AA5)*(Y4:Y8=Y5)*(AC4:AC8&gt;AC5)),"")</f>
        <v>0</v>
      </c>
      <c r="AK5" s="21">
        <f>IF(U5&lt;&gt;"",SUMPRODUCT((AF4:AF8=AF5)*(AA4:AA8=AA5)*(Y4:Y8=Y5)*(AC4:AC8=AC5)*(AD4:AD8&gt;AD5)),"")</f>
        <v>0</v>
      </c>
      <c r="AL5" s="21">
        <f>IF(U5&lt;&gt;"",SUMPRODUCT((AF4:AF8=AF5)*(AA4:AA8=AA5)*(Y4:Y8=Y5)*(AC4:AC8=AC5)*(AD4:AD8=AD5)*(AE4:AE8&gt;AE5)),"")</f>
        <v>0</v>
      </c>
      <c r="AM5" s="21">
        <f>IF(U5&lt;&gt;"",IF(AM45&lt;&gt;"",IF(T43=3,AM45,AM45+T43),SUM(AG5:AL5)),"")</f>
        <v>1</v>
      </c>
      <c r="AN5" s="21" t="str">
        <f>IF(U5&lt;&gt;"",INDEX(U4:U8,MATCH(2,AM4:AM8,0),0),"")</f>
        <v>Turkey</v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4</v>
      </c>
      <c r="DM5" s="193">
        <f>Matches!Z23</f>
        <v>6</v>
      </c>
      <c r="DN5" s="193">
        <f>Matches!AA23</f>
        <v>-2</v>
      </c>
      <c r="DO5" s="193">
        <f>Matches!AB23</f>
        <v>3</v>
      </c>
      <c r="DP5" s="21">
        <f>VLOOKUP(DH5,B4:J40,9,FALSE)</f>
        <v>40</v>
      </c>
      <c r="DQ5" s="21">
        <f>RANK(DO5,DO3:DO8)</f>
        <v>2</v>
      </c>
      <c r="DR5" s="21">
        <f>SUMPRODUCT((DQ3:DQ8=DQ5)*(DN3:DN8&gt;DN5))</f>
        <v>3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5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3</v>
      </c>
      <c r="F6" s="21">
        <f>SUMIF(CZ3:CZ60,B6,DA3:DA60)+SUMIF(DC3:DC60,B6,DB3:DB60)</f>
        <v>2</v>
      </c>
      <c r="G6" s="21">
        <f>SUMIF(DC3:DC60,B6,DA3:DA60)+SUMIF(CZ3:CZ60,B6,DB3:DB60)</f>
        <v>8</v>
      </c>
      <c r="H6" s="21">
        <f t="shared" si="2"/>
        <v>994</v>
      </c>
      <c r="I6" s="21">
        <f t="shared" si="3"/>
        <v>0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4</v>
      </c>
      <c r="DM6" s="193">
        <f>Matches!Z28</f>
        <v>6</v>
      </c>
      <c r="DN6" s="193">
        <f>Matches!AA28</f>
        <v>-2</v>
      </c>
      <c r="DO6" s="193">
        <f>Matches!AB28</f>
        <v>3</v>
      </c>
      <c r="DP6" s="21">
        <f>VLOOKUP(DH6,B4:J40,9,FALSE)</f>
        <v>27</v>
      </c>
      <c r="DQ6" s="21">
        <f>RANK(DO6,DO3:DO8)</f>
        <v>2</v>
      </c>
      <c r="DR6" s="21">
        <f>SUMPRODUCT((DQ3:DQ8=DQ6)*(DN3:DN8&gt;DN6))</f>
        <v>3</v>
      </c>
      <c r="DS6" s="21">
        <f>SUMPRODUCT((DQ3:DQ8=DQ6)*(DN3:DN8=DN6)*(DL3:DL8&gt;DL6))</f>
        <v>0</v>
      </c>
      <c r="DT6" s="21">
        <f>SUMPRODUCT((DQ3:DQ8=DQ6)*(DN3:DN8=DN6)*(DL3:DL8=DL6)*(DP3:DP8&gt;DP6))</f>
        <v>1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0</v>
      </c>
      <c r="E7" s="21">
        <f>SUMPRODUCT((CZ3:CZ42=B7)*(DD3:DD42="L"))+SUMPRODUCT((DC3:DC42=B7)*(DE3:DE42="L"))</f>
        <v>2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3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2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0</v>
      </c>
      <c r="DK7" s="193">
        <f>Matches!W33</f>
        <v>2</v>
      </c>
      <c r="DL7" s="193">
        <f>Matches!X33</f>
        <v>4</v>
      </c>
      <c r="DM7" s="193">
        <f>Matches!Z33</f>
        <v>5</v>
      </c>
      <c r="DN7" s="193">
        <f>Matches!AA33</f>
        <v>-1</v>
      </c>
      <c r="DO7" s="193">
        <f>Matches!AB33</f>
        <v>3</v>
      </c>
      <c r="DP7" s="21">
        <f>VLOOKUP(DH7,B4:J40,9,FALSE)</f>
        <v>39</v>
      </c>
      <c r="DQ7" s="21">
        <f>RANK(DO7,DO3:DO8)</f>
        <v>2</v>
      </c>
      <c r="DR7" s="21">
        <f>SUMPRODUCT((DQ3:DQ8=DQ7)*(DN3:DN8&gt;DN7))</f>
        <v>1</v>
      </c>
      <c r="DS7" s="21">
        <f>SUMPRODUCT((DQ3:DQ8=DQ7)*(DN3:DN8=DN7)*(DL3:DL8&gt;DL7))</f>
        <v>0</v>
      </c>
      <c r="DT7" s="21">
        <f>SUMPRODUCT((DQ3:DQ8=DQ7)*(DN3:DN8=DN7)*(DL3:DL8=DL7)*(DP3:DP8&gt;DP7))</f>
        <v>1</v>
      </c>
      <c r="DU7" s="21">
        <f t="shared" si="1"/>
        <v>4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5</v>
      </c>
      <c r="DM8" s="193">
        <f>Matches!Z38</f>
        <v>4</v>
      </c>
      <c r="DN8" s="193">
        <f>Matches!AA38</f>
        <v>1</v>
      </c>
      <c r="DO8" s="193">
        <f>Matches!AB38</f>
        <v>3</v>
      </c>
      <c r="DP8" s="21">
        <f>VLOOKUP(DH8,B4:J40,9,FALSE)</f>
        <v>43</v>
      </c>
      <c r="DQ8" s="21">
        <f>RANK(DO8,DO3:DO8)</f>
        <v>2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2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9</v>
      </c>
      <c r="G11" s="21">
        <f>SUMIF(DC3:DC60,B11,DA3:DA60)+SUMIF(CZ3:CZ60,B11,DB3:DB60)</f>
        <v>2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Denmark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5</v>
      </c>
      <c r="G12" s="21">
        <f>SUMIF(DC3:DC60,B12,DA3:DA60)+SUMIF(CZ3:CZ60,B12,DB3:DB60)</f>
        <v>5</v>
      </c>
      <c r="H12" s="21">
        <f t="shared" si="13"/>
        <v>1000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Russia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Denmark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1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1</v>
      </c>
      <c r="AW12" s="21">
        <f>IF(AO12&lt;&gt;"",VLOOKUP(AO12,B4:H40,7,FALSE),"")</f>
        <v>1001</v>
      </c>
      <c r="AX12" s="21">
        <f>IF(AO12&lt;&gt;"",VLOOKUP(AO12,B4:H40,5,FALSE),"")</f>
        <v>4</v>
      </c>
      <c r="AY12" s="21">
        <f>IF(AO12&lt;&gt;"",VLOOKUP(AO12,B4:J40,9,FALSE),"")</f>
        <v>41</v>
      </c>
      <c r="AZ12" s="21">
        <f t="shared" ref="AZ12:AZ14" si="19">AV12</f>
        <v>1</v>
      </c>
      <c r="BA12" s="21">
        <f>IF(AO12&lt;&gt;"",RANK(AZ12,AZ11:AZ15),"")</f>
        <v>1</v>
      </c>
      <c r="BB12" s="21">
        <f>IF(AO12&lt;&gt;"",SUMPRODUCT((AZ11:AZ15=AZ12)*(AU11:AU15&gt;AU12)),"")</f>
        <v>0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2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B</v>
      </c>
      <c r="DR12" s="199" t="str">
        <f>Matches!AC44</f>
        <v>F</v>
      </c>
      <c r="DS12" s="199" t="str">
        <f>Matches!AC45</f>
        <v>A</v>
      </c>
      <c r="DT12" s="199" t="str">
        <f>Matches!AC46</f>
        <v>E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3</v>
      </c>
      <c r="H13" s="21">
        <f t="shared" si="13"/>
        <v>1001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Russia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1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1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1</v>
      </c>
      <c r="AU13" s="21">
        <f>AS13-AT13+1000</f>
        <v>1000</v>
      </c>
      <c r="AV13" s="21">
        <f t="shared" si="18"/>
        <v>1</v>
      </c>
      <c r="AW13" s="21">
        <f>IF(AO13&lt;&gt;"",VLOOKUP(AO13,B4:H40,7,FALSE),"")</f>
        <v>1000</v>
      </c>
      <c r="AX13" s="21">
        <f>IF(AO13&lt;&gt;"",VLOOKUP(AO13,B4:H40,5,FALSE),"")</f>
        <v>5</v>
      </c>
      <c r="AY13" s="21">
        <f>IF(AO13&lt;&gt;"",VLOOKUP(AO13,B4:J40,9,FALSE),"")</f>
        <v>44</v>
      </c>
      <c r="AZ13" s="21">
        <f t="shared" si="19"/>
        <v>1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1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3</v>
      </c>
      <c r="BH13" s="21" t="str">
        <f>IF(AO13&lt;&gt;"",INDEX(AO12:AO15,MATCH(3,BG12:BG15,0),0),"")</f>
        <v>Russia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2</v>
      </c>
      <c r="DR13" s="199">
        <f>IFERROR(MATCH(DR12,DH13:DK13,0),0)</f>
        <v>0</v>
      </c>
      <c r="DS13" s="199">
        <f>IFERROR(MATCH(DS12,DH13:DK13,0),0)</f>
        <v>1</v>
      </c>
      <c r="DT13" s="199">
        <f>IFERROR(MATCH(DT12,DH13:DK13,0),0)</f>
        <v>0</v>
      </c>
      <c r="DU13" s="199">
        <f t="shared" ref="DU13:DU27" si="22">SUM(DQ13:DT13)</f>
        <v>3</v>
      </c>
      <c r="DV13" s="198"/>
      <c r="DW13" s="198" t="str">
        <f>INDEX(DH3:DH8,MATCH(1,DU3:DU8,0),0)</f>
        <v>Russia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1</v>
      </c>
      <c r="G14" s="21">
        <f>SUMIF(DC3:DC60,B14,DA3:DA60)+SUMIF(CZ3:CZ60,B14,DB3:DB60)</f>
        <v>9</v>
      </c>
      <c r="H14" s="21">
        <f t="shared" si="13"/>
        <v>992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2</v>
      </c>
      <c r="DR14" s="199">
        <f>IFERROR(MATCH(DR12,DH14:DK14,0),0)</f>
        <v>0</v>
      </c>
      <c r="DS14" s="199">
        <f>IFERROR(MATCH(DS12,DH14:DK14,0),0)</f>
        <v>1</v>
      </c>
      <c r="DT14" s="199">
        <f>IFERROR(MATCH(DT12,DH14:DK14,0),0)</f>
        <v>4</v>
      </c>
      <c r="DU14" s="199">
        <f t="shared" si="22"/>
        <v>7</v>
      </c>
      <c r="DV14" s="198"/>
      <c r="DW14" s="198" t="str">
        <f>INDEX(DH3:DH8,MATCH(2,DU3:DU8,0),0)</f>
        <v>Portugal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3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2</v>
      </c>
      <c r="DR15" s="199">
        <f>IFERROR(MATCH(DR12,DH15:DK15,0),0)</f>
        <v>4</v>
      </c>
      <c r="DS15" s="199">
        <f>IFERROR(MATCH(DS12,DH15:DK15,0),0)</f>
        <v>1</v>
      </c>
      <c r="DT15" s="199">
        <f>IFERROR(MATCH(DT12,DH15:DK15,0),0)</f>
        <v>0</v>
      </c>
      <c r="DU15" s="199">
        <f t="shared" si="22"/>
        <v>7</v>
      </c>
      <c r="DV15" s="198"/>
      <c r="DW15" s="198" t="str">
        <f>INDEX(DH3:DH8,MATCH(3,DU3:DU8,0),0)</f>
        <v>Switzerland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2</v>
      </c>
      <c r="DR16" s="199">
        <f>IFERROR(MATCH(DR12,DH16:DK16,0),0)</f>
        <v>0</v>
      </c>
      <c r="DS16" s="199">
        <f>IFERROR(MATCH(DS12,DH16:DK16,0),0)</f>
        <v>1</v>
      </c>
      <c r="DT16" s="199">
        <f>IFERROR(MATCH(DT12,DH16:DK16,0),0)</f>
        <v>4</v>
      </c>
      <c r="DU16" s="199">
        <f t="shared" si="22"/>
        <v>7</v>
      </c>
      <c r="DV16" s="198"/>
      <c r="DW16" s="198" t="str">
        <f>INDEX(DH3:DH8,MATCH(4,DU3:DU8,0),0)</f>
        <v>Sweden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2</v>
      </c>
      <c r="DR17" s="199">
        <f>IFERROR(MATCH(DR12,DH17:DK17,0),0)</f>
        <v>4</v>
      </c>
      <c r="DS17" s="199">
        <f>IFERROR(MATCH(DS12,DH17:DK17,0),0)</f>
        <v>1</v>
      </c>
      <c r="DT17" s="199">
        <f>IFERROR(MATCH(DT12,DH17:DK17,0),0)</f>
        <v>0</v>
      </c>
      <c r="DU17" s="199">
        <f t="shared" si="22"/>
        <v>7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7</v>
      </c>
      <c r="G18" s="21">
        <f>SUMIF(DC3:DC60,B18,DA3:DA60)+SUMIF(CZ3:CZ60,B18,DB3:DB60)</f>
        <v>2</v>
      </c>
      <c r="H18" s="21">
        <f t="shared" ref="H18:H21" si="25">F18-G18+1000</f>
        <v>1005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>Netherlands</v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>Netherlands</v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1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1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1</v>
      </c>
      <c r="AA18" s="21">
        <f>Y18-Z18+1000</f>
        <v>1000</v>
      </c>
      <c r="AB18" s="21">
        <f t="shared" ref="AB18:AB21" si="27">IF(U18&lt;&gt;"",V18*3+W18*1,"")</f>
        <v>1</v>
      </c>
      <c r="AC18" s="21">
        <f>IF(U18&lt;&gt;"",VLOOKUP(U18,B4:H40,7,FALSE),"")</f>
        <v>1005</v>
      </c>
      <c r="AD18" s="21">
        <f>IF(U18&lt;&gt;"",VLOOKUP(U18,B4:H40,5,FALSE),"")</f>
        <v>7</v>
      </c>
      <c r="AE18" s="21">
        <f>IF(U18&lt;&gt;"",VLOOKUP(U18,B4:J40,9,FALSE),"")</f>
        <v>45</v>
      </c>
      <c r="AF18" s="21">
        <f t="shared" ref="AF18:AF21" si="28">AB18</f>
        <v>1</v>
      </c>
      <c r="AG18" s="21">
        <f>IF(U18&lt;&gt;"",RANK(AF18,AF18:AF22),"")</f>
        <v>1</v>
      </c>
      <c r="AH18" s="21">
        <f>IF(U18&lt;&gt;"",SUMPRODUCT((AF18:AF22=AF18)*(AA18:AA22&gt;AA18)),"")</f>
        <v>0</v>
      </c>
      <c r="AI18" s="21">
        <f>IF(U18&lt;&gt;"",SUMPRODUCT((AF18:AF22=AF18)*(AA18:AA22=AA18)*(Y18:Y22&gt;Y18)),"")</f>
        <v>0</v>
      </c>
      <c r="AJ18" s="21">
        <f>IF(U18&lt;&gt;"",SUMPRODUCT((AF18:AF22=AF18)*(AA18:AA22=AA18)*(Y18:Y22=Y18)*(AC18:AC22&gt;AC18)),"")</f>
        <v>0</v>
      </c>
      <c r="AK18" s="21">
        <f>IF(U18&lt;&gt;"",SUMPRODUCT((AF18:AF22=AF18)*(AA18:AA22=AA18)*(Y18:Y22=Y18)*(AC18:AC22=AC18)*(AD18:AD22&gt;AD18)),"")</f>
        <v>0</v>
      </c>
      <c r="AL18" s="21">
        <f>IF(U18&lt;&gt;"",SUMPRODUCT((AF18:AF22=AF18)*(AA18:AA22=AA18)*(Y18:Y22=Y18)*(AC18:AC22=AC18)*(AD18:AD22=AD18)*(AE18:AE22&gt;AE18)),"")</f>
        <v>0</v>
      </c>
      <c r="AM18" s="21">
        <f>IF(U18&lt;&gt;"",IF(AM58&lt;&gt;"",IF(T57=3,AM58,AM58+T57),SUM(AG18:AL18)),"")</f>
        <v>1</v>
      </c>
      <c r="AN18" s="21" t="str">
        <f>IF(U18&lt;&gt;"",INDEX(U18:U22,MATCH(1,AM18:AM22,0),0),"")</f>
        <v>Netherlands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2</v>
      </c>
      <c r="DR18" s="199">
        <f>IFERROR(MATCH(DR12,DH18:DK18,0),0)</f>
        <v>4</v>
      </c>
      <c r="DS18" s="199">
        <f>IFERROR(MATCH(DS12,DH18:DK18,0),0)</f>
        <v>1</v>
      </c>
      <c r="DT18" s="199">
        <f>IFERROR(MATCH(DT12,DH18:DK18,0),0)</f>
        <v>3</v>
      </c>
      <c r="DU18" s="199">
        <f t="shared" si="22"/>
        <v>10</v>
      </c>
      <c r="DV18" s="198" t="s">
        <v>90</v>
      </c>
      <c r="DW18" s="198" t="str">
        <f>INDEX(DH3:DH8,MATCH(INDEX(DL13:DL27,MATCH(10,DU13:DU27,0),0),DV3:DV8,0),0)</f>
        <v>Sweden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0</v>
      </c>
      <c r="F19" s="21">
        <f>SUMIF(CZ3:CZ60,B19,DA3:DA60)+SUMIF(DC3:DC60,B19,DB3:DB60)</f>
        <v>4</v>
      </c>
      <c r="G19" s="21">
        <f>SUMIF(DC3:DC60,B19,DA3:DA60)+SUMIF(CZ3:CZ60,B19,DB3:DB60)</f>
        <v>2</v>
      </c>
      <c r="H19" s="21">
        <f t="shared" si="25"/>
        <v>1002</v>
      </c>
      <c r="I19" s="21">
        <f t="shared" si="26"/>
        <v>7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1</v>
      </c>
      <c r="P19" s="21" t="str">
        <f>IF(P18&lt;&gt;"",N19,"")</f>
        <v>Ukraine</v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>Ukraine</v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1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1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1</v>
      </c>
      <c r="AA19" s="21">
        <f>Y19-Z19+1000</f>
        <v>1000</v>
      </c>
      <c r="AB19" s="21">
        <f t="shared" si="27"/>
        <v>1</v>
      </c>
      <c r="AC19" s="21">
        <f>IF(U19&lt;&gt;"",VLOOKUP(U19,B4:H40,7,FALSE),"")</f>
        <v>1002</v>
      </c>
      <c r="AD19" s="21">
        <f>IF(U19&lt;&gt;"",VLOOKUP(U19,B4:H40,5,FALSE),"")</f>
        <v>4</v>
      </c>
      <c r="AE19" s="21">
        <f>IF(U19&lt;&gt;"",VLOOKUP(U19,B4:J40,9,FALSE),"")</f>
        <v>50</v>
      </c>
      <c r="AF19" s="21">
        <f t="shared" si="28"/>
        <v>1</v>
      </c>
      <c r="AG19" s="21">
        <f>IF(U19&lt;&gt;"",RANK(AF19,AF18:AF22),"")</f>
        <v>1</v>
      </c>
      <c r="AH19" s="21">
        <f>IF(U19&lt;&gt;"",SUMPRODUCT((AF18:AF22=AF19)*(AA18:AA22&gt;AA19)),"")</f>
        <v>0</v>
      </c>
      <c r="AI19" s="21">
        <f>IF(U19&lt;&gt;"",SUMPRODUCT((AF18:AF22=AF19)*(AA18:AA22=AA19)*(Y18:Y22&gt;Y19)),"")</f>
        <v>0</v>
      </c>
      <c r="AJ19" s="21">
        <f>IF(U19&lt;&gt;"",SUMPRODUCT((AF18:AF22=AF19)*(AA18:AA22=AA19)*(Y18:Y22=Y19)*(AC18:AC22&gt;AC19)),"")</f>
        <v>1</v>
      </c>
      <c r="AK19" s="21">
        <f>IF(U19&lt;&gt;"",SUMPRODUCT((AF18:AF22=AF19)*(AA18:AA22=AA19)*(Y18:Y22=Y19)*(AC18:AC22=AC19)*(AD18:AD22&gt;AD19)),"")</f>
        <v>0</v>
      </c>
      <c r="AL19" s="21">
        <f>IF(U19&lt;&gt;"",SUMPRODUCT((AF18:AF22=AF19)*(AA18:AA22=AA19)*(Y18:Y22=Y19)*(AC18:AC22=AC19)*(AD18:AD22=AD19)*(AE18:AE22&gt;AE19)),"")</f>
        <v>0</v>
      </c>
      <c r="AM19" s="21">
        <f>IF(U19&lt;&gt;"",IF(AM59&lt;&gt;"",IF(T57=3,AM59,AM59+T57),SUM(AG19:AL19)),"")</f>
        <v>2</v>
      </c>
      <c r="AN19" s="21" t="str">
        <f>IF(U19&lt;&gt;"",INDEX(U18:U22,MATCH(2,AM18:AM22,0),0),"")</f>
        <v>Ukraine</v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0</v>
      </c>
      <c r="DS19" s="199">
        <f>IFERROR(MATCH(DS12,DH19:DK19,0),0)</f>
        <v>1</v>
      </c>
      <c r="DT19" s="199">
        <f>IFERROR(MATCH(DT12,DH19:DK19,0),0)</f>
        <v>4</v>
      </c>
      <c r="DU19" s="199">
        <f t="shared" si="22"/>
        <v>5</v>
      </c>
      <c r="DV19" s="198" t="s">
        <v>85</v>
      </c>
      <c r="DW19" s="198" t="str">
        <f>INDEX(DH3:DH8,MATCH(INDEX(DM13:DM27,MATCH(10,DU13:DU27,0),0),DV3:DV8,0),0)</f>
        <v>Portugal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4</v>
      </c>
      <c r="G20" s="21">
        <f>SUMIF(DC3:DC60,B20,DA3:DA60)+SUMIF(CZ3:CZ60,B20,DB3:DB60)</f>
        <v>6</v>
      </c>
      <c r="H20" s="21">
        <f t="shared" si="25"/>
        <v>998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3</v>
      </c>
      <c r="DB20" s="21">
        <f>IF(AND(Matches!G28&lt;&gt;"",Matches!F28&lt;&gt;""),Matches!G28,0)</f>
        <v>1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4</v>
      </c>
      <c r="DS20" s="199">
        <f>IFERROR(MATCH(DS12,DH20:DK20,0),0)</f>
        <v>1</v>
      </c>
      <c r="DT20" s="199">
        <f>IFERROR(MATCH(DT12,DH20:DK20,0),0)</f>
        <v>0</v>
      </c>
      <c r="DU20" s="199">
        <f t="shared" si="22"/>
        <v>5</v>
      </c>
      <c r="DV20" s="198" t="s">
        <v>86</v>
      </c>
      <c r="DW20" s="198" t="str">
        <f>INDEX(DH3:DH8,MATCH(INDEX(DN13:DN27,MATCH(10,DU13:DU27,0),0),DV3:DV8,0),0)</f>
        <v>Russia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6</v>
      </c>
      <c r="H21" s="21">
        <f t="shared" si="25"/>
        <v>995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2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0</v>
      </c>
      <c r="DR21" s="199">
        <f>IFERROR(MATCH(DR12,DH21:DK21,0),0)</f>
        <v>4</v>
      </c>
      <c r="DS21" s="199">
        <f>IFERROR(MATCH(DS12,DH21:DK21,0),0)</f>
        <v>1</v>
      </c>
      <c r="DT21" s="199">
        <f>IFERROR(MATCH(DT12,DH21:DK21,0),0)</f>
        <v>3</v>
      </c>
      <c r="DU21" s="199">
        <f t="shared" si="22"/>
        <v>8</v>
      </c>
      <c r="DV21" s="198" t="s">
        <v>91</v>
      </c>
      <c r="DW21" s="198" t="str">
        <f>INDEX(DH3:DH8,MATCH(INDEX(DO13:DO27,MATCH(10,DU13:DU27,0),0),DV3:DV8,0),0)</f>
        <v>Switzerland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3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0</v>
      </c>
      <c r="DR22" s="199">
        <f>IFERROR(MATCH(DR12,DH22:DK22,0),0)</f>
        <v>4</v>
      </c>
      <c r="DS22" s="199">
        <f>IFERROR(MATCH(DS12,DH22:DK22,0),0)</f>
        <v>1</v>
      </c>
      <c r="DT22" s="199">
        <f>IFERROR(MATCH(DT12,DH22:DK22,0),0)</f>
        <v>3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1</v>
      </c>
      <c r="DR23" s="199">
        <f>IFERROR(MATCH(DR12,DH23:DK23,0),0)</f>
        <v>0</v>
      </c>
      <c r="DS23" s="199">
        <f>IFERROR(MATCH(DS12,DH23:DK23,0),0)</f>
        <v>0</v>
      </c>
      <c r="DT23" s="199">
        <f>IFERROR(MATCH(DT12,DH23:DK23,0),0)</f>
        <v>4</v>
      </c>
      <c r="DU23" s="199">
        <f t="shared" si="22"/>
        <v>5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1</v>
      </c>
      <c r="DR24" s="199">
        <f>IFERROR(MATCH(DR12,DH24:DK24,0),0)</f>
        <v>4</v>
      </c>
      <c r="DS24" s="199">
        <f>IFERROR(MATCH(DS12,DH24:DK24,0),0)</f>
        <v>0</v>
      </c>
      <c r="DT24" s="199">
        <f>IFERROR(MATCH(DT12,DH24:DK24,0),0)</f>
        <v>0</v>
      </c>
      <c r="DU24" s="199">
        <f t="shared" si="22"/>
        <v>5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2</v>
      </c>
      <c r="F25" s="21">
        <f>SUMIF(CZ3:CZ60,B25,DA3:DA60)+SUMIF(DC3:DC60,B25,DB3:DB60)</f>
        <v>4</v>
      </c>
      <c r="G25" s="21">
        <f>SUMIF(DC3:DC60,B25,DA3:DA60)+SUMIF(CZ3:CZ60,B25,DB3:DB60)</f>
        <v>6</v>
      </c>
      <c r="H25" s="21">
        <f t="shared" ref="H25:H28" si="36">F25-G25+1000</f>
        <v>998</v>
      </c>
      <c r="I25" s="21">
        <f t="shared" ref="I25:I28" si="37">C25*3+D25*1</f>
        <v>3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2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2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1003</v>
      </c>
      <c r="AD25" s="21">
        <f>IF(U25&lt;&gt;"",VLOOKUP(U25,B4:H40,5,FALSE),"")</f>
        <v>7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1</v>
      </c>
      <c r="AK25" s="21">
        <f>IF(U25&lt;&gt;"",SUMPRODUCT((AF25:AF29=AF25)*(AA25:AA29=AA25)*(Y25:Y29=Y25)*(AC25:AC29=AC25)*(AD25:AD29&gt;AD25)),"")</f>
        <v>0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1</v>
      </c>
      <c r="DR25" s="199">
        <f>IFERROR(MATCH(DR12,DH25:DK25,0),0)</f>
        <v>4</v>
      </c>
      <c r="DS25" s="199">
        <f>IFERROR(MATCH(DS12,DH25:DK25,0),0)</f>
        <v>0</v>
      </c>
      <c r="DT25" s="199">
        <f>IFERROR(MATCH(DT12,DH25:DK25,0),0)</f>
        <v>3</v>
      </c>
      <c r="DU25" s="199">
        <f t="shared" si="22"/>
        <v>8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2</v>
      </c>
      <c r="G26" s="21">
        <f>SUMIF(DC3:DC60,B26,DA3:DA60)+SUMIF(CZ3:CZ60,B26,DB3:DB60)</f>
        <v>8</v>
      </c>
      <c r="H26" s="21">
        <f t="shared" si="36"/>
        <v>994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2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2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1005</v>
      </c>
      <c r="AD26" s="21">
        <f>IF(U26&lt;&gt;"",VLOOKUP(U26,B4:H40,5,FALSE),"")</f>
        <v>8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1</v>
      </c>
      <c r="DR26" s="199">
        <f>IFERROR(MATCH(DR12,DH26:DK26,0),0)</f>
        <v>4</v>
      </c>
      <c r="DS26" s="199">
        <f>IFERROR(MATCH(DS12,DH26:DK26,0),0)</f>
        <v>0</v>
      </c>
      <c r="DT26" s="199">
        <f>IFERROR(MATCH(DT12,DH26:DK26,0),0)</f>
        <v>3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8</v>
      </c>
      <c r="G27" s="21">
        <f>SUMIF(DC3:DC60,B27,DA3:DA60)+SUMIF(CZ3:CZ60,B27,DB3:DB60)</f>
        <v>3</v>
      </c>
      <c r="H27" s="21">
        <f t="shared" si="36"/>
        <v>1005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0</v>
      </c>
      <c r="DR27" s="199">
        <f>IFERROR(MATCH(DR12,DH27:DK27,0),0)</f>
        <v>4</v>
      </c>
      <c r="DS27" s="199">
        <f>IFERROR(MATCH(DS12,DH27:DK27,0),0)</f>
        <v>0</v>
      </c>
      <c r="DT27" s="199">
        <f>IFERROR(MATCH(DT12,DH27:DK27,0),0)</f>
        <v>3</v>
      </c>
      <c r="DU27" s="199">
        <f t="shared" si="22"/>
        <v>7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7</v>
      </c>
      <c r="G28" s="21">
        <f>SUMIF(DC3:DC60,B28,DA3:DA60)+SUMIF(CZ3:CZ60,B28,DB3:DB60)</f>
        <v>4</v>
      </c>
      <c r="H28" s="21">
        <f t="shared" si="36"/>
        <v>1003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3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2</v>
      </c>
      <c r="H31" s="21">
        <f t="shared" ref="H31:H34" si="47">F31-G31+1000</f>
        <v>1004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2</v>
      </c>
      <c r="N31" s="21" t="str">
        <f>INDEX(B31:B35,MATCH(1,M31:M35,0),0)</f>
        <v>Poland</v>
      </c>
      <c r="O31" s="21">
        <f>INDEX(K31:K35,MATCH(N31,B31:B35,0),0)</f>
        <v>1</v>
      </c>
      <c r="P31" s="21" t="str">
        <f>IF(O32=1,N31,"")</f>
        <v>Poland</v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>Poland</v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1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1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1</v>
      </c>
      <c r="AA31" s="21">
        <f>Y31-Z31+1000</f>
        <v>1000</v>
      </c>
      <c r="AB31" s="21">
        <f t="shared" ref="AB31:AB34" si="49">IF(U31&lt;&gt;"",V31*3+W31*1,"")</f>
        <v>1</v>
      </c>
      <c r="AC31" s="21">
        <f>IF(U31&lt;&gt;"",VLOOKUP(U31,B4:H40,7,FALSE),"")</f>
        <v>1003</v>
      </c>
      <c r="AD31" s="21">
        <f>IF(U31&lt;&gt;"",VLOOKUP(U31,B4:H40,5,FALSE),"")</f>
        <v>5</v>
      </c>
      <c r="AE31" s="21">
        <f>IF(U31&lt;&gt;"",VLOOKUP(U31,B4:J40,9,FALSE),"")</f>
        <v>48</v>
      </c>
      <c r="AF31" s="21">
        <f t="shared" ref="AF31:AF34" si="50">AB31</f>
        <v>1</v>
      </c>
      <c r="AG31" s="21">
        <f>IF(U31&lt;&gt;"",RANK(AF31,AF31:AF35),"")</f>
        <v>1</v>
      </c>
      <c r="AH31" s="21">
        <f>IF(U31&lt;&gt;"",SUMPRODUCT((AF31:AF35=AF31)*(AA31:AA35&gt;AA31)),"")</f>
        <v>0</v>
      </c>
      <c r="AI31" s="21">
        <f>IF(U31&lt;&gt;"",SUMPRODUCT((AF31:AF35=AF31)*(AA31:AA35=AA31)*(Y31:Y35&gt;Y31)),"")</f>
        <v>0</v>
      </c>
      <c r="AJ31" s="21">
        <f>IF(U31&lt;&gt;"",SUMPRODUCT((AF31:AF35=AF31)*(AA31:AA35=AA31)*(Y31:Y35=Y31)*(AC31:AC35&gt;AC31)),"")</f>
        <v>1</v>
      </c>
      <c r="AK31" s="21">
        <f>IF(U31&lt;&gt;"",SUMPRODUCT((AF31:AF35=AF31)*(AA31:AA35=AA31)*(Y31:Y35=Y31)*(AC31:AC35=AC31)*(AD31:AD35&gt;AD31)),"")</f>
        <v>0</v>
      </c>
      <c r="AL31" s="21">
        <f>IF(U31&lt;&gt;"",SUMPRODUCT((AF31:AF35=AF31)*(AA31:AA35=AA31)*(Y31:Y35=Y31)*(AC31:AC35=AC31)*(AD31:AD35=AD31)*(AE31:AE35&gt;AE31)),"")</f>
        <v>0</v>
      </c>
      <c r="AM31" s="21">
        <f>IF(U31&lt;&gt;"",IF(AM71&lt;&gt;"",IF(T70=3,AM71,AM71+T70),SUM(AG31:AL31)),"")</f>
        <v>2</v>
      </c>
      <c r="AN31" s="21" t="str">
        <f>IF(U31&lt;&gt;"",INDEX(U31:U35,MATCH(1,AM31:AM35,0),0),"")</f>
        <v>Spain</v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0</v>
      </c>
      <c r="E32" s="21">
        <f>SUMPRODUCT((CZ3:CZ42=B32)*(DD3:DD42="L"))+SUMPRODUCT((DC3:DC42=B32)*(DE3:DE42="L"))</f>
        <v>2</v>
      </c>
      <c r="F32" s="21">
        <f>SUMIF(CZ3:CZ60,B32,DA3:DA60)+SUMIF(DC3:DC60,B32,DB3:DB60)</f>
        <v>4</v>
      </c>
      <c r="G32" s="21">
        <f>SUMIF(DC3:DC60,B32,DA3:DA60)+SUMIF(CZ3:CZ60,B32,DB3:DB60)</f>
        <v>5</v>
      </c>
      <c r="H32" s="21">
        <f t="shared" si="47"/>
        <v>999</v>
      </c>
      <c r="I32" s="21">
        <f t="shared" si="48"/>
        <v>3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Spain</v>
      </c>
      <c r="O32" s="21">
        <f>INDEX(K31:K35,MATCH(N32,B31:B35,0),0)</f>
        <v>1</v>
      </c>
      <c r="P32" s="21" t="str">
        <f>IF(P31&lt;&gt;"",N32,"")</f>
        <v>Spain</v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>Spain</v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1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1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1</v>
      </c>
      <c r="AA32" s="21">
        <f>Y32-Z32+1000</f>
        <v>1000</v>
      </c>
      <c r="AB32" s="21">
        <f t="shared" si="49"/>
        <v>1</v>
      </c>
      <c r="AC32" s="21">
        <f>IF(U32&lt;&gt;"",VLOOKUP(U32,B4:H40,7,FALSE),"")</f>
        <v>1004</v>
      </c>
      <c r="AD32" s="21">
        <f>IF(U32&lt;&gt;"",VLOOKUP(U32,B4:H40,5,FALSE),"")</f>
        <v>6</v>
      </c>
      <c r="AE32" s="21">
        <f>IF(U32&lt;&gt;"",VLOOKUP(U32,B4:J40,9,FALSE),"")</f>
        <v>51</v>
      </c>
      <c r="AF32" s="21">
        <f t="shared" si="50"/>
        <v>1</v>
      </c>
      <c r="AG32" s="21">
        <f>IF(U32&lt;&gt;"",RANK(AF32,AF31:AF35),"")</f>
        <v>1</v>
      </c>
      <c r="AH32" s="21">
        <f>IF(U32&lt;&gt;"",SUMPRODUCT((AF31:AF35=AF32)*(AA31:AA35&gt;AA32)),"")</f>
        <v>0</v>
      </c>
      <c r="AI32" s="21">
        <f>IF(U32&lt;&gt;"",SUMPRODUCT((AF31:AF35=AF32)*(AA31:AA35=AA32)*(Y31:Y35&gt;Y32)),"")</f>
        <v>0</v>
      </c>
      <c r="AJ32" s="21">
        <f>IF(U32&lt;&gt;"",SUMPRODUCT((AF31:AF35=AF32)*(AA31:AA35=AA32)*(Y31:Y35=Y32)*(AC31:AC35&gt;AC32)),"")</f>
        <v>0</v>
      </c>
      <c r="AK32" s="21">
        <f>IF(U32&lt;&gt;"",SUMPRODUCT((AF31:AF35=AF32)*(AA31:AA35=AA32)*(Y31:Y35=Y32)*(AC31:AC35=AC32)*(AD31:AD35&gt;AD32)),"")</f>
        <v>0</v>
      </c>
      <c r="AL32" s="21">
        <f>IF(U32&lt;&gt;"",SUMPRODUCT((AF31:AF35=AF32)*(AA31:AA35=AA32)*(Y31:Y35=Y32)*(AC31:AC35=AC32)*(AD31:AD35=AD32)*(AE31:AE35&gt;AE32)),"")</f>
        <v>0</v>
      </c>
      <c r="AM32" s="21">
        <f>IF(U32&lt;&gt;"",IF(AM72&lt;&gt;"",IF(T70=3,AM72,AM72+T70),SUM(AG32:AL32)),"")</f>
        <v>1</v>
      </c>
      <c r="AN32" s="21" t="str">
        <f>IF(U32&lt;&gt;"",INDEX(U31:U35,MATCH(2,AM31:AM35,0),0),"")</f>
        <v>Poland</v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4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0</v>
      </c>
      <c r="F33" s="21">
        <f>SUMIF(CZ3:CZ60,B33,DA3:DA60)+SUMIF(DC3:DC60,B33,DB3:DB60)</f>
        <v>5</v>
      </c>
      <c r="G33" s="21">
        <f>SUMIF(DC3:DC60,B33,DA3:DA60)+SUMIF(CZ3:CZ60,B33,DB3:DB60)</f>
        <v>2</v>
      </c>
      <c r="H33" s="21">
        <f t="shared" si="47"/>
        <v>1003</v>
      </c>
      <c r="I33" s="21">
        <f t="shared" si="48"/>
        <v>7</v>
      </c>
      <c r="J33" s="21">
        <v>48</v>
      </c>
      <c r="K33" s="21">
        <f>IF(COUNTIF(I31:I35,4)&lt;&gt;4,RANK(I33,I31:I35),I73)</f>
        <v>1</v>
      </c>
      <c r="L33" s="21"/>
      <c r="M33" s="21">
        <f>SUMPRODUCT((K31:K34=K33)*(J31:J34&lt;J33))+K33</f>
        <v>1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1</v>
      </c>
      <c r="G34" s="21">
        <f>SUMIF(DC3:DC60,B34,DA3:DA60)+SUMIF(CZ3:CZ60,B34,DB3:DB60)</f>
        <v>7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2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1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1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1005</v>
      </c>
      <c r="AD37" s="21">
        <f>IF(U37&lt;&gt;"",VLOOKUP(U37,B4:H40,5,FALSE),"")</f>
        <v>7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6</v>
      </c>
      <c r="G38" s="21">
        <f>SUMIF(DC3:DC60,B38,DA3:DA60)+SUMIF(CZ3:CZ60,B38,DB3:DB60)</f>
        <v>2</v>
      </c>
      <c r="H38" s="21">
        <f t="shared" si="58"/>
        <v>1004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1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1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1004</v>
      </c>
      <c r="AD38" s="21">
        <f>IF(U38&lt;&gt;"",VLOOKUP(U38,B4:H40,5,FALSE),"")</f>
        <v>6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Germany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10</v>
      </c>
      <c r="H39" s="21">
        <f t="shared" si="58"/>
        <v>990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5</v>
      </c>
      <c r="G40" s="21">
        <f>SUMIF(DC3:DC60,B40,DA3:DA60)+SUMIF(CZ3:CZ60,B40,DB3:DB60)</f>
        <v>4</v>
      </c>
      <c r="H40" s="21">
        <f t="shared" si="58"/>
        <v>1001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>
        <f>IF(U4&lt;&gt;"",SUMPRODUCT((AB4:AB7=AB4)*(AA4:AA7=AA4)*(Y4:Y7=Y4)*(Z4:Z7=Z4)),"")</f>
        <v>2</v>
      </c>
      <c r="U44" s="194" t="str">
        <f>IF(AND(T44&lt;&gt;"",T44&gt;1),U4,"")</f>
        <v>Turkey</v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1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1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1</v>
      </c>
      <c r="AA44" s="194">
        <f>Y44-Z44+1000</f>
        <v>1000</v>
      </c>
      <c r="AB44" s="194">
        <f>IF(U44&lt;&gt;"",V44*3+W44*1,"")</f>
        <v>1</v>
      </c>
      <c r="AC44" s="194">
        <f>IF(U44&lt;&gt;"",VLOOKUP(U44,B4:H40,7,FALSE),"")</f>
        <v>1003</v>
      </c>
      <c r="AD44" s="194">
        <f>IF(U44&lt;&gt;"",VLOOKUP(U44,B4:H40,5,FALSE),"")</f>
        <v>5</v>
      </c>
      <c r="AE44" s="194">
        <f>IF(U44&lt;&gt;"",VLOOKUP(U44,B4:J40,9,FALSE),"")</f>
        <v>42</v>
      </c>
      <c r="AF44" s="194">
        <f>AB44</f>
        <v>1</v>
      </c>
      <c r="AG44" s="194">
        <f>IF(U44&lt;&gt;"",RANK(AF44,AF44:AF48),"")</f>
        <v>1</v>
      </c>
      <c r="AH44" s="194">
        <f>IF(U44&lt;&gt;"",SUMPRODUCT((AF44:AF48=AF44)*(AA44:AA48&gt;AA44)),"")</f>
        <v>0</v>
      </c>
      <c r="AI44" s="194">
        <f>IF(U44&lt;&gt;"",SUMPRODUCT((AF44:AF48=AF44)*(AA44:AA48=AA44)*(Y44:Y48&gt;Y44)),"")</f>
        <v>0</v>
      </c>
      <c r="AJ44" s="194">
        <f>IF(U44&lt;&gt;"",SUMPRODUCT((AF44:AF48=AF44)*(AA44:AA48=AA44)*(Y44:Y48=Y44)*(AC44:AC48&gt;AC44)),"")</f>
        <v>1</v>
      </c>
      <c r="AK44" s="194">
        <f>IF(U44&lt;&gt;"",SUMPRODUCT((AF44:AF48=AF44)*(AA44:AA48=AA44)*(Y44:Y48=Y44)*(AC44:AC48=AC44)*(AD44:AD48&gt;AD44)),"")</f>
        <v>0</v>
      </c>
      <c r="AL44" s="194">
        <f>IF(U44&lt;&gt;"",SUMPRODUCT((AF44:AF48=AF44)*(AA44:AA48=AA44)*(Y44:Y48=Y44)*(AC44:AC48=AC44)*(AD44:AD48=AD44)*(AE44:AE48&gt;AE44)),"")</f>
        <v>0</v>
      </c>
      <c r="AM44" s="194">
        <f>IF(U44&lt;&gt;"",SUM(AG44:AL44),"")</f>
        <v>2</v>
      </c>
    </row>
    <row r="45" spans="1:256" x14ac:dyDescent="0.15">
      <c r="I45" s="194">
        <f>SUMPRODUCT((I4:I7=I5)*(H4:H7=H5)*(F4:F7&gt;F5))+1</f>
        <v>1</v>
      </c>
      <c r="T45" s="194">
        <f>IF(U5&lt;&gt;"",SUMPRODUCT((AB4:AB7=AB5)*(AA4:AA7=AA5)*(Y4:Y7=Y5)*(Z4:Z7=Z5)),"")</f>
        <v>2</v>
      </c>
      <c r="U45" s="194" t="str">
        <f t="shared" ref="U45:U47" si="69">IF(AND(T45&lt;&gt;"",T45&gt;1),U5,"")</f>
        <v>Italy</v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1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1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1</v>
      </c>
      <c r="AA45" s="194">
        <f>Y45-Z45+1000</f>
        <v>1000</v>
      </c>
      <c r="AB45" s="194">
        <f t="shared" ref="AB45:AB47" si="70">IF(U45&lt;&gt;"",V45*3+W45*1,"")</f>
        <v>1</v>
      </c>
      <c r="AC45" s="194">
        <f>IF(U45&lt;&gt;"",VLOOKUP(U45,B4:H40,7,FALSE),"")</f>
        <v>1004</v>
      </c>
      <c r="AD45" s="194">
        <f>IF(U45&lt;&gt;"",VLOOKUP(U45,B4:H40,5,FALSE),"")</f>
        <v>6</v>
      </c>
      <c r="AE45" s="194">
        <f>IF(U45&lt;&gt;"",VLOOKUP(U45,B4:J40,9,FALSE),"")</f>
        <v>54</v>
      </c>
      <c r="AF45" s="194">
        <f t="shared" ref="AF45:AF47" si="71">AB45</f>
        <v>1</v>
      </c>
      <c r="AG45" s="194">
        <f>IF(U45&lt;&gt;"",RANK(AF45,AF44:AF48),"")</f>
        <v>1</v>
      </c>
      <c r="AH45" s="194">
        <f>IF(U45&lt;&gt;"",SUMPRODUCT((AF44:AF48=AF45)*(AA44:AA48&gt;AA45)),"")</f>
        <v>0</v>
      </c>
      <c r="AI45" s="194">
        <f>IF(U45&lt;&gt;"",SUMPRODUCT((AF44:AF48=AF45)*(AA44:AA48=AA45)*(Y44:Y48&gt;Y45)),"")</f>
        <v>0</v>
      </c>
      <c r="AJ45" s="194">
        <f>IF(U45&lt;&gt;"",SUMPRODUCT((AF44:AF48=AF45)*(AA44:AA48=AA45)*(Y44:Y48=Y45)*(AC44:AC48&gt;AC45)),"")</f>
        <v>0</v>
      </c>
      <c r="AK45" s="194">
        <f>IF(U45&lt;&gt;"",SUMPRODUCT((AF44:AF48=AF45)*(AA44:AA48=AA45)*(Y44:Y48=Y45)*(AC44:AC48=AC45)*(AD44:AD48&gt;AD45)),"")</f>
        <v>0</v>
      </c>
      <c r="AL45" s="194">
        <f>IF(U45&lt;&gt;"",SUMPRODUCT((AF44:AF48=AF45)*(AA44:AA48=AA45)*(Y44:Y48=Y45)*(AC44:AC48=AC45)*(AD44:AD48=AD45)*(AE44:AE48&gt;AE45)),"")</f>
        <v>0</v>
      </c>
      <c r="AM45" s="194">
        <f>IF(U45&lt;&gt;"",SUM(AG45:AL45),"")</f>
        <v>1</v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>
        <f>IF(AO12&lt;&gt;"",SUMPRODUCT((AV11:AV14=AV12)*(AU11:AU14=AU12)*(AS11:AS14=AS12)*(AT11:AT14=AT12)),"")</f>
        <v>2</v>
      </c>
      <c r="AO52" s="194" t="str">
        <f t="shared" ref="AO52:AO54" si="81">IF(AND(AN52&lt;&gt;"",AN52&gt;1),AO12,"")</f>
        <v>Denmark</v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1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1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1</v>
      </c>
      <c r="AU52" s="194">
        <f>AS52-AT52+1000</f>
        <v>1000</v>
      </c>
      <c r="AV52" s="194">
        <f t="shared" ref="AV52:AV54" si="82">IF(AO52&lt;&gt;"",AP52*3+AQ52*1,"")</f>
        <v>1</v>
      </c>
      <c r="AW52" s="194">
        <f>IF(AO52&lt;&gt;"",VLOOKUP(AO52,B4:H40,7,FALSE),"")</f>
        <v>1001</v>
      </c>
      <c r="AX52" s="194">
        <f>IF(AO52&lt;&gt;"",VLOOKUP(AO52,B4:H40,5,FALSE),"")</f>
        <v>4</v>
      </c>
      <c r="AY52" s="194">
        <f>IF(AO52&lt;&gt;"",VLOOKUP(AO52,B4:J40,9,FALSE),"")</f>
        <v>41</v>
      </c>
      <c r="AZ52" s="194">
        <f t="shared" ref="AZ52:AZ54" si="83">AV52</f>
        <v>1</v>
      </c>
      <c r="BA52" s="194">
        <f>IF(AO52&lt;&gt;"",RANK(AZ52,AZ51:AZ54),"")</f>
        <v>1</v>
      </c>
      <c r="BB52" s="194">
        <f>IF(AO52&lt;&gt;"",SUMPRODUCT((AZ51:AZ54=AZ52)*(AU51:AU54&gt;AU52)),"")</f>
        <v>0</v>
      </c>
      <c r="BC52" s="194">
        <f>IF(AO52&lt;&gt;"",SUMPRODUCT((AZ51:AZ54=AZ52)*(AU51:AU54=AU52)*(AS51:AS54&gt;AS52)),"")</f>
        <v>0</v>
      </c>
      <c r="BD52" s="194">
        <f>IF(AO52&lt;&gt;"",SUMPRODUCT((AZ51:AZ54=AZ52)*(AU51:AU54=AU52)*(AS51:AS54=AS52)*(AW51:AW54&gt;AW52)),"")</f>
        <v>0</v>
      </c>
      <c r="BE52" s="194">
        <f>IF(AO52&lt;&gt;"",SUMPRODUCT((AZ51:AZ54=AZ52)*(AU51:AU54=AU52)*(AS51:AS54=AS52)*(AW51:AW54=AW52)*(AX51:AX54&gt;AX52)),"")</f>
        <v>0</v>
      </c>
      <c r="BF52" s="194">
        <f>IF(AO52&lt;&gt;"",SUMPRODUCT((AZ51:AZ54=AZ52)*(AU51:AU54=AU52)*(AS51:AS54=AS52)*(AW51:AW54=AW52)*(AX51:AX54=AX52)*(AY51:AY54&gt;AY52)),"")</f>
        <v>0</v>
      </c>
      <c r="BG52" s="194">
        <f>IF(AO52&lt;&gt;"",SUM(BA52:BF52)+1,"")</f>
        <v>2</v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>
        <f>IF(AO13&lt;&gt;"",SUMPRODUCT((AV11:AV14=AV13)*(AU11:AU14=AU13)*(AS11:AS14=AS13)*(AT11:AT14=AT13)),"")</f>
        <v>2</v>
      </c>
      <c r="AO53" s="194" t="str">
        <f t="shared" si="81"/>
        <v>Russia</v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1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1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1</v>
      </c>
      <c r="AU53" s="194">
        <f>AS53-AT53+1000</f>
        <v>1000</v>
      </c>
      <c r="AV53" s="194">
        <f t="shared" si="82"/>
        <v>1</v>
      </c>
      <c r="AW53" s="194">
        <f>IF(AO53&lt;&gt;"",VLOOKUP(AO53,B4:H40,7,FALSE),"")</f>
        <v>1000</v>
      </c>
      <c r="AX53" s="194">
        <f>IF(AO53&lt;&gt;"",VLOOKUP(AO53,B4:H40,5,FALSE),"")</f>
        <v>5</v>
      </c>
      <c r="AY53" s="194">
        <f>IF(AO53&lt;&gt;"",VLOOKUP(AO53,B4:J40,9,FALSE),"")</f>
        <v>44</v>
      </c>
      <c r="AZ53" s="194">
        <f t="shared" si="83"/>
        <v>1</v>
      </c>
      <c r="BA53" s="194">
        <f>IF(AO53&lt;&gt;"",RANK(AZ53,AZ51:AZ54),"")</f>
        <v>1</v>
      </c>
      <c r="BB53" s="194">
        <f>IF(AO53&lt;&gt;"",SUMPRODUCT((AZ51:AZ54=AZ53)*(AU51:AU54&gt;AU53)),"")</f>
        <v>0</v>
      </c>
      <c r="BC53" s="194">
        <f>IF(AO53&lt;&gt;"",SUMPRODUCT((AZ51:AZ54=AZ53)*(AU51:AU54=AU53)*(AS51:AS54&gt;AS53)),"")</f>
        <v>0</v>
      </c>
      <c r="BD53" s="194">
        <f>IF(AO53&lt;&gt;"",SUMPRODUCT((AZ51:AZ54=AZ53)*(AU51:AU54=AU53)*(AS51:AS54=AS53)*(AW51:AW54&gt;AW53)),"")</f>
        <v>1</v>
      </c>
      <c r="BE53" s="194">
        <f>IF(AO53&lt;&gt;"",SUMPRODUCT((AZ51:AZ54=AZ53)*(AU51:AU54=AU53)*(AS51:AS54=AS53)*(AW51:AW54=AW53)*(AX51:AX54&gt;AX53)),"")</f>
        <v>0</v>
      </c>
      <c r="BF53" s="194">
        <f>IF(AO53&lt;&gt;"",SUMPRODUCT((AZ51:AZ54=AZ53)*(AU51:AU54=AU53)*(AS51:AS54=AS53)*(AW51:AW54=AW53)*(AX51:AX54=AX53)*(AY51:AY54&gt;AY53)),"")</f>
        <v>0</v>
      </c>
      <c r="BG53" s="194">
        <f t="shared" ref="BG53:BG54" si="84">IF(AO53&lt;&gt;"",SUM(BA53:BF53)+1,"")</f>
        <v>3</v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>
        <f>IF(U18&lt;&gt;"",SUMPRODUCT((AB18:AB21=AB18)*(AA18:AA21=AA18)*(Y18:Y21=Y18)*(Z18:Z21=Z18)),"")</f>
        <v>2</v>
      </c>
      <c r="U58" s="194" t="str">
        <f>IF(AND(T58&lt;&gt;"",T58&gt;1),U18,"")</f>
        <v>Netherlands</v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1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1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1</v>
      </c>
      <c r="AA58" s="194">
        <f>Y58-Z58+1000</f>
        <v>1000</v>
      </c>
      <c r="AB58" s="194">
        <f>IF(U58&lt;&gt;"",V58*3+W58*1,"")</f>
        <v>1</v>
      </c>
      <c r="AC58" s="194">
        <f>IF(U58&lt;&gt;"",VLOOKUP(U58,B4:H40,7,FALSE),"")</f>
        <v>1005</v>
      </c>
      <c r="AD58" s="194">
        <f>IF(U58&lt;&gt;"",VLOOKUP(U58,B4:H40,5,FALSE),"")</f>
        <v>7</v>
      </c>
      <c r="AE58" s="194">
        <f>IF(U58&lt;&gt;"",VLOOKUP(U58,B4:J40,9,FALSE),"")</f>
        <v>45</v>
      </c>
      <c r="AF58" s="194">
        <f>AB58</f>
        <v>1</v>
      </c>
      <c r="AG58" s="194">
        <f>IF(U58&lt;&gt;"",RANK(AF58,AF58:AF61),"")</f>
        <v>1</v>
      </c>
      <c r="AH58" s="194">
        <f>IF(U58&lt;&gt;"",SUMPRODUCT((AF58:AF61=AF58)*(AA58:AA61&gt;AA58)),"")</f>
        <v>0</v>
      </c>
      <c r="AI58" s="194">
        <f>IF(U58&lt;&gt;"",SUMPRODUCT((AF58:AF61=AF58)*(AA58:AA61=AA58)*(Y58:Y61&gt;Y58)),"")</f>
        <v>0</v>
      </c>
      <c r="AJ58" s="194">
        <f>IF(U58&lt;&gt;"",SUMPRODUCT((AF58:AF61=AF58)*(AA58:AA61=AA58)*(Y58:Y61=Y58)*(AC58:AC61&gt;AC58)),"")</f>
        <v>0</v>
      </c>
      <c r="AK58" s="194">
        <f>IF(U58&lt;&gt;"",SUMPRODUCT((AF58:AF61=AF58)*(AA58:AA61=AA58)*(Y58:Y61=Y58)*(AC58:AC61=AC58)*(AD58:AD61&gt;AD58)),"")</f>
        <v>0</v>
      </c>
      <c r="AL58" s="194">
        <f>IF(U58&lt;&gt;"",SUMPRODUCT((AF58:AF61=AF58)*(AA58:AA61=AA58)*(Y58:Y61=Y58)*(AC58:AC61=AC58)*(AD58:AD61=AD58)*(AE58:AE61&gt;AE58)),"")</f>
        <v>0</v>
      </c>
      <c r="AM58" s="194">
        <f>IF(U58&lt;&gt;"",SUM(AG58:AL58),"")</f>
        <v>1</v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>
        <f>IF(U19&lt;&gt;"",SUMPRODUCT((AB18:AB21=AB19)*(AA18:AA21=AA19)*(Y18:Y21=Y19)*(Z18:Z21=Z19)),"")</f>
        <v>2</v>
      </c>
      <c r="U59" s="194" t="str">
        <f t="shared" ref="U59:U61" si="85">IF(AND(T59&lt;&gt;"",T59&gt;1),U19,"")</f>
        <v>Ukraine</v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1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1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1</v>
      </c>
      <c r="AA59" s="194">
        <f>Y59-Z59+1000</f>
        <v>1000</v>
      </c>
      <c r="AB59" s="194">
        <f t="shared" ref="AB59:AB61" si="86">IF(U59&lt;&gt;"",V59*3+W59*1,"")</f>
        <v>1</v>
      </c>
      <c r="AC59" s="194">
        <f>IF(U59&lt;&gt;"",VLOOKUP(U59,B4:H40,7,FALSE),"")</f>
        <v>1002</v>
      </c>
      <c r="AD59" s="194">
        <f>IF(U59&lt;&gt;"",VLOOKUP(U59,B4:H40,5,FALSE),"")</f>
        <v>4</v>
      </c>
      <c r="AE59" s="194">
        <f>IF(U59&lt;&gt;"",VLOOKUP(U59,B4:J40,9,FALSE),"")</f>
        <v>50</v>
      </c>
      <c r="AF59" s="194">
        <f t="shared" ref="AF59:AF61" si="87">AB59</f>
        <v>1</v>
      </c>
      <c r="AG59" s="194">
        <f>IF(U59&lt;&gt;"",RANK(AF59,AF58:AF61),"")</f>
        <v>1</v>
      </c>
      <c r="AH59" s="194">
        <f>IF(U59&lt;&gt;"",SUMPRODUCT((AF58:AF61=AF59)*(AA58:AA61&gt;AA59)),"")</f>
        <v>0</v>
      </c>
      <c r="AI59" s="194">
        <f>IF(U59&lt;&gt;"",SUMPRODUCT((AF58:AF61=AF59)*(AA58:AA61=AA59)*(Y58:Y61&gt;Y59)),"")</f>
        <v>0</v>
      </c>
      <c r="AJ59" s="194">
        <f>IF(U59&lt;&gt;"",SUMPRODUCT((AF58:AF61=AF59)*(AA58:AA61=AA59)*(Y58:Y61=Y59)*(AC58:AC61&gt;AC59)),"")</f>
        <v>1</v>
      </c>
      <c r="AK59" s="194">
        <f>IF(U59&lt;&gt;"",SUMPRODUCT((AF58:AF61=AF59)*(AA58:AA61=AA59)*(Y58:Y61=Y59)*(AC58:AC61=AC59)*(AD58:AD61&gt;AD59)),"")</f>
        <v>0</v>
      </c>
      <c r="AL59" s="194">
        <f>IF(U59&lt;&gt;"",SUMPRODUCT((AF58:AF61=AF59)*(AA58:AA61=AA59)*(Y58:Y61=Y59)*(AC58:AC61=AC59)*(AD58:AD61=AD59)*(AE58:AE61&gt;AE59)),"")</f>
        <v>0</v>
      </c>
      <c r="AM59" s="194">
        <f>IF(U59&lt;&gt;"",SUM(AG59:AL59),"")</f>
        <v>2</v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2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2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1003</v>
      </c>
      <c r="AD65" s="194">
        <f>IF(U65&lt;&gt;"",VLOOKUP(U65,B4:H40,5,FALSE),"")</f>
        <v>7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1</v>
      </c>
      <c r="AK65" s="194">
        <f>IF(U65&lt;&gt;"",SUMPRODUCT((AF65:AF68=AF65)*(AA65:AA68=AA65)*(Y65:Y68=Y65)*(AC65:AC68=AC65)*(AD65:AD68&gt;AD65)),"")</f>
        <v>0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15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2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2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1005</v>
      </c>
      <c r="AD66" s="194">
        <f>IF(U66&lt;&gt;"",VLOOKUP(U66,B4:H40,5,FALSE),"")</f>
        <v>8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>
        <f>IF(U31&lt;&gt;"",SUMPRODUCT((AB31:AB34=AB31)*(AA31:AA34=AA31)*(Y31:Y34=Y31)*(Z31:Z34=Z31)),"")</f>
        <v>2</v>
      </c>
      <c r="U71" s="194" t="str">
        <f>IF(AND(T71&lt;&gt;"",T71&gt;1),U31,"")</f>
        <v>Poland</v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1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1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1</v>
      </c>
      <c r="AA71" s="194">
        <f>Y71-Z71+1000</f>
        <v>1000</v>
      </c>
      <c r="AB71" s="194">
        <f>IF(U71&lt;&gt;"",V71*3+W71*1,"")</f>
        <v>1</v>
      </c>
      <c r="AC71" s="194">
        <f>IF(U71&lt;&gt;"",VLOOKUP(U71,B4:H40,7,FALSE),"")</f>
        <v>1003</v>
      </c>
      <c r="AD71" s="194">
        <f>IF(U71&lt;&gt;"",VLOOKUP(U71,B4:H40,5,FALSE),"")</f>
        <v>5</v>
      </c>
      <c r="AE71" s="194">
        <f>IF(U71&lt;&gt;"",VLOOKUP(U71,B4:J40,9,FALSE),"")</f>
        <v>48</v>
      </c>
      <c r="AF71" s="194">
        <f>AB71</f>
        <v>1</v>
      </c>
      <c r="AG71" s="194">
        <f>IF(U71&lt;&gt;"",RANK(AF71,AF71:AF74),"")</f>
        <v>1</v>
      </c>
      <c r="AH71" s="194">
        <f>IF(U71&lt;&gt;"",SUMPRODUCT((AF71:AF74=AF71)*(AA71:AA74&gt;AA71)),"")</f>
        <v>0</v>
      </c>
      <c r="AI71" s="194">
        <f>IF(U71&lt;&gt;"",SUMPRODUCT((AF71:AF74=AF71)*(AA71:AA74=AA71)*(Y71:Y74&gt;Y71)),"")</f>
        <v>0</v>
      </c>
      <c r="AJ71" s="194">
        <f>IF(U71&lt;&gt;"",SUMPRODUCT((AF71:AF74=AF71)*(AA71:AA74=AA71)*(Y71:Y74=Y71)*(AC71:AC74&gt;AC71)),"")</f>
        <v>1</v>
      </c>
      <c r="AK71" s="194">
        <f>IF(U71&lt;&gt;"",SUMPRODUCT((AF71:AF74=AF71)*(AA71:AA74=AA71)*(Y71:Y74=Y71)*(AC71:AC74=AC71)*(AD71:AD74&gt;AD71)),"")</f>
        <v>0</v>
      </c>
      <c r="AL71" s="194">
        <f>IF(U71&lt;&gt;"",SUMPRODUCT((AF71:AF74=AF71)*(AA71:AA74=AA71)*(Y71:Y74=Y71)*(AC71:AC74=AC71)*(AD71:AD74=AD71)*(AE71:AE74&gt;AE71)),"")</f>
        <v>0</v>
      </c>
      <c r="AM71" s="194">
        <f>IF(U71&lt;&gt;"",SUM(AG71:AL71),"")</f>
        <v>2</v>
      </c>
    </row>
    <row r="72" spans="9:59" x14ac:dyDescent="0.15">
      <c r="I72" s="194">
        <f>SUMPRODUCT((I31:I34=I32)*(H31:H34=H32)*(F31:F34&gt;F32))+1</f>
        <v>1</v>
      </c>
      <c r="T72" s="194">
        <f>IF(U32&lt;&gt;"",SUMPRODUCT((AB31:AB34=AB32)*(AA31:AA34=AA32)*(Y31:Y34=Y32)*(Z31:Z34=Z32)),"")</f>
        <v>2</v>
      </c>
      <c r="U72" s="194" t="str">
        <f t="shared" ref="U72:U74" si="99">IF(AND(T72&lt;&gt;"",T72&gt;1),U32,"")</f>
        <v>Spain</v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1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1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1</v>
      </c>
      <c r="AA72" s="194">
        <f>Y72-Z72+1000</f>
        <v>1000</v>
      </c>
      <c r="AB72" s="194">
        <f t="shared" ref="AB72:AB74" si="100">IF(U72&lt;&gt;"",V72*3+W72*1,"")</f>
        <v>1</v>
      </c>
      <c r="AC72" s="194">
        <f>IF(U72&lt;&gt;"",VLOOKUP(U72,B4:H40,7,FALSE),"")</f>
        <v>1004</v>
      </c>
      <c r="AD72" s="194">
        <f>IF(U72&lt;&gt;"",VLOOKUP(U72,B4:H40,5,FALSE),"")</f>
        <v>6</v>
      </c>
      <c r="AE72" s="194">
        <f>IF(U72&lt;&gt;"",VLOOKUP(U72,B4:J40,9,FALSE),"")</f>
        <v>51</v>
      </c>
      <c r="AF72" s="194">
        <f t="shared" ref="AF72:AF74" si="101">AB72</f>
        <v>1</v>
      </c>
      <c r="AG72" s="194">
        <f>IF(U72&lt;&gt;"",RANK(AF72,AF71:AF74),"")</f>
        <v>1</v>
      </c>
      <c r="AH72" s="194">
        <f>IF(U72&lt;&gt;"",SUMPRODUCT((AF71:AF74=AF72)*(AA71:AA74&gt;AA72)),"")</f>
        <v>0</v>
      </c>
      <c r="AI72" s="194">
        <f>IF(U72&lt;&gt;"",SUMPRODUCT((AF71:AF74=AF72)*(AA71:AA74=AA72)*(Y71:Y74&gt;Y72)),"")</f>
        <v>0</v>
      </c>
      <c r="AJ72" s="194">
        <f>IF(U72&lt;&gt;"",SUMPRODUCT((AF71:AF74=AF72)*(AA71:AA74=AA72)*(Y71:Y74=Y72)*(AC71:AC74&gt;AC72)),"")</f>
        <v>0</v>
      </c>
      <c r="AK72" s="194">
        <f>IF(U72&lt;&gt;"",SUMPRODUCT((AF71:AF74=AF72)*(AA71:AA74=AA72)*(Y71:Y74=Y72)*(AC71:AC74=AC72)*(AD71:AD74&gt;AD72)),"")</f>
        <v>0</v>
      </c>
      <c r="AL72" s="194">
        <f>IF(U72&lt;&gt;"",SUMPRODUCT((AF71:AF74=AF72)*(AA71:AA74=AA72)*(Y71:Y74=Y72)*(AC71:AC74=AC72)*(AD71:AD74=AD72)*(AE71:AE74&gt;AE72)),"")</f>
        <v>0</v>
      </c>
      <c r="AM72" s="194">
        <f>IF(U72&lt;&gt;"",SUM(AG72:AL72),"")</f>
        <v>1</v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1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1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1005</v>
      </c>
      <c r="AD77" s="194">
        <f>IF(U77&lt;&gt;"",VLOOKUP(U77,B4:H40,5,FALSE),"")</f>
        <v>7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1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1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1004</v>
      </c>
      <c r="AD78" s="194">
        <f>IF(U78&lt;&gt;"",VLOOKUP(U78,B4:H40,5,FALSE),"")</f>
        <v>6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Belgium</v>
      </c>
    </row>
    <row r="89" spans="3:3" x14ac:dyDescent="0.15">
      <c r="C89" s="194" t="str">
        <f>Matches!B50</f>
        <v>France</v>
      </c>
    </row>
    <row r="90" spans="3:3" x14ac:dyDescent="0.15">
      <c r="C90" s="194" t="str">
        <f>Matches!B51</f>
        <v>Portugal</v>
      </c>
    </row>
    <row r="91" spans="3:3" x14ac:dyDescent="0.15">
      <c r="C91" s="194" t="str">
        <f>Matches!B52</f>
        <v>Germany</v>
      </c>
    </row>
    <row r="93" spans="3:3" x14ac:dyDescent="0.15">
      <c r="C93" s="194" t="str">
        <f>Matches!B55</f>
        <v>Belgium</v>
      </c>
    </row>
    <row r="94" spans="3:3" x14ac:dyDescent="0.15">
      <c r="C94" s="194" t="str">
        <f>Matches!B56</f>
        <v>Portugal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2021-06-11T17:34:33Z</dcterms:modified>
</cp:coreProperties>
</file>