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dward/Downloads/"/>
    </mc:Choice>
  </mc:AlternateContent>
  <xr:revisionPtr revIDLastSave="0" documentId="13_ncr:1_{98B10F54-9CE0-0143-8C79-DEEEA3DADB5B}" xr6:coauthVersionLast="45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0" windowWidth="28800" windowHeight="180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0" i="3" l="1"/>
  <c r="DE2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 l="1"/>
  <c r="BT6" i="3" s="1"/>
  <c r="AV33" i="3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G19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L21" i="3" l="1"/>
  <c r="AK21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CB21" i="3" l="1"/>
  <c r="AN61" i="3"/>
  <c r="AO61" i="3" s="1"/>
  <c r="CB13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AA61" i="3" s="1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A40" i="3"/>
  <c r="BB40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P11" i="2" s="1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V11" i="2" l="1"/>
  <c r="A40" i="4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AB11" i="2" s="1"/>
  <c r="V14" i="2"/>
  <c r="W11" i="2"/>
  <c r="X11" i="2"/>
  <c r="Z11" i="2"/>
  <c r="DH3" i="3" l="1"/>
  <c r="DP3" i="3" s="1"/>
  <c r="U13" i="2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B14" i="2"/>
  <c r="T11" i="2"/>
  <c r="DI3" i="3"/>
  <c r="AA11" i="2"/>
  <c r="T14" i="2"/>
  <c r="DL3" i="3" l="1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<sst xmlns="http://schemas.openxmlformats.org/spreadsheetml/2006/main" count="590" uniqueCount="144">
  <si>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</si>
  <si>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</si>
  <si>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</si>
  <si>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</si>
  <si>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</si>
  <si>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</si>
  <si>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</si>
  <si>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</si>
  <si>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</si>
  <si>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</si>
  <si>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</si>
  <si>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</si>
  <si>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</si>
  <si>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</si>
  <si>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</si>
  <si>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</si>
  <si>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</si>
  <si>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</si>
  <si>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</si>
  <si>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</si>
  <si>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</si>
  <si>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</si>
  <si>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</si>
  <si>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</si>
  <si>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</si>
  <si>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</si>
  <si>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</si>
  <si>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</si>
  <si>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</si>
  <si>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</si>
  <si>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</si>
  <si>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</si>
  <si>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</si>
  <si>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</si>
  <si>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</si>
  <si>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</si>
  <si>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</si>
  <si>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</si>
  <si>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</si>
  <si>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</si>
  <si>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</si>
  <si>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</si>
  <si>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</si>
  <si>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</si>
  <si>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</si>
  <si>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</si>
  <si>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</si>
  <si>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</si>
  <si>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</si>
  <si>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</si>
  <si>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</si>
  <si>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</si>
  <si>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</si>
  <si>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</si>
  <si>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</si>
  <si>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</si>
  <si>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</si>
  <si>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</si>
  <si>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</si>
  <si>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</si>
  <si>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</si>
  <si>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</si>
  <si>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</si>
  <si>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</si>
  <si>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</si>
  <si>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</si>
  <si>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</si>
  <si>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</si>
  <si>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</si>
  <si>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</si>
  <si>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</si>
  <si>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</si>
  <si>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</si>
  <si>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</si>
  <si>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</si>
  <si>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</si>
  <si>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</si>
  <si>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</si>
  <si>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</si>
  <si>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</si>
  <si>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</si>
  <si>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</si>
  <si>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</si>
  <si>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</si>
  <si>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</si>
  <si>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</si>
  <si>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</si>
  <si>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</si>
  <si>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</si>
  <si>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</si>
  <si>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</si>
  <si>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</si>
  <si>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</si>
  <si>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</si>
  <si>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</si>
  <si>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</si>
  <si>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</si>
  <si>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</si>
  <si>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</si>
  <si>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</si>
  <si>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</si>
  <si>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</si>
  <si>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</si>
  <si>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</si>
  <si>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</si>
  <si>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</si>
  <si>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</si>
  <si>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</si>
  <si>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</si>
  <si>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</si>
  <si>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</si>
  <si>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</si>
  <si>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</si>
  <si>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</si>
  <si>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</si>
  <si>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</si>
  <si>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</si>
  <si>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</si>
  <si>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</si>
  <si>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</si>
  <si>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</si>
  <si>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</si>
  <si>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</si>
  <si>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</si>
  <si>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</si>
  <si>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</si>
  <si>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</si>
  <si>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</si>
  <si>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</si>
  <si>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</si>
  <si>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</si>
  <si>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</si>
  <si>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</si>
  <si>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</si>
  <si>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</si>
  <si>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</si>
  <si>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</si>
  <si>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</si>
  <si>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</si>
  <si>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</si>
  <si>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</si>
  <si>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Ed</t>
  </si>
  <si>
    <t>Mbappe</t>
  </si>
  <si>
    <t>Locatelli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</si>
</sst>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="170" zoomScaleNormal="100" workbookViewId="0">
      <pane ySplit="9" topLeftCell="A55" activePane="bottomLeft" state="frozen"/>
      <selection pane="bottomLeft" activeCell="B59" sqref="B59:M59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47" t="s">
        <v>133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103" ht="15" customHeight="1" x14ac:dyDescent="0.2">
      <c r="B2" s="263" t="s">
        <v>129</v>
      </c>
      <c r="C2" s="264"/>
      <c r="D2" s="264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38" t="s">
        <v>112</v>
      </c>
      <c r="V2" s="239"/>
      <c r="W2" s="239"/>
      <c r="X2" s="239"/>
      <c r="Y2" s="239"/>
      <c r="Z2" s="239"/>
      <c r="AA2" s="239"/>
      <c r="AB2" s="239"/>
      <c r="AC2" s="240"/>
    </row>
    <row r="3" spans="1:103" ht="15" customHeight="1" x14ac:dyDescent="0.2">
      <c r="B3" s="264"/>
      <c r="C3" s="264"/>
      <c r="D3" s="264"/>
      <c r="E3" s="205" t="s">
        <v>131</v>
      </c>
      <c r="G3" s="157"/>
      <c r="H3" s="157"/>
      <c r="I3" s="274" t="s">
        <v>108</v>
      </c>
      <c r="J3" s="274"/>
      <c r="K3" s="274"/>
      <c r="L3" s="274"/>
      <c r="M3" s="274"/>
      <c r="N3" s="274"/>
      <c r="O3" s="160"/>
      <c r="P3" s="157"/>
      <c r="Q3" s="157"/>
      <c r="R3" s="157"/>
      <c r="S3" s="157"/>
      <c r="T3" s="158"/>
      <c r="U3" s="241"/>
      <c r="V3" s="241"/>
      <c r="W3" s="241"/>
      <c r="X3" s="241"/>
      <c r="Y3" s="241"/>
      <c r="Z3" s="241"/>
      <c r="AA3" s="241"/>
      <c r="AB3" s="241"/>
      <c r="AC3" s="242"/>
    </row>
    <row r="4" spans="1:103" ht="15" customHeight="1" x14ac:dyDescent="0.2">
      <c r="B4" s="264"/>
      <c r="C4" s="264"/>
      <c r="D4" s="264"/>
      <c r="E4" s="205" t="s">
        <v>107</v>
      </c>
      <c r="G4" s="157"/>
      <c r="H4" s="157"/>
      <c r="I4" s="274"/>
      <c r="J4" s="274"/>
      <c r="K4" s="274"/>
      <c r="L4" s="274"/>
      <c r="M4" s="274"/>
      <c r="N4" s="274"/>
      <c r="O4" s="160"/>
      <c r="P4" s="157"/>
      <c r="Q4" s="157"/>
      <c r="R4" s="157"/>
      <c r="S4" s="157"/>
      <c r="T4" s="161" t="s">
        <v>109</v>
      </c>
      <c r="U4" s="243" t="s">
        <v>141</v>
      </c>
      <c r="V4" s="244"/>
      <c r="W4" s="244"/>
      <c r="X4" s="244"/>
      <c r="Y4" s="244"/>
      <c r="Z4" s="244"/>
      <c r="AA4" s="244"/>
      <c r="AB4" s="244"/>
      <c r="AC4" s="245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46" t="s">
        <v>32</v>
      </c>
      <c r="G9" s="246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14" t="s">
        <v>36</v>
      </c>
      <c r="P10" s="215"/>
      <c r="Q10" s="215"/>
      <c r="R10" s="215"/>
      <c r="S10" s="215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2</v>
      </c>
      <c r="G11" s="184">
        <v>1</v>
      </c>
      <c r="H11" s="41" t="s">
        <v>13</v>
      </c>
      <c r="I11" s="42"/>
      <c r="J11" s="42"/>
      <c r="K11" s="42"/>
      <c r="L11" s="275">
        <v>1</v>
      </c>
      <c r="M11" s="43" t="str">
        <f>IF(F11&lt;&gt;"",IF(F11&gt;G11,E11,IF(F11&lt;G11,H11,"")),"")</f>
        <v>Turkey</v>
      </c>
      <c r="N11" s="31"/>
      <c r="O11" s="120">
        <v>1</v>
      </c>
      <c r="P11" s="234" t="str">
        <f>VLOOKUP(1,'Dummy Table'!A4:B8,2,FALSE)</f>
        <v>Turkey</v>
      </c>
      <c r="Q11" s="234"/>
      <c r="R11" s="234"/>
      <c r="S11" s="234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3</v>
      </c>
      <c r="Y11" s="45" t="s">
        <v>45</v>
      </c>
      <c r="Z11" s="44">
        <f>VLOOKUP(P11,'Dummy Table'!B4:G40,6,FALSE)</f>
        <v>1</v>
      </c>
      <c r="AA11" s="44">
        <f>X11-Z11</f>
        <v>2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20"/>
      <c r="M12" s="52" t="str">
        <f t="shared" ref="M12:M45" si="0">IF(F12&lt;&gt;"",IF(F12&gt;G12,E12,IF(F12&lt;G12,H12,"")),"")</f>
        <v/>
      </c>
      <c r="N12" s="31"/>
      <c r="O12" s="120">
        <v>2</v>
      </c>
      <c r="P12" s="235" t="str">
        <f>VLOOKUP(2,'Dummy Table'!A4:B8,2,FALSE)</f>
        <v>Italy</v>
      </c>
      <c r="Q12" s="235"/>
      <c r="R12" s="235"/>
      <c r="S12" s="235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2</v>
      </c>
      <c r="AA12" s="53">
        <f>X12-Z12</f>
        <v>3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20"/>
      <c r="M13" s="52" t="str">
        <f t="shared" si="0"/>
        <v>Denmark</v>
      </c>
      <c r="N13" s="31"/>
      <c r="O13" s="121">
        <v>3</v>
      </c>
      <c r="P13" s="236" t="str">
        <f>VLOOKUP(3,'Dummy Table'!A4:B8,2,FALSE)</f>
        <v>Switzerland</v>
      </c>
      <c r="Q13" s="236"/>
      <c r="R13" s="236"/>
      <c r="S13" s="236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2</v>
      </c>
      <c r="W13" s="54">
        <f>VLOOKUP(P13,'Dummy Table'!B4:E40,4,FALSE)</f>
        <v>1</v>
      </c>
      <c r="X13" s="54">
        <f>VLOOKUP(P13,'Dummy Table'!B4:F40,5,FALSE)</f>
        <v>1</v>
      </c>
      <c r="Y13" s="54" t="s">
        <v>45</v>
      </c>
      <c r="Z13" s="54">
        <f>VLOOKUP(P13,'Dummy Table'!B4:G40,6,FALSE)</f>
        <v>3</v>
      </c>
      <c r="AA13" s="54">
        <f>X13-Z13</f>
        <v>-2</v>
      </c>
      <c r="AB13" s="54">
        <f>U13*3+V13*1</f>
        <v>2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2</v>
      </c>
      <c r="G14" s="185">
        <v>0</v>
      </c>
      <c r="H14" s="50" t="s">
        <v>18</v>
      </c>
      <c r="I14" s="51"/>
      <c r="J14" s="51"/>
      <c r="K14" s="51"/>
      <c r="L14" s="220"/>
      <c r="M14" s="52" t="str">
        <f t="shared" si="0"/>
        <v>Belgium</v>
      </c>
      <c r="N14" s="31"/>
      <c r="O14" s="122">
        <v>4</v>
      </c>
      <c r="P14" s="218" t="str">
        <f>VLOOKUP(4,'Dummy Table'!A4:B8,2,FALSE)</f>
        <v>Wales</v>
      </c>
      <c r="Q14" s="218"/>
      <c r="R14" s="218"/>
      <c r="S14" s="218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1</v>
      </c>
      <c r="Y14" s="55" t="s">
        <v>45</v>
      </c>
      <c r="Z14" s="55">
        <f>VLOOKUP(P14,'Dummy Table'!B4:G40,6,FALSE)</f>
        <v>4</v>
      </c>
      <c r="AA14" s="55">
        <f>X14-Z14</f>
        <v>-3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1</v>
      </c>
      <c r="H15" s="50" t="s">
        <v>5</v>
      </c>
      <c r="I15" s="51"/>
      <c r="J15" s="51"/>
      <c r="K15" s="51"/>
      <c r="L15" s="220"/>
      <c r="M15" s="52" t="str">
        <f t="shared" si="0"/>
        <v>England</v>
      </c>
      <c r="N15" s="31"/>
      <c r="O15" s="214" t="s">
        <v>47</v>
      </c>
      <c r="P15" s="215"/>
      <c r="Q15" s="215"/>
      <c r="R15" s="215"/>
      <c r="S15" s="215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20"/>
      <c r="M16" s="52" t="str">
        <f t="shared" si="0"/>
        <v>Austria</v>
      </c>
      <c r="N16" s="31"/>
      <c r="O16" s="123">
        <v>1</v>
      </c>
      <c r="P16" s="251" t="str">
        <f>VLOOKUP(1,'Dummy Table'!A11:B15,2,FALSE)</f>
        <v>Belgium</v>
      </c>
      <c r="Q16" s="251"/>
      <c r="R16" s="251"/>
      <c r="S16" s="25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6</v>
      </c>
      <c r="Y16" s="57" t="s">
        <v>45</v>
      </c>
      <c r="Z16" s="56">
        <f>VLOOKUP(P16,'Dummy Table'!B4:G40,6,FALSE)</f>
        <v>1</v>
      </c>
      <c r="AA16" s="56">
        <f>X16-Z16</f>
        <v>5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0</v>
      </c>
      <c r="H17" s="50" t="s">
        <v>25</v>
      </c>
      <c r="I17" s="51"/>
      <c r="J17" s="51"/>
      <c r="K17" s="51"/>
      <c r="L17" s="220"/>
      <c r="M17" s="52" t="str">
        <f t="shared" si="0"/>
        <v>Netherlands</v>
      </c>
      <c r="N17" s="31"/>
      <c r="O17" s="123">
        <v>2</v>
      </c>
      <c r="P17" s="252" t="str">
        <f>VLOOKUP(2,'Dummy Table'!A11:B15,2,FALSE)</f>
        <v>Denmark</v>
      </c>
      <c r="Q17" s="252"/>
      <c r="R17" s="252"/>
      <c r="S17" s="25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3</v>
      </c>
      <c r="Y17" s="58" t="s">
        <v>45</v>
      </c>
      <c r="Z17" s="58">
        <f>VLOOKUP(P17,'Dummy Table'!B4:G40,6,FALSE)</f>
        <v>3</v>
      </c>
      <c r="AA17" s="58">
        <f>X17-Z17</f>
        <v>0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20"/>
      <c r="M18" s="52" t="str">
        <f t="shared" si="0"/>
        <v/>
      </c>
      <c r="N18" s="31"/>
      <c r="O18" s="124">
        <v>3</v>
      </c>
      <c r="P18" s="253" t="str">
        <f>VLOOKUP(3,'Dummy Table'!A11:B15,2,FALSE)</f>
        <v>Russia</v>
      </c>
      <c r="Q18" s="253"/>
      <c r="R18" s="253"/>
      <c r="S18" s="253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1</v>
      </c>
      <c r="W18" s="59">
        <f>VLOOKUP(P18,'Dummy Table'!B4:E40,4,FALSE)</f>
        <v>1</v>
      </c>
      <c r="X18" s="59">
        <f>VLOOKUP(P18,'Dummy Table'!B4:F40,5,FALSE)</f>
        <v>2</v>
      </c>
      <c r="Y18" s="59" t="s">
        <v>45</v>
      </c>
      <c r="Z18" s="59">
        <f>VLOOKUP(P18,'Dummy Table'!B4:G40,6,FALSE)</f>
        <v>3</v>
      </c>
      <c r="AA18" s="59">
        <f>X18-Z18</f>
        <v>-1</v>
      </c>
      <c r="AB18" s="59">
        <f>U18*3+V18*1</f>
        <v>4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20"/>
      <c r="M19" s="52" t="str">
        <f t="shared" si="0"/>
        <v>Poland</v>
      </c>
      <c r="N19" s="31"/>
      <c r="O19" s="122">
        <v>4</v>
      </c>
      <c r="P19" s="218" t="str">
        <f>VLOOKUP(4,'Dummy Table'!A11:B15,2,FALSE)</f>
        <v>Finland</v>
      </c>
      <c r="Q19" s="218"/>
      <c r="R19" s="218"/>
      <c r="S19" s="218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1</v>
      </c>
      <c r="Y19" s="55" t="s">
        <v>45</v>
      </c>
      <c r="Z19" s="55">
        <f>VLOOKUP(P19,'Dummy Table'!B4:G40,6,FALSE)</f>
        <v>5</v>
      </c>
      <c r="AA19" s="55">
        <f>X19-Z19</f>
        <v>-4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20"/>
      <c r="M20" s="52" t="str">
        <f t="shared" si="0"/>
        <v>Spain</v>
      </c>
      <c r="N20" s="31"/>
      <c r="O20" s="214" t="s">
        <v>50</v>
      </c>
      <c r="P20" s="215"/>
      <c r="Q20" s="215"/>
      <c r="R20" s="215"/>
      <c r="S20" s="215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2</v>
      </c>
      <c r="H21" s="50" t="s">
        <v>17</v>
      </c>
      <c r="I21" s="51"/>
      <c r="J21" s="51"/>
      <c r="K21" s="51"/>
      <c r="L21" s="220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1</v>
      </c>
      <c r="AA21" s="60">
        <f>X21-Z21</f>
        <v>4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0</v>
      </c>
      <c r="H22" s="66" t="s">
        <v>11</v>
      </c>
      <c r="I22" s="67"/>
      <c r="J22" s="67"/>
      <c r="K22" s="68"/>
      <c r="L22" s="221"/>
      <c r="M22" s="69" t="str">
        <f t="shared" si="0"/>
        <v>France</v>
      </c>
      <c r="N22" s="31"/>
      <c r="O22" s="125">
        <v>2</v>
      </c>
      <c r="P22" s="237" t="str">
        <f>VLOOKUP(2,'Dummy Table'!A18:B22,2,FALSE)</f>
        <v>Austria</v>
      </c>
      <c r="Q22" s="237"/>
      <c r="R22" s="237"/>
      <c r="S22" s="237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1</v>
      </c>
      <c r="W22" s="70">
        <f>VLOOKUP(P22,'Dummy Table'!B4:E40,4,FALSE)</f>
        <v>1</v>
      </c>
      <c r="X22" s="70">
        <f>VLOOKUP(P22,'Dummy Table'!B4:F40,5,FALSE)</f>
        <v>2</v>
      </c>
      <c r="Y22" s="70" t="s">
        <v>45</v>
      </c>
      <c r="Z22" s="70">
        <f>VLOOKUP(P22,'Dummy Table'!B4:G40,6,FALSE)</f>
        <v>2</v>
      </c>
      <c r="AA22" s="70">
        <f>X22-Z22</f>
        <v>0</v>
      </c>
      <c r="AB22" s="70">
        <f>U22*3+V22*1</f>
        <v>4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1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Ukraine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1</v>
      </c>
      <c r="W23" s="78">
        <f>VLOOKUP(P23,'Dummy Table'!B4:E40,4,FALSE)</f>
        <v>1</v>
      </c>
      <c r="X23" s="78">
        <f>VLOOKUP(P23,'Dummy Table'!B4:F40,5,FALSE)</f>
        <v>2</v>
      </c>
      <c r="Y23" s="78" t="s">
        <v>45</v>
      </c>
      <c r="Z23" s="78">
        <f>VLOOKUP(P23,'Dummy Table'!B4:G40,6,FALSE)</f>
        <v>3</v>
      </c>
      <c r="AA23" s="78">
        <f>X23-Z23</f>
        <v>-1</v>
      </c>
      <c r="AB23" s="78">
        <f>U23*3+V23*1</f>
        <v>4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0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18" t="str">
        <f>VLOOKUP(4,'Dummy Table'!A18:B22,2,FALSE)</f>
        <v>North Macedonia</v>
      </c>
      <c r="Q24" s="218"/>
      <c r="R24" s="218"/>
      <c r="S24" s="218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4</v>
      </c>
      <c r="AA24" s="55">
        <f>X24-Z24</f>
        <v>-3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14" t="s">
        <v>51</v>
      </c>
      <c r="P25" s="215"/>
      <c r="Q25" s="215"/>
      <c r="R25" s="215"/>
      <c r="S25" s="215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33" t="str">
        <f>VLOOKUP(1,'Dummy Table'!A25:B29,2,FALSE)</f>
        <v>England</v>
      </c>
      <c r="Q26" s="233"/>
      <c r="R26" s="233"/>
      <c r="S26" s="233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7</v>
      </c>
      <c r="Y26" s="87" t="s">
        <v>45</v>
      </c>
      <c r="Z26" s="86">
        <f>VLOOKUP(P26,'Dummy Table'!B4:G40,6,FALSE)</f>
        <v>2</v>
      </c>
      <c r="AA26" s="86">
        <f>X26-Z26</f>
        <v>5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31" t="str">
        <f>VLOOKUP(2,'Dummy Table'!A25:B29,2,FALSE)</f>
        <v>Croatia</v>
      </c>
      <c r="Q27" s="231"/>
      <c r="R27" s="231"/>
      <c r="S27" s="231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6</v>
      </c>
      <c r="Y27" s="88" t="s">
        <v>45</v>
      </c>
      <c r="Z27" s="88">
        <f>VLOOKUP(P27,'Dummy Table'!B4:G40,6,FALSE)</f>
        <v>2</v>
      </c>
      <c r="AA27" s="88">
        <f>X27-Z27</f>
        <v>4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32" t="str">
        <f>VLOOKUP(3,'Dummy Table'!A25:B29,2,FALSE)</f>
        <v>Czech Republic</v>
      </c>
      <c r="Q28" s="232"/>
      <c r="R28" s="232"/>
      <c r="S28" s="232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5</v>
      </c>
      <c r="AA28" s="89">
        <f>X28-Z28</f>
        <v>-3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1</v>
      </c>
      <c r="H29" s="83" t="s">
        <v>20</v>
      </c>
      <c r="I29" s="84"/>
      <c r="J29" s="84"/>
      <c r="K29" s="84"/>
      <c r="L29" s="255"/>
      <c r="M29" s="85" t="str">
        <f t="shared" si="0"/>
        <v/>
      </c>
      <c r="N29" s="31"/>
      <c r="O29" s="122">
        <v>4</v>
      </c>
      <c r="P29" s="218" t="str">
        <f>VLOOKUP(4,'Dummy Table'!A25:B29,2,FALSE)</f>
        <v>Scotland</v>
      </c>
      <c r="Q29" s="218"/>
      <c r="R29" s="218"/>
      <c r="S29" s="218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7</v>
      </c>
      <c r="AA29" s="55">
        <f>X29-Z29</f>
        <v>-6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14" t="s">
        <v>52</v>
      </c>
      <c r="P30" s="215"/>
      <c r="Q30" s="215"/>
      <c r="R30" s="215"/>
      <c r="S30" s="215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16" t="str">
        <f>VLOOKUP(1,'Dummy Table'!A31:B35,2,FALSE)</f>
        <v>Spain</v>
      </c>
      <c r="Q31" s="216"/>
      <c r="R31" s="216"/>
      <c r="S31" s="21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1</v>
      </c>
      <c r="AA31" s="90">
        <f>X31-Z31</f>
        <v>5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2</v>
      </c>
      <c r="Y32" s="92" t="s">
        <v>45</v>
      </c>
      <c r="Z32" s="92">
        <f>VLOOKUP(P32,'Dummy Table'!B4:G40,6,FALSE)</f>
        <v>2</v>
      </c>
      <c r="AA32" s="92">
        <f>X32-Z32</f>
        <v>0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1</v>
      </c>
      <c r="H33" s="83" t="s">
        <v>11</v>
      </c>
      <c r="I33" s="84"/>
      <c r="J33" s="84"/>
      <c r="K33" s="84"/>
      <c r="L33" s="255"/>
      <c r="M33" s="85" t="str">
        <f t="shared" si="0"/>
        <v/>
      </c>
      <c r="N33" s="31"/>
      <c r="O33" s="130">
        <v>3</v>
      </c>
      <c r="P33" s="217" t="str">
        <f>VLOOKUP(3,'Dummy Table'!A31:B35,2,FALSE)</f>
        <v>Sweden</v>
      </c>
      <c r="Q33" s="217"/>
      <c r="R33" s="217"/>
      <c r="S33" s="217"/>
      <c r="T33" s="93">
        <f t="shared" si="5"/>
        <v>3</v>
      </c>
      <c r="U33" s="93">
        <f>VLOOKUP(P33,'Dummy Table'!B4:C40,2,FALSE)</f>
        <v>0</v>
      </c>
      <c r="V33" s="93">
        <f>VLOOKUP(P33,'Dummy Table'!B4:D40,3,FALSE)</f>
        <v>2</v>
      </c>
      <c r="W33" s="93">
        <f>VLOOKUP(P33,'Dummy Table'!B4:E40,4,FALSE)</f>
        <v>1</v>
      </c>
      <c r="X33" s="93">
        <f>VLOOKUP(P33,'Dummy Table'!B4:F40,5,FALSE)</f>
        <v>1</v>
      </c>
      <c r="Y33" s="93" t="s">
        <v>45</v>
      </c>
      <c r="Z33" s="93">
        <f>VLOOKUP(P33,'Dummy Table'!B4:G40,6,FALSE)</f>
        <v>3</v>
      </c>
      <c r="AA33" s="93">
        <f>X33-Z33</f>
        <v>-2</v>
      </c>
      <c r="AB33" s="93">
        <f>U33*3+V33*1</f>
        <v>2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1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18" t="str">
        <f>VLOOKUP(4,'Dummy Table'!A31:B35,2,FALSE)</f>
        <v>Slovakia</v>
      </c>
      <c r="Q34" s="218"/>
      <c r="R34" s="218"/>
      <c r="S34" s="218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1</v>
      </c>
      <c r="Y34" s="55" t="s">
        <v>45</v>
      </c>
      <c r="Z34" s="55">
        <f>VLOOKUP(P34,'Dummy Table'!B4:G40,6,FALSE)</f>
        <v>4</v>
      </c>
      <c r="AA34" s="55">
        <f>X34-Z34</f>
        <v>-3</v>
      </c>
      <c r="AB34" s="55">
        <f>U34*3+V34*1</f>
        <v>1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0</v>
      </c>
      <c r="G35" s="210">
        <v>0</v>
      </c>
      <c r="H35" s="211" t="s">
        <v>24</v>
      </c>
      <c r="I35" s="212"/>
      <c r="J35" s="212"/>
      <c r="K35" s="212"/>
      <c r="L35" s="219">
        <v>3</v>
      </c>
      <c r="M35" s="102" t="str">
        <f t="shared" si="0"/>
        <v/>
      </c>
      <c r="N35" s="31"/>
      <c r="O35" s="214" t="s">
        <v>53</v>
      </c>
      <c r="P35" s="215"/>
      <c r="Q35" s="215"/>
      <c r="R35" s="215"/>
      <c r="S35" s="215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0</v>
      </c>
      <c r="H36" s="50" t="s">
        <v>26</v>
      </c>
      <c r="I36" s="51"/>
      <c r="J36" s="51"/>
      <c r="K36" s="51"/>
      <c r="L36" s="220"/>
      <c r="M36" s="52" t="str">
        <f t="shared" si="0"/>
        <v>Italy</v>
      </c>
      <c r="N36" s="31"/>
      <c r="O36" s="131">
        <v>1</v>
      </c>
      <c r="P36" s="222" t="str">
        <f>VLOOKUP(1,'Dummy Table'!A37:B41,2,FALSE)</f>
        <v>France</v>
      </c>
      <c r="Q36" s="222"/>
      <c r="R36" s="222"/>
      <c r="S36" s="222"/>
      <c r="T36" s="103">
        <f>SUM(U36:W36)</f>
        <v>3</v>
      </c>
      <c r="U36" s="103">
        <f>VLOOKUP(P36,'Dummy Table'!B4:C40,2,FALSE)</f>
        <v>3</v>
      </c>
      <c r="V36" s="103">
        <f>VLOOKUP(P36,'Dummy Table'!B4:D40,3,FALSE)</f>
        <v>0</v>
      </c>
      <c r="W36" s="103">
        <f>VLOOKUP(P36,'Dummy Table'!B4:E40,4,FALSE)</f>
        <v>0</v>
      </c>
      <c r="X36" s="103">
        <f>VLOOKUP(P36,'Dummy Table'!B4:F40,5,FALSE)</f>
        <v>8</v>
      </c>
      <c r="Y36" s="104" t="s">
        <v>45</v>
      </c>
      <c r="Z36" s="103">
        <f>VLOOKUP(P36,'Dummy Table'!B4:G40,6,FALSE)</f>
        <v>1</v>
      </c>
      <c r="AA36" s="103">
        <f>X36-Z36</f>
        <v>7</v>
      </c>
      <c r="AB36" s="103">
        <f>U36*3+V36*1</f>
        <v>9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2</v>
      </c>
      <c r="H37" s="50" t="s">
        <v>14</v>
      </c>
      <c r="I37" s="51"/>
      <c r="J37" s="51"/>
      <c r="K37" s="51"/>
      <c r="L37" s="220"/>
      <c r="M37" s="52" t="str">
        <f t="shared" si="0"/>
        <v>Netherlands</v>
      </c>
      <c r="N37" s="31"/>
      <c r="O37" s="131">
        <v>2</v>
      </c>
      <c r="P37" s="229" t="str">
        <f>VLOOKUP(2,'Dummy Table'!A37:B41,2,FALSE)</f>
        <v>Portugal</v>
      </c>
      <c r="Q37" s="229"/>
      <c r="R37" s="229"/>
      <c r="S37" s="229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4</v>
      </c>
      <c r="Y37" s="105" t="s">
        <v>45</v>
      </c>
      <c r="Z37" s="105">
        <f>VLOOKUP(P37,'Dummy Table'!B4:G40,6,FALSE)</f>
        <v>4</v>
      </c>
      <c r="AA37" s="105">
        <f>X37-Z37</f>
        <v>0</v>
      </c>
      <c r="AB37" s="105">
        <f>U37*3+V37*1</f>
        <v>4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1</v>
      </c>
      <c r="H38" s="50" t="s">
        <v>2</v>
      </c>
      <c r="I38" s="51"/>
      <c r="J38" s="51"/>
      <c r="K38" s="51"/>
      <c r="L38" s="220"/>
      <c r="M38" s="52" t="str">
        <f t="shared" si="0"/>
        <v/>
      </c>
      <c r="N38" s="31"/>
      <c r="O38" s="132">
        <v>3</v>
      </c>
      <c r="P38" s="230" t="str">
        <f>VLOOKUP(3,'Dummy Table'!A37:B41,2,FALSE)</f>
        <v>Germany</v>
      </c>
      <c r="Q38" s="230"/>
      <c r="R38" s="230"/>
      <c r="S38" s="230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3</v>
      </c>
      <c r="Y38" s="106" t="s">
        <v>45</v>
      </c>
      <c r="Z38" s="106">
        <f>VLOOKUP(P38,'Dummy Table'!B4:G40,6,FALSE)</f>
        <v>3</v>
      </c>
      <c r="AA38" s="106">
        <f>X38-Z38</f>
        <v>0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1</v>
      </c>
      <c r="H39" s="50" t="s">
        <v>7</v>
      </c>
      <c r="I39" s="51"/>
      <c r="J39" s="51"/>
      <c r="K39" s="51"/>
      <c r="L39" s="220"/>
      <c r="M39" s="52" t="str">
        <f t="shared" si="0"/>
        <v/>
      </c>
      <c r="N39" s="31"/>
      <c r="O39" s="122">
        <v>4</v>
      </c>
      <c r="P39" s="218" t="str">
        <f>VLOOKUP(4,'Dummy Table'!A37:B41,2,FALSE)</f>
        <v>Hungary</v>
      </c>
      <c r="Q39" s="218"/>
      <c r="R39" s="218"/>
      <c r="S39" s="218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8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1</v>
      </c>
      <c r="G40" s="185">
        <v>2</v>
      </c>
      <c r="H40" s="50" t="s">
        <v>4</v>
      </c>
      <c r="I40" s="51"/>
      <c r="J40" s="51"/>
      <c r="K40" s="51"/>
      <c r="L40" s="220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3</v>
      </c>
      <c r="G41" s="185">
        <v>0</v>
      </c>
      <c r="H41" s="50" t="s">
        <v>19</v>
      </c>
      <c r="I41" s="51"/>
      <c r="J41" s="51"/>
      <c r="K41" s="51"/>
      <c r="L41" s="220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2</v>
      </c>
      <c r="H42" s="50" t="s">
        <v>8</v>
      </c>
      <c r="I42" s="51"/>
      <c r="J42" s="51"/>
      <c r="K42" s="51"/>
      <c r="L42" s="220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0</v>
      </c>
      <c r="G43" s="185">
        <v>0</v>
      </c>
      <c r="H43" s="50" t="s">
        <v>16</v>
      </c>
      <c r="I43" s="51"/>
      <c r="J43" s="51"/>
      <c r="K43" s="51"/>
      <c r="L43" s="220"/>
      <c r="M43" s="52" t="str">
        <f t="shared" si="0"/>
        <v/>
      </c>
      <c r="N43" s="31"/>
      <c r="O43" s="139">
        <v>1</v>
      </c>
      <c r="P43" s="223" t="str">
        <f>INDEX('Dummy Table'!DH3:DH8,MATCH(Matches!O43,'Dummy Table'!DU3:DU8,0),0)</f>
        <v>Germany</v>
      </c>
      <c r="Q43" s="223"/>
      <c r="R43" s="223"/>
      <c r="S43" s="223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3</v>
      </c>
      <c r="Y43" s="111" t="s">
        <v>45</v>
      </c>
      <c r="Z43" s="111">
        <f>VLOOKUP(P43,P11:AB39,11,FALSE)</f>
        <v>3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20"/>
      <c r="M44" s="52" t="str">
        <f t="shared" si="0"/>
        <v>Spain</v>
      </c>
      <c r="N44" s="31"/>
      <c r="O44" s="139">
        <v>2</v>
      </c>
      <c r="P44" s="223" t="str">
        <f>INDEX('Dummy Table'!DH3:DH8,MATCH(Matches!O44,'Dummy Table'!DU3:DU8,0),0)</f>
        <v>Ukraine</v>
      </c>
      <c r="Q44" s="223"/>
      <c r="R44" s="223"/>
      <c r="S44" s="223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2</v>
      </c>
      <c r="Y44" s="111" t="s">
        <v>45</v>
      </c>
      <c r="Z44" s="111">
        <f>VLOOKUP(P44,P11:AB39,11,FALSE)</f>
        <v>3</v>
      </c>
      <c r="AA44" s="111">
        <f>VLOOKUP(P44,P11:AB39,12,FALSE)</f>
        <v>-1</v>
      </c>
      <c r="AB44" s="111">
        <f>VLOOKUP(P44,P11:AB39,13,FALSE)</f>
        <v>4</v>
      </c>
      <c r="AC44" s="140" t="str">
        <f>INDEX('Dummy Table'!DV3:DV8,MATCH(Matches!O44,'Dummy Table'!DU3:DU8,0),0)</f>
        <v>C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20"/>
      <c r="M45" s="52" t="str">
        <f t="shared" si="0"/>
        <v>France</v>
      </c>
      <c r="N45" s="31"/>
      <c r="O45" s="139">
        <v>3</v>
      </c>
      <c r="P45" s="223" t="str">
        <f>INDEX('Dummy Table'!DH3:DH8,MATCH(Matches!O45,'Dummy Table'!DU3:DU8,0),0)</f>
        <v>Russia</v>
      </c>
      <c r="Q45" s="223"/>
      <c r="R45" s="223"/>
      <c r="S45" s="223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2</v>
      </c>
      <c r="Y45" s="111" t="s">
        <v>45</v>
      </c>
      <c r="Z45" s="111">
        <f>VLOOKUP(P45,P11:AB39,11,FALSE)</f>
        <v>3</v>
      </c>
      <c r="AA45" s="111">
        <f>VLOOKUP(P45,P11:AB39,12,FALSE)</f>
        <v>-1</v>
      </c>
      <c r="AB45" s="111">
        <f>VLOOKUP(P45,P11:AB39,13,FALSE)</f>
        <v>4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21"/>
      <c r="M46" s="69" t="str">
        <f>IF(F46&lt;&gt;"",IF(F46&gt;G46,E46,IF(F46&lt;G46,H46,"")),"")</f>
        <v>Germany</v>
      </c>
      <c r="N46" s="31"/>
      <c r="O46" s="139">
        <v>4</v>
      </c>
      <c r="P46" s="223" t="str">
        <f>INDEX('Dummy Table'!DH3:DH8,MATCH(Matches!O46,'Dummy Table'!DU3:DU8,0),0)</f>
        <v>Switzerland</v>
      </c>
      <c r="Q46" s="223"/>
      <c r="R46" s="223"/>
      <c r="S46" s="223"/>
      <c r="T46" s="111">
        <f>VLOOKUP(P46,P11:AB39,5,FALSE)</f>
        <v>3</v>
      </c>
      <c r="U46" s="111">
        <f>VLOOKUP(P46,P11:AB39,6,FALSE)</f>
        <v>0</v>
      </c>
      <c r="V46" s="111">
        <f>VLOOKUP(P46,P11:AB39,7,FALSE)</f>
        <v>2</v>
      </c>
      <c r="W46" s="111">
        <f>VLOOKUP(P46,P11:AB39,8,FALSE)</f>
        <v>1</v>
      </c>
      <c r="X46" s="111">
        <f>VLOOKUP(P46,P11:AB39,9,FALSE)</f>
        <v>1</v>
      </c>
      <c r="Y46" s="111" t="s">
        <v>45</v>
      </c>
      <c r="Z46" s="111">
        <f>VLOOKUP(P46,P11:AB39,11,FALSE)</f>
        <v>3</v>
      </c>
      <c r="AA46" s="111">
        <f>VLOOKUP(P46,P11:AB39,12,FALSE)</f>
        <v>-2</v>
      </c>
      <c r="AB46" s="111">
        <f>VLOOKUP(P46,P11:AB39,13,FALSE)</f>
        <v>2</v>
      </c>
      <c r="AC46" s="140" t="str">
        <f>INDEX('Dummy Table'!DV3:DV8,MATCH(Matches!O46,'Dummy Table'!DU3:DU8,0),0)</f>
        <v>A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24" t="str">
        <f>INDEX('Dummy Table'!DH3:DH8,MATCH(Matches!O47,'Dummy Table'!DU3:DU8,0),0)</f>
        <v>Sweden</v>
      </c>
      <c r="Q47" s="224"/>
      <c r="R47" s="224"/>
      <c r="S47" s="224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1</v>
      </c>
      <c r="Y47" s="112" t="s">
        <v>45</v>
      </c>
      <c r="Z47" s="112">
        <f>VLOOKUP(P47,P11:AB39,11,FALSE)</f>
        <v>3</v>
      </c>
      <c r="AA47" s="112">
        <f>VLOOKUP(P47,P11:AB39,12,FALSE)</f>
        <v>-2</v>
      </c>
      <c r="AB47" s="112">
        <f>VLOOKUP(P47,P11:AB39,13,FALSE)</f>
        <v>2</v>
      </c>
      <c r="AC47" s="142" t="str">
        <f>INDEX('Dummy Table'!DV3:DV8,MATCH(Matches!O47,'Dummy Table'!DU3:DU8,0),0)</f>
        <v>E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65" t="s">
        <v>134</v>
      </c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7"/>
      <c r="N48" s="31"/>
      <c r="O48" s="143">
        <v>6</v>
      </c>
      <c r="P48" s="225" t="str">
        <f>INDEX('Dummy Table'!DH3:DH8,MATCH(Matches!O48,'Dummy Table'!DU3:DU8,0),0)</f>
        <v>Czech Republic</v>
      </c>
      <c r="Q48" s="225"/>
      <c r="R48" s="225"/>
      <c r="S48" s="225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5</v>
      </c>
      <c r="AA48" s="144">
        <f>VLOOKUP(P48,P11:AB39,12,FALSE)</f>
        <v>-3</v>
      </c>
      <c r="AB48" s="144">
        <f>VLOOKUP(P48,P11:AB39,13,FALSE)</f>
        <v>1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68" t="s">
        <v>10</v>
      </c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70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71" t="s">
        <v>11</v>
      </c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3"/>
      <c r="N50" s="31"/>
      <c r="O50" s="226" t="s">
        <v>122</v>
      </c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8"/>
      <c r="AE50" s="17"/>
      <c r="AF50" s="17"/>
      <c r="AG50" s="17"/>
      <c r="AH50" s="16"/>
      <c r="AI50" s="17"/>
      <c r="AJ50" s="17"/>
    </row>
    <row r="51" spans="1:96" ht="15" customHeight="1" x14ac:dyDescent="0.2">
      <c r="B51" s="271" t="s">
        <v>13</v>
      </c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3"/>
      <c r="N51" s="31"/>
      <c r="O51" s="248" t="s">
        <v>123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  <c r="AA51" s="249"/>
      <c r="AB51" s="249"/>
      <c r="AC51" s="249"/>
      <c r="AD51" s="250"/>
    </row>
    <row r="52" spans="1:96" ht="15" customHeight="1" thickBot="1" x14ac:dyDescent="0.25">
      <c r="B52" s="260" t="s">
        <v>8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2"/>
      <c r="N52" s="21"/>
      <c r="O52" s="248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  <c r="AA52" s="249"/>
      <c r="AB52" s="249"/>
      <c r="AC52" s="249"/>
      <c r="AD52" s="250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65" t="s">
        <v>135</v>
      </c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7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68" t="s">
        <v>10</v>
      </c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70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60" t="s">
        <v>8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2"/>
      <c r="N56" s="21"/>
      <c r="O56" s="248" t="s">
        <v>118</v>
      </c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50"/>
    </row>
    <row r="57" spans="1:96" ht="15" customHeight="1" thickBot="1" x14ac:dyDescent="0.25">
      <c r="N57" s="21"/>
      <c r="O57" s="248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50"/>
    </row>
    <row r="58" spans="1:96" ht="15" customHeight="1" x14ac:dyDescent="0.2">
      <c r="B58" s="287" t="s">
        <v>114</v>
      </c>
      <c r="C58" s="288"/>
      <c r="D58" s="288"/>
      <c r="E58" s="288"/>
      <c r="F58" s="288"/>
      <c r="G58" s="288"/>
      <c r="H58" s="288"/>
      <c r="I58" s="288"/>
      <c r="J58" s="288"/>
      <c r="K58" s="288"/>
      <c r="L58" s="288"/>
      <c r="M58" s="289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85" t="s">
        <v>10</v>
      </c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82" t="s">
        <v>113</v>
      </c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4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5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76" t="s">
        <v>136</v>
      </c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  <c r="AA63" s="277"/>
      <c r="AB63" s="277"/>
      <c r="AC63" s="277"/>
      <c r="AD63" s="278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79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1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B52:M52"/>
    <mergeCell ref="B55:M55"/>
    <mergeCell ref="O63:AD64"/>
    <mergeCell ref="B61:M61"/>
    <mergeCell ref="B59:M59"/>
    <mergeCell ref="B54:M54"/>
    <mergeCell ref="B58:M58"/>
    <mergeCell ref="B48:M48"/>
    <mergeCell ref="B49:M49"/>
    <mergeCell ref="B50:M50"/>
    <mergeCell ref="B51:M51"/>
    <mergeCell ref="I3:N4"/>
    <mergeCell ref="L11:L22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U2:AC2"/>
    <mergeCell ref="U3:AC3"/>
    <mergeCell ref="U4:AC4"/>
    <mergeCell ref="F9:G9"/>
    <mergeCell ref="O10:S10"/>
    <mergeCell ref="P11:S11"/>
    <mergeCell ref="P12:S12"/>
    <mergeCell ref="P13:S13"/>
    <mergeCell ref="P14:S14"/>
    <mergeCell ref="P22:S22"/>
    <mergeCell ref="P27:S27"/>
    <mergeCell ref="P28:S28"/>
    <mergeCell ref="P29:S29"/>
    <mergeCell ref="O25:S25"/>
    <mergeCell ref="P26:S26"/>
    <mergeCell ref="P47:S47"/>
    <mergeCell ref="P48:S48"/>
    <mergeCell ref="O50:AD50"/>
    <mergeCell ref="P37:S37"/>
    <mergeCell ref="P38:S38"/>
    <mergeCell ref="P39:S39"/>
    <mergeCell ref="P43:S43"/>
    <mergeCell ref="P44:S44"/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Ed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2-1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2-0</v>
      </c>
    </row>
    <row r="7" spans="1:1" x14ac:dyDescent="0.2">
      <c r="A7" s="190" t="str">
        <f>TEXT(Matches!F15,"#0")&amp;"-"&amp;TEXT(Matches!G15,"#0")</f>
        <v>2-1</v>
      </c>
    </row>
    <row r="8" spans="1:1" x14ac:dyDescent="0.2">
      <c r="A8" s="190" t="str">
        <f>TEXT(Matches!F16,"#0")&amp;"-"&amp;TEXT(Matches!G16,"#0")</f>
        <v>1-0</v>
      </c>
    </row>
    <row r="9" spans="1:1" x14ac:dyDescent="0.2">
      <c r="A9" s="190" t="str">
        <f>TEXT(Matches!F17,"#0")&amp;"-"&amp;TEXT(Matches!G17,"#0")</f>
        <v>2-0</v>
      </c>
    </row>
    <row r="10" spans="1:1" x14ac:dyDescent="0.2">
      <c r="A10" s="190" t="str">
        <f>TEXT(Matches!F18,"#0")&amp;"-"&amp;TEXT(Matches!G18,"#0")</f>
        <v>1-1</v>
      </c>
    </row>
    <row r="11" spans="1:1" x14ac:dyDescent="0.2">
      <c r="A11" s="190" t="str">
        <f>TEXT(Matches!F19,"#0")&amp;"-"&amp;TEXT(Matches!G19,"#0")</f>
        <v>1-0</v>
      </c>
    </row>
    <row r="12" spans="1:1" x14ac:dyDescent="0.2">
      <c r="A12" s="190" t="str">
        <f>TEXT(Matches!F20,"#0")&amp;"-"&amp;TEXT(Matches!G20,"#0")</f>
        <v>2-0</v>
      </c>
    </row>
    <row r="13" spans="1:1" x14ac:dyDescent="0.2">
      <c r="A13" s="190" t="str">
        <f>TEXT(Matches!F21,"#0")&amp;"-"&amp;TEXT(Matches!G21,"#0")</f>
        <v>1-2</v>
      </c>
    </row>
    <row r="14" spans="1:1" x14ac:dyDescent="0.2">
      <c r="A14" s="190" t="str">
        <f>TEXT(Matches!F22,"#0")&amp;"-"&amp;TEXT(Matches!G22,"#0")</f>
        <v>2-0</v>
      </c>
    </row>
    <row r="15" spans="1:1" x14ac:dyDescent="0.2">
      <c r="A15" s="190" t="str">
        <f>TEXT(Matches!F23,"#0")&amp;"-"&amp;TEXT(Matches!G23,"#0")</f>
        <v>0-1</v>
      </c>
    </row>
    <row r="16" spans="1:1" x14ac:dyDescent="0.2">
      <c r="A16" s="190" t="str">
        <f>TEXT(Matches!F24,"#0")&amp;"-"&amp;TEXT(Matches!G24,"#0")</f>
        <v>1-0</v>
      </c>
    </row>
    <row r="17" spans="1:1" x14ac:dyDescent="0.2">
      <c r="A17" s="190" t="str">
        <f>TEXT(Matches!F25,"#0")&amp;"-"&amp;TEXT(Matches!G25,"#0")</f>
        <v>2-0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0-2</v>
      </c>
    </row>
    <row r="20" spans="1:1" x14ac:dyDescent="0.2">
      <c r="A20" s="190" t="str">
        <f>TEXT(Matches!F28,"#0")&amp;"-"&amp;TEXT(Matches!G28,"#0")</f>
        <v>1-0</v>
      </c>
    </row>
    <row r="21" spans="1:1" x14ac:dyDescent="0.2">
      <c r="A21" s="190" t="str">
        <f>TEXT(Matches!F29,"#0")&amp;"-"&amp;TEXT(Matches!G29,"#0")</f>
        <v>1-1</v>
      </c>
    </row>
    <row r="22" spans="1:1" x14ac:dyDescent="0.2">
      <c r="A22" s="190" t="str">
        <f>TEXT(Matches!F30,"#0")&amp;"-"&amp;TEXT(Matches!G30,"#0")</f>
        <v>2-0</v>
      </c>
    </row>
    <row r="23" spans="1:1" x14ac:dyDescent="0.2">
      <c r="A23" s="190" t="str">
        <f>TEXT(Matches!F31,"#0")&amp;"-"&amp;TEXT(Matches!G31,"#0")</f>
        <v>3-0</v>
      </c>
    </row>
    <row r="24" spans="1:1" x14ac:dyDescent="0.2">
      <c r="A24" s="190" t="str">
        <f>TEXT(Matches!F32,"#0")&amp;"-"&amp;TEXT(Matches!G32,"#0")</f>
        <v>0-4</v>
      </c>
    </row>
    <row r="25" spans="1:1" x14ac:dyDescent="0.2">
      <c r="A25" s="190" t="str">
        <f>TEXT(Matches!F33,"#0")&amp;"-"&amp;TEXT(Matches!G33,"#0")</f>
        <v>1-1</v>
      </c>
    </row>
    <row r="26" spans="1:1" x14ac:dyDescent="0.2">
      <c r="A26" s="190" t="str">
        <f>TEXT(Matches!F34,"#0")&amp;"-"&amp;TEXT(Matches!G34,"#0")</f>
        <v>2-1</v>
      </c>
    </row>
    <row r="27" spans="1:1" x14ac:dyDescent="0.2">
      <c r="A27" s="190" t="str">
        <f>TEXT(Matches!F35,"#0")&amp;"-"&amp;TEXT(Matches!G35,"#0")</f>
        <v>0-0</v>
      </c>
    </row>
    <row r="28" spans="1:1" x14ac:dyDescent="0.2">
      <c r="A28" s="190" t="str">
        <f>TEXT(Matches!F36,"#0")&amp;"-"&amp;TEXT(Matches!G36,"#0")</f>
        <v>2-0</v>
      </c>
    </row>
    <row r="29" spans="1:1" x14ac:dyDescent="0.2">
      <c r="A29" s="190" t="str">
        <f>TEXT(Matches!F37,"#0")&amp;"-"&amp;TEXT(Matches!G37,"#0")</f>
        <v>1-2</v>
      </c>
    </row>
    <row r="30" spans="1:1" x14ac:dyDescent="0.2">
      <c r="A30" s="190" t="str">
        <f>TEXT(Matches!F38,"#0")&amp;"-"&amp;TEXT(Matches!G38,"#0")</f>
        <v>1-1</v>
      </c>
    </row>
    <row r="31" spans="1:1" x14ac:dyDescent="0.2">
      <c r="A31" s="190" t="str">
        <f>TEXT(Matches!F39,"#0")&amp;"-"&amp;TEXT(Matches!G39,"#0")</f>
        <v>1-1</v>
      </c>
    </row>
    <row r="32" spans="1:1" x14ac:dyDescent="0.2">
      <c r="A32" s="190" t="str">
        <f>TEXT(Matches!F40,"#0")&amp;"-"&amp;TEXT(Matches!G40,"#0")</f>
        <v>1-2</v>
      </c>
    </row>
    <row r="33" spans="1:1" x14ac:dyDescent="0.2">
      <c r="A33" s="190" t="str">
        <f>TEXT(Matches!F41,"#0")&amp;"-"&amp;TEXT(Matches!G41,"#0")</f>
        <v>3-0</v>
      </c>
    </row>
    <row r="34" spans="1:1" x14ac:dyDescent="0.2">
      <c r="A34" s="190" t="str">
        <f>TEXT(Matches!F42,"#0")&amp;"-"&amp;TEXT(Matches!G42,"#0")</f>
        <v>1-2</v>
      </c>
    </row>
    <row r="35" spans="1:1" x14ac:dyDescent="0.2">
      <c r="A35" s="190" t="str">
        <f>TEXT(Matches!F43,"#0")&amp;"-"&amp;TEXT(Matches!G43,"#0")</f>
        <v>0-0</v>
      </c>
    </row>
    <row r="36" spans="1:1" x14ac:dyDescent="0.2">
      <c r="A36" s="190" t="str">
        <f>TEXT(Matches!F44,"#0")&amp;"-"&amp;TEXT(Matches!G44,"#0")</f>
        <v>0-2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2-0</v>
      </c>
    </row>
    <row r="39" spans="1:1" x14ac:dyDescent="0.2">
      <c r="A39" s="191" t="s">
        <v>137</v>
      </c>
    </row>
    <row r="40" spans="1:1" x14ac:dyDescent="0.2">
      <c r="A40" s="190" t="str">
        <f>Matches!P11</f>
        <v>Turkey</v>
      </c>
    </row>
    <row r="41" spans="1:1" x14ac:dyDescent="0.2">
      <c r="A41" s="190" t="str">
        <f>Matches!P12</f>
        <v>Italy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Austria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Portugal</v>
      </c>
    </row>
    <row r="52" spans="1:1" x14ac:dyDescent="0.2">
      <c r="A52" s="190" t="str">
        <f>Matches!P43</f>
        <v>Germany</v>
      </c>
    </row>
    <row r="53" spans="1:1" x14ac:dyDescent="0.2">
      <c r="A53" s="190" t="str">
        <f>Matches!P44</f>
        <v>Ukraine</v>
      </c>
    </row>
    <row r="54" spans="1:1" x14ac:dyDescent="0.2">
      <c r="A54" s="190" t="str">
        <f>Matches!P45</f>
        <v>Russia</v>
      </c>
    </row>
    <row r="55" spans="1:1" x14ac:dyDescent="0.2">
      <c r="A55" s="190" t="str">
        <f>Matches!P46</f>
        <v>Switzerland</v>
      </c>
    </row>
    <row r="56" spans="1:1" x14ac:dyDescent="0.2">
      <c r="A56" s="191" t="s">
        <v>55</v>
      </c>
    </row>
    <row r="57" spans="1:1" x14ac:dyDescent="0.2">
      <c r="A57" s="190" t="str">
        <f>Matches!B49</f>
        <v>France</v>
      </c>
    </row>
    <row r="58" spans="1:1" x14ac:dyDescent="0.2">
      <c r="A58" s="190" t="str">
        <f>Matches!B50</f>
        <v>Germany</v>
      </c>
    </row>
    <row r="59" spans="1:1" x14ac:dyDescent="0.2">
      <c r="A59" s="190" t="str">
        <f>Matches!B51</f>
        <v>Italy</v>
      </c>
    </row>
    <row r="60" spans="1:1" x14ac:dyDescent="0.2">
      <c r="A60" s="190" t="str">
        <f>Matches!B52</f>
        <v>England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England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Croatia</v>
      </c>
    </row>
    <row r="68" spans="1:1" x14ac:dyDescent="0.2">
      <c r="A68" s="190" t="str">
        <f>Matches!M63</f>
        <v>Mbappe</v>
      </c>
    </row>
    <row r="69" spans="1:1" x14ac:dyDescent="0.2">
      <c r="A69" s="190" t="str">
        <f>Matches!M64</f>
        <v>Locatelli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2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W</v>
      </c>
      <c r="DE3" s="21" t="str">
        <f>IF(DD3&lt;&gt;"",IF(DD3="W","L",IF(DD3="L","W","D")),"")</f>
        <v>L</v>
      </c>
      <c r="DF3" s="21"/>
      <c r="DG3" s="21"/>
      <c r="DH3" s="21" t="str">
        <f>Matches!P13</f>
        <v>Switzerland</v>
      </c>
      <c r="DI3" s="193">
        <f>Matches!U13</f>
        <v>0</v>
      </c>
      <c r="DJ3" s="193">
        <f>Matches!V13</f>
        <v>2</v>
      </c>
      <c r="DK3" s="193">
        <f>Matches!W13</f>
        <v>1</v>
      </c>
      <c r="DL3" s="193">
        <f>Matches!X13</f>
        <v>1</v>
      </c>
      <c r="DM3" s="193">
        <f>Matches!Z13</f>
        <v>3</v>
      </c>
      <c r="DN3" s="193">
        <f>Matches!AA13</f>
        <v>-2</v>
      </c>
      <c r="DO3" s="193">
        <f>Matches!AB13</f>
        <v>2</v>
      </c>
      <c r="DP3" s="21">
        <f>VLOOKUP(DH3,B4:J40,9,FALSE)</f>
        <v>47</v>
      </c>
      <c r="DQ3" s="21">
        <f>RANK(DO3,DO3:DO8)</f>
        <v>4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4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1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0</v>
      </c>
      <c r="F4" s="21">
        <f>SUMIF(CZ3:CZ60,B4,DA3:DA60)+SUMIF(DC3:DC60,B4,DB3:DB60)</f>
        <v>3</v>
      </c>
      <c r="G4" s="21">
        <f>SUMIF(DC3:DC60,B4,DA3:DA60)+SUMIF(CZ3:CZ60,B4,DB3:DB60)</f>
        <v>1</v>
      </c>
      <c r="H4" s="21">
        <f>F4-G4+1000</f>
        <v>1002</v>
      </c>
      <c r="I4" s="21">
        <f>C4*3+D4*1</f>
        <v>7</v>
      </c>
      <c r="J4" s="21">
        <v>42</v>
      </c>
      <c r="K4" s="21">
        <f>IF(COUNTIF(I4:I8,4)&lt;&gt;4,RANK(I4,I4:I8),I44)</f>
        <v>1</v>
      </c>
      <c r="L4" s="21"/>
      <c r="M4" s="21">
        <f>SUMPRODUCT((K4:K7=K4)*(J4:J7&lt;J4))+K4</f>
        <v>1</v>
      </c>
      <c r="N4" s="21" t="str">
        <f>INDEX(B4:B8,MATCH(1,M4:M8,0),0)</f>
        <v>Turkey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Turkey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1</v>
      </c>
      <c r="DK4" s="193">
        <f>Matches!W18</f>
        <v>1</v>
      </c>
      <c r="DL4" s="193">
        <f>Matches!X18</f>
        <v>2</v>
      </c>
      <c r="DM4" s="193">
        <f>Matches!Z18</f>
        <v>3</v>
      </c>
      <c r="DN4" s="193">
        <f>Matches!AA18</f>
        <v>-1</v>
      </c>
      <c r="DO4" s="193">
        <f>Matches!AB18</f>
        <v>4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1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2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1</v>
      </c>
      <c r="F5" s="21">
        <f>SUMIF(CZ3:CZ60,B5,DA3:DA60)+SUMIF(DC3:DC60,B5,DB3:DB60)</f>
        <v>5</v>
      </c>
      <c r="G5" s="21">
        <f>SUMIF(DC3:DC60,B5,DA3:DA60)+SUMIF(CZ3:CZ60,B5,DB3:DB60)</f>
        <v>2</v>
      </c>
      <c r="H5" s="21">
        <f t="shared" ref="H5:H7" si="2">F5-G5+1000</f>
        <v>1003</v>
      </c>
      <c r="I5" s="21">
        <f t="shared" ref="I5:I7" si="3">C5*3+D5*1</f>
        <v>6</v>
      </c>
      <c r="J5" s="21">
        <v>54</v>
      </c>
      <c r="K5" s="21">
        <f>IF(COUNTIF(I4:I8,4)&lt;&gt;4,RANK(I5,I4:I8),I45)</f>
        <v>2</v>
      </c>
      <c r="L5" s="21"/>
      <c r="M5" s="21">
        <f>SUMPRODUCT((K4:K7=K5)*(J4:J7&lt;J5))+K5</f>
        <v>2</v>
      </c>
      <c r="N5" s="21" t="str">
        <f>INDEX(B4:B8,MATCH(2,M4:M8,0),0)</f>
        <v>Italy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Italy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Ukraine</v>
      </c>
      <c r="DI5" s="193">
        <f>Matches!U23</f>
        <v>1</v>
      </c>
      <c r="DJ5" s="193">
        <f>Matches!V23</f>
        <v>1</v>
      </c>
      <c r="DK5" s="193">
        <f>Matches!W23</f>
        <v>1</v>
      </c>
      <c r="DL5" s="193">
        <f>Matches!X23</f>
        <v>2</v>
      </c>
      <c r="DM5" s="193">
        <f>Matches!Z23</f>
        <v>3</v>
      </c>
      <c r="DN5" s="193">
        <f>Matches!AA23</f>
        <v>-1</v>
      </c>
      <c r="DO5" s="193">
        <f>Matches!AB23</f>
        <v>4</v>
      </c>
      <c r="DP5" s="21">
        <f>VLOOKUP(DH5,B4:J40,9,FALSE)</f>
        <v>50</v>
      </c>
      <c r="DQ5" s="21">
        <f>RANK(DO5,DO3:DO8)</f>
        <v>1</v>
      </c>
      <c r="DR5" s="21">
        <f>SUMPRODUCT((DQ3:DQ8=DQ5)*(DN3:DN8&gt;DN5))</f>
        <v>1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2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4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2</v>
      </c>
      <c r="F6" s="21">
        <f>SUMIF(CZ3:CZ60,B6,DA3:DA60)+SUMIF(DC3:DC60,B6,DB3:DB60)</f>
        <v>1</v>
      </c>
      <c r="G6" s="21">
        <f>SUMIF(DC3:DC60,B6,DA3:DA60)+SUMIF(CZ3:CZ60,B6,DB3:DB60)</f>
        <v>4</v>
      </c>
      <c r="H6" s="21">
        <f t="shared" si="2"/>
        <v>997</v>
      </c>
      <c r="I6" s="21">
        <f t="shared" si="3"/>
        <v>1</v>
      </c>
      <c r="J6" s="21">
        <v>37</v>
      </c>
      <c r="K6" s="21">
        <f>IF(COUNTIF(I4:I8,4)&lt;&gt;4,RANK(I6,I4:I8),I46)</f>
        <v>4</v>
      </c>
      <c r="L6" s="21"/>
      <c r="M6" s="21">
        <f>SUMPRODUCT((K4:K7=K6)*(J4:J7&lt;J6))+K6</f>
        <v>4</v>
      </c>
      <c r="N6" s="21" t="str">
        <f>INDEX(B4:B8,MATCH(3,M4:M8,0),0)</f>
        <v>Switzerland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2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2</v>
      </c>
      <c r="DM6" s="193">
        <f>Matches!Z28</f>
        <v>5</v>
      </c>
      <c r="DN6" s="193">
        <f>Matches!AA28</f>
        <v>-3</v>
      </c>
      <c r="DO6" s="193">
        <f>Matches!AB28</f>
        <v>1</v>
      </c>
      <c r="DP6" s="21">
        <f>VLOOKUP(DH6,B4:J40,9,FALSE)</f>
        <v>38</v>
      </c>
      <c r="DQ6" s="21">
        <f>RANK(DO6,DO3:DO8)</f>
        <v>6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2</v>
      </c>
      <c r="E7" s="21">
        <f>SUMPRODUCT((CZ3:CZ42=B7)*(DD3:DD42="L"))+SUMPRODUCT((DC3:DC42=B7)*(DE3:DE42="L"))</f>
        <v>1</v>
      </c>
      <c r="F7" s="21">
        <f>SUMIF(CZ3:CZ60,B7,DA3:DA60)+SUMIF(DC3:DC60,B7,DB3:DB60)</f>
        <v>1</v>
      </c>
      <c r="G7" s="21">
        <f>SUMIF(DC3:DC60,B7,DA3:DA60)+SUMIF(CZ3:CZ60,B7,DB3:DB60)</f>
        <v>3</v>
      </c>
      <c r="H7" s="21">
        <f t="shared" si="2"/>
        <v>998</v>
      </c>
      <c r="I7" s="21">
        <f t="shared" si="3"/>
        <v>2</v>
      </c>
      <c r="J7" s="21">
        <v>47</v>
      </c>
      <c r="K7" s="21">
        <f>IF(COUNTIF(I4:I8,4)&lt;&gt;4,RANK(I7,I4:I8),I47)</f>
        <v>3</v>
      </c>
      <c r="L7" s="21"/>
      <c r="M7" s="21">
        <f>SUMPRODUCT((K4:K7=K7)*(J4:J7&lt;J7))+K7</f>
        <v>3</v>
      </c>
      <c r="N7" s="21" t="str">
        <f>INDEX(B4:B8,MATCH(4,M4:M8,0),0)</f>
        <v>Wales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Wales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Sweden</v>
      </c>
      <c r="DI7" s="193">
        <f>Matches!U33</f>
        <v>0</v>
      </c>
      <c r="DJ7" s="193">
        <f>Matches!V33</f>
        <v>2</v>
      </c>
      <c r="DK7" s="193">
        <f>Matches!W33</f>
        <v>1</v>
      </c>
      <c r="DL7" s="193">
        <f>Matches!X33</f>
        <v>1</v>
      </c>
      <c r="DM7" s="193">
        <f>Matches!Z33</f>
        <v>3</v>
      </c>
      <c r="DN7" s="193">
        <f>Matches!AA33</f>
        <v>-2</v>
      </c>
      <c r="DO7" s="193">
        <f>Matches!AB33</f>
        <v>2</v>
      </c>
      <c r="DP7" s="21">
        <f>VLOOKUP(DH7,B4:J40,9,FALSE)</f>
        <v>39</v>
      </c>
      <c r="DQ7" s="21">
        <f>RANK(DO7,DO3:DO8)</f>
        <v>4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1</v>
      </c>
      <c r="DU7" s="21">
        <f t="shared" si="1"/>
        <v>5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3</v>
      </c>
      <c r="DM8" s="193">
        <f>Matches!Z38</f>
        <v>3</v>
      </c>
      <c r="DN8" s="193">
        <f>Matches!AA38</f>
        <v>0</v>
      </c>
      <c r="DO8" s="193">
        <f>Matches!AB38</f>
        <v>4</v>
      </c>
      <c r="DP8" s="21">
        <f>VLOOKUP(DH8,B4:J40,9,FALSE)</f>
        <v>52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6</v>
      </c>
      <c r="G11" s="21">
        <f>SUMIF(DC3:DC60,B11,DA3:DA60)+SUMIF(CZ3:CZ60,B11,DB3:DB60)</f>
        <v>1</v>
      </c>
      <c r="H11" s="21">
        <f t="shared" ref="H11:H14" si="13">F11-G11+1000</f>
        <v>1005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Denmark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2</v>
      </c>
      <c r="G12" s="21">
        <f>SUMIF(DC3:DC60,B12,DA3:DA60)+SUMIF(CZ3:CZ60,B12,DB3:DB60)</f>
        <v>3</v>
      </c>
      <c r="H12" s="21">
        <f t="shared" si="13"/>
        <v>999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Russia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Denmark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1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1</v>
      </c>
      <c r="AW12" s="21">
        <f>IF(AO12&lt;&gt;"",VLOOKUP(AO12,B4:H40,7,FALSE),"")</f>
        <v>1000</v>
      </c>
      <c r="AX12" s="21">
        <f>IF(AO12&lt;&gt;"",VLOOKUP(AO12,B4:H40,5,FALSE),"")</f>
        <v>3</v>
      </c>
      <c r="AY12" s="21">
        <f>IF(AO12&lt;&gt;"",VLOOKUP(AO12,B4:J40,9,FALSE),"")</f>
        <v>41</v>
      </c>
      <c r="AZ12" s="21">
        <f t="shared" ref="AZ12:AZ14" si="19">AV12</f>
        <v>1</v>
      </c>
      <c r="BA12" s="21">
        <f>IF(AO12&lt;&gt;"",RANK(AZ12,AZ11:AZ15),"")</f>
        <v>1</v>
      </c>
      <c r="BB12" s="21">
        <f>IF(AO12&lt;&gt;"",SUMPRODUCT((AZ11:AZ15=AZ12)*(AU11:AU15&gt;AU12)),"")</f>
        <v>0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2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C</v>
      </c>
      <c r="DS12" s="199" t="str">
        <f>Matches!AC45</f>
        <v>B</v>
      </c>
      <c r="DT12" s="199" t="str">
        <f>Matches!AC46</f>
        <v>A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3</v>
      </c>
      <c r="G13" s="21">
        <f>SUMIF(DC3:DC60,B13,DA3:DA60)+SUMIF(CZ3:CZ60,B13,DB3:DB60)</f>
        <v>3</v>
      </c>
      <c r="H13" s="21">
        <f t="shared" si="13"/>
        <v>1000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Russia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1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1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1</v>
      </c>
      <c r="AU13" s="21">
        <f>AS13-AT13+1000</f>
        <v>1000</v>
      </c>
      <c r="AV13" s="21">
        <f t="shared" si="18"/>
        <v>1</v>
      </c>
      <c r="AW13" s="21">
        <f>IF(AO13&lt;&gt;"",VLOOKUP(AO13,B4:H40,7,FALSE),"")</f>
        <v>999</v>
      </c>
      <c r="AX13" s="21">
        <f>IF(AO13&lt;&gt;"",VLOOKUP(AO13,B4:H40,5,FALSE),"")</f>
        <v>2</v>
      </c>
      <c r="AY13" s="21">
        <f>IF(AO13&lt;&gt;"",VLOOKUP(AO13,B4:J40,9,FALSE),"")</f>
        <v>44</v>
      </c>
      <c r="AZ13" s="21">
        <f t="shared" si="19"/>
        <v>1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1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3</v>
      </c>
      <c r="BH13" s="21" t="str">
        <f>IF(AO13&lt;&gt;"",INDEX(AO12:AO15,MATCH(3,BG12:BG15,0),0),"")</f>
        <v>Russia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3</v>
      </c>
      <c r="DS13" s="199">
        <f>IFERROR(MATCH(DS12,DH13:DK13,0),0)</f>
        <v>2</v>
      </c>
      <c r="DT13" s="199">
        <f>IFERROR(MATCH(DT12,DH13:DK13,0),0)</f>
        <v>1</v>
      </c>
      <c r="DU13" s="199">
        <f t="shared" ref="DU13:DU27" si="22">SUM(DQ13:DT13)</f>
        <v>6</v>
      </c>
      <c r="DV13" s="198"/>
      <c r="DW13" s="198" t="str">
        <f>INDEX(DH3:DH8,MATCH(1,DU3:DU8,0),0)</f>
        <v>Germany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1</v>
      </c>
      <c r="G14" s="21">
        <f>SUMIF(DC3:DC60,B14,DA3:DA60)+SUMIF(CZ3:CZ60,B14,DB3:DB60)</f>
        <v>5</v>
      </c>
      <c r="H14" s="21">
        <f t="shared" si="13"/>
        <v>996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3</v>
      </c>
      <c r="DS14" s="199">
        <f>IFERROR(MATCH(DS12,DH14:DK14,0),0)</f>
        <v>2</v>
      </c>
      <c r="DT14" s="199">
        <f>IFERROR(MATCH(DT12,DH14:DK14,0),0)</f>
        <v>1</v>
      </c>
      <c r="DU14" s="199">
        <f t="shared" si="22"/>
        <v>6</v>
      </c>
      <c r="DV14" s="198"/>
      <c r="DW14" s="198" t="str">
        <f>INDEX(DH3:DH8,MATCH(2,DU3:DU8,0),0)</f>
        <v>Ukraine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3</v>
      </c>
      <c r="DS15" s="199">
        <f>IFERROR(MATCH(DS12,DH15:DK15,0),0)</f>
        <v>2</v>
      </c>
      <c r="DT15" s="199">
        <f>IFERROR(MATCH(DT12,DH15:DK15,0),0)</f>
        <v>1</v>
      </c>
      <c r="DU15" s="199">
        <f t="shared" si="22"/>
        <v>10</v>
      </c>
      <c r="DV15" s="198"/>
      <c r="DW15" s="198" t="str">
        <f>INDEX(DH3:DH8,MATCH(3,DU3:DU8,0),0)</f>
        <v>Russia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0</v>
      </c>
      <c r="DS16" s="199">
        <f>IFERROR(MATCH(DS12,DH16:DK16,0),0)</f>
        <v>2</v>
      </c>
      <c r="DT16" s="199">
        <f>IFERROR(MATCH(DT12,DH16:DK16,0),0)</f>
        <v>1</v>
      </c>
      <c r="DU16" s="199">
        <f t="shared" si="22"/>
        <v>3</v>
      </c>
      <c r="DV16" s="198"/>
      <c r="DW16" s="198" t="str">
        <f>INDEX(DH3:DH8,MATCH(4,DU3:DU8,0),0)</f>
        <v>Switzerland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0</v>
      </c>
      <c r="DS17" s="199">
        <f>IFERROR(MATCH(DS12,DH17:DK17,0),0)</f>
        <v>2</v>
      </c>
      <c r="DT17" s="199">
        <f>IFERROR(MATCH(DT12,DH17:DK17,0),0)</f>
        <v>1</v>
      </c>
      <c r="DU17" s="199">
        <f t="shared" si="22"/>
        <v>7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1</v>
      </c>
      <c r="H18" s="21">
        <f t="shared" ref="H18:H21" si="25">F18-G18+1000</f>
        <v>1004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>Austria</v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0</v>
      </c>
      <c r="DS18" s="199">
        <f>IFERROR(MATCH(DS12,DH18:DK18,0),0)</f>
        <v>2</v>
      </c>
      <c r="DT18" s="199">
        <f>IFERROR(MATCH(DT12,DH18:DK18,0),0)</f>
        <v>1</v>
      </c>
      <c r="DU18" s="199">
        <f t="shared" si="22"/>
        <v>7</v>
      </c>
      <c r="DV18" s="198" t="s">
        <v>90</v>
      </c>
      <c r="DW18" s="198" t="str">
        <f>INDEX(DH3:DH8,MATCH(INDEX(DL13:DL27,MATCH(10,DU13:DU27,0),0),DV3:DV8,0),0)</f>
        <v>Switzerland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2</v>
      </c>
      <c r="G19" s="21">
        <f>SUMIF(DC3:DC60,B19,DA3:DA60)+SUMIF(CZ3:CZ60,B19,DB3:DB60)</f>
        <v>3</v>
      </c>
      <c r="H19" s="21">
        <f t="shared" si="25"/>
        <v>999</v>
      </c>
      <c r="I19" s="21">
        <f t="shared" si="26"/>
        <v>4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>Ukraine</v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>Austria</v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1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1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1</v>
      </c>
      <c r="AU19" s="21">
        <f>AS19-AT19+1000</f>
        <v>1000</v>
      </c>
      <c r="AV19" s="21">
        <f t="shared" ref="AV19:AV21" si="30">IF(AO19&lt;&gt;"",AP19*3+AQ19*1,"")</f>
        <v>1</v>
      </c>
      <c r="AW19" s="21">
        <f>IF(AO19&lt;&gt;"",VLOOKUP(AO19,B4:H40,7,FALSE),"")</f>
        <v>1000</v>
      </c>
      <c r="AX19" s="21">
        <f>IF(AO19&lt;&gt;"",VLOOKUP(AO19,B4:H40,5,FALSE),"")</f>
        <v>2</v>
      </c>
      <c r="AY19" s="21">
        <f>IF(AO19&lt;&gt;"",VLOOKUP(AO19,B4:J40,9,FALSE),"")</f>
        <v>40</v>
      </c>
      <c r="AZ19" s="21">
        <f t="shared" ref="AZ19:AZ21" si="31">AV19</f>
        <v>1</v>
      </c>
      <c r="BA19" s="21">
        <f>IF(AO19&lt;&gt;"",RANK(AZ19,AZ18:AZ22),"")</f>
        <v>1</v>
      </c>
      <c r="BB19" s="21">
        <f>IF(AO19&lt;&gt;"",SUMPRODUCT((AZ18:AZ22=AZ19)*(AU18:AU22&gt;AU19)),"")</f>
        <v>0</v>
      </c>
      <c r="BC19" s="21">
        <f>IF(AO19&lt;&gt;"",SUMPRODUCT((AZ18:AZ22=AZ19)*(AU18:AU22=AU19)*(AS18:AS22&gt;AS19)),"")</f>
        <v>0</v>
      </c>
      <c r="BD19" s="21">
        <f>IF(AO19&lt;&gt;"",SUMPRODUCT((AZ18:AZ22=AZ19)*(AU18:AU22=AU19)*(AS18:AS22=AS19)*(AW18:AW22&gt;AW19)),"")</f>
        <v>0</v>
      </c>
      <c r="BE19" s="21">
        <f>IF(AO19&lt;&gt;"",SUMPRODUCT((AZ18:AZ22=AZ19)*(AU18:AU22=AU19)*(AS18:AS22=AS19)*(AW18:AW22=AW19)*(AX18:AX22&gt;AX19)),"")</f>
        <v>0</v>
      </c>
      <c r="BF19" s="21">
        <f>IF(AO19&lt;&gt;"",SUMPRODUCT((AZ18:AZ22=AZ19)*(AU18:AU22=AU19)*(AS18:AS22=AS19)*(AW18:AW22=AW19)*(AX18:AX22=AX19)*(AY18:AY22&gt;AY19)),"")</f>
        <v>0</v>
      </c>
      <c r="BG19" s="21">
        <f>IF(AO19&lt;&gt;"",IF(BG59&lt;&gt;"",IF(AN57=3,BG59,BG59+AN57),SUM(BA19:BF19)+1),"")</f>
        <v>2</v>
      </c>
      <c r="BH19" s="21" t="str">
        <f>IF(AO19&lt;&gt;"",INDEX(AO19:AO22,MATCH(2,BG19:BG22,0),0),"")</f>
        <v>Austria</v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2</v>
      </c>
      <c r="DS19" s="199">
        <f>IFERROR(MATCH(DS12,DH19:DK19,0),0)</f>
        <v>0</v>
      </c>
      <c r="DT19" s="199">
        <f>IFERROR(MATCH(DT12,DH19:DK19,0),0)</f>
        <v>1</v>
      </c>
      <c r="DU19" s="199">
        <f t="shared" si="22"/>
        <v>3</v>
      </c>
      <c r="DV19" s="198" t="s">
        <v>85</v>
      </c>
      <c r="DW19" s="198" t="str">
        <f>INDEX(DH3:DH8,MATCH(INDEX(DM13:DM27,MATCH(10,DU13:DU27,0),0),DV3:DV8,0),0)</f>
        <v>Germany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1</v>
      </c>
      <c r="F20" s="21">
        <f>SUMIF(CZ3:CZ60,B20,DA3:DA60)+SUMIF(DC3:DC60,B20,DB3:DB60)</f>
        <v>2</v>
      </c>
      <c r="G20" s="21">
        <f>SUMIF(DC3:DC60,B20,DA3:DA60)+SUMIF(CZ3:CZ60,B20,DB3:DB60)</f>
        <v>2</v>
      </c>
      <c r="H20" s="21">
        <f t="shared" si="25"/>
        <v>1000</v>
      </c>
      <c r="I20" s="21">
        <f t="shared" si="26"/>
        <v>4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2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>Ukraine</v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1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1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1</v>
      </c>
      <c r="AU20" s="21">
        <f>AS20-AT20+1000</f>
        <v>1000</v>
      </c>
      <c r="AV20" s="21">
        <f t="shared" si="30"/>
        <v>1</v>
      </c>
      <c r="AW20" s="21">
        <f>IF(AO20&lt;&gt;"",VLOOKUP(AO20,B4:H40,7,FALSE),"")</f>
        <v>999</v>
      </c>
      <c r="AX20" s="21">
        <f>IF(AO20&lt;&gt;"",VLOOKUP(AO20,B4:H40,5,FALSE),"")</f>
        <v>2</v>
      </c>
      <c r="AY20" s="21">
        <f>IF(AO20&lt;&gt;"",VLOOKUP(AO20,B4:J40,9,FALSE),"")</f>
        <v>50</v>
      </c>
      <c r="AZ20" s="21">
        <f t="shared" si="31"/>
        <v>1</v>
      </c>
      <c r="BA20" s="21">
        <f>IF(AO20&lt;&gt;"",RANK(AZ20,AZ18:AZ22),"")</f>
        <v>1</v>
      </c>
      <c r="BB20" s="21">
        <f>IF(AO20&lt;&gt;"",SUMPRODUCT((AZ18:AZ22=AZ20)*(AU18:AU22&gt;AU20)),"")</f>
        <v>0</v>
      </c>
      <c r="BC20" s="21">
        <f>IF(AO20&lt;&gt;"",SUMPRODUCT((AZ18:AZ22=AZ20)*(AU18:AU22=AU20)*(AS18:AS22&gt;AS20)),"")</f>
        <v>0</v>
      </c>
      <c r="BD20" s="21">
        <f>IF(AO20&lt;&gt;"",SUMPRODUCT((AZ18:AZ22=AZ20)*(AU18:AU22=AU20)*(AS18:AS22=AS20)*(AW18:AW22&gt;AW20)),"")</f>
        <v>1</v>
      </c>
      <c r="BE20" s="21">
        <f>IF(AO20&lt;&gt;"",SUMPRODUCT((AZ18:AZ22=AZ20)*(AU18:AU22=AU20)*(AS18:AS22=AS20)*(AW18:AW22=AW20)*(AX18:AX22&gt;AX20)),"")</f>
        <v>0</v>
      </c>
      <c r="BF20" s="21">
        <f>IF(AO20&lt;&gt;"",SUMPRODUCT((AZ18:AZ22=AZ20)*(AU18:AU22=AU20)*(AS18:AS22=AS20)*(AW18:AW22=AW20)*(AX18:AX22=AX20)*(AY18:AY22&gt;AY20)),"")</f>
        <v>0</v>
      </c>
      <c r="BG20" s="21">
        <f>IF(AO20&lt;&gt;"",IF(BG60&lt;&gt;"",IF(AN57=3,BG60,BG60+AN57),SUM(BA20:BF20)+1),"")</f>
        <v>3</v>
      </c>
      <c r="BH20" s="21" t="str">
        <f>IF(AO20&lt;&gt;"",INDEX(AO19:AO22,MATCH(3,BG19:BG22,0),0),"")</f>
        <v>Ukraine</v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2</v>
      </c>
      <c r="DS20" s="199">
        <f>IFERROR(MATCH(DS12,DH20:DK20,0),0)</f>
        <v>0</v>
      </c>
      <c r="DT20" s="199">
        <f>IFERROR(MATCH(DT12,DH20:DK20,0),0)</f>
        <v>1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Russia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4</v>
      </c>
      <c r="H21" s="21">
        <f t="shared" si="25"/>
        <v>997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D</v>
      </c>
      <c r="DE21" s="21" t="str">
        <f t="shared" si="0"/>
        <v>D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2</v>
      </c>
      <c r="DS21" s="199">
        <f>IFERROR(MATCH(DS12,DH21:DK21,0),0)</f>
        <v>0</v>
      </c>
      <c r="DT21" s="199">
        <f>IFERROR(MATCH(DT12,DH21:DK21,0),0)</f>
        <v>1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Ukraine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0</v>
      </c>
      <c r="DS22" s="199">
        <f>IFERROR(MATCH(DS12,DH22:DK22,0),0)</f>
        <v>0</v>
      </c>
      <c r="DT22" s="199">
        <f>IFERROR(MATCH(DT12,DH22:DK22,0),0)</f>
        <v>1</v>
      </c>
      <c r="DU22" s="199">
        <f t="shared" si="22"/>
        <v>5</v>
      </c>
      <c r="DV22" s="198" t="s">
        <v>42</v>
      </c>
      <c r="DW22" s="198" t="str">
        <f>VLOOKUP(1,A4:B7,2,FALSE)</f>
        <v>Turkey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2</v>
      </c>
      <c r="DS23" s="199">
        <f>IFERROR(MATCH(DS12,DH23:DK23,0),0)</f>
        <v>1</v>
      </c>
      <c r="DT23" s="199">
        <f>IFERROR(MATCH(DT12,DH23:DK23,0),0)</f>
        <v>0</v>
      </c>
      <c r="DU23" s="199">
        <f t="shared" si="22"/>
        <v>3</v>
      </c>
      <c r="DV23" s="198"/>
      <c r="DW23" s="198" t="str">
        <f>VLOOKUP(2,A4:B7,2,FALSE)</f>
        <v>Italy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2</v>
      </c>
      <c r="DS24" s="199">
        <f>IFERROR(MATCH(DS12,DH24:DK24,0),0)</f>
        <v>1</v>
      </c>
      <c r="DT24" s="199">
        <f>IFERROR(MATCH(DT12,DH24:DK24,0),0)</f>
        <v>0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7</v>
      </c>
      <c r="H25" s="21">
        <f t="shared" ref="H25:H28" si="36">F25-G25+1000</f>
        <v>994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2</v>
      </c>
      <c r="DS25" s="199">
        <f>IFERROR(MATCH(DS12,DH25:DK25,0),0)</f>
        <v>1</v>
      </c>
      <c r="DT25" s="199">
        <f>IFERROR(MATCH(DT12,DH25:DK25,0),0)</f>
        <v>0</v>
      </c>
      <c r="DU25" s="199">
        <f t="shared" si="22"/>
        <v>7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2</v>
      </c>
      <c r="G26" s="21">
        <f>SUMIF(DC3:DC60,B26,DA3:DA60)+SUMIF(CZ3:CZ60,B26,DB3:DB60)</f>
        <v>5</v>
      </c>
      <c r="H26" s="21">
        <f t="shared" si="36"/>
        <v>997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0</v>
      </c>
      <c r="DS26" s="199">
        <f>IFERROR(MATCH(DS12,DH26:DK26,0),0)</f>
        <v>1</v>
      </c>
      <c r="DT26" s="199">
        <f>IFERROR(MATCH(DT12,DH26:DK26,0),0)</f>
        <v>0</v>
      </c>
      <c r="DU26" s="199">
        <f t="shared" si="22"/>
        <v>5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7</v>
      </c>
      <c r="G27" s="21">
        <f>SUMIF(DC3:DC60,B27,DA3:DA60)+SUMIF(CZ3:CZ60,B27,DB3:DB60)</f>
        <v>2</v>
      </c>
      <c r="H27" s="21">
        <f t="shared" si="36"/>
        <v>1005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994</v>
      </c>
      <c r="BR27" s="21">
        <f>IF(BI27&lt;&gt;"",VLOOKUP(BI27,B4:H40,5,FALSE),"")</f>
        <v>1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1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0</v>
      </c>
      <c r="DB27" s="21">
        <f>IF(AND(Matches!G35&lt;&gt;"",Matches!F35&lt;&gt;""),Matches!G35,0)</f>
        <v>0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1</v>
      </c>
      <c r="DS27" s="199">
        <f>IFERROR(MATCH(DS12,DH27:DK27,0),0)</f>
        <v>0</v>
      </c>
      <c r="DT27" s="199">
        <f>IFERROR(MATCH(DT12,DH27:DK27,0),0)</f>
        <v>0</v>
      </c>
      <c r="DU27" s="199">
        <f t="shared" si="22"/>
        <v>5</v>
      </c>
      <c r="DV27" s="21"/>
      <c r="DW27" s="21" t="str">
        <f>VLOOKUP(2,A18:B21,2,FALSE)</f>
        <v>Austria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6</v>
      </c>
      <c r="G28" s="21">
        <f>SUMIF(DC3:DC60,B28,DA3:DA60)+SUMIF(CZ3:CZ60,B28,DB3:DB60)</f>
        <v>2</v>
      </c>
      <c r="H28" s="21">
        <f t="shared" si="36"/>
        <v>1004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997</v>
      </c>
      <c r="BR28" s="21">
        <f>IF(BI28&lt;&gt;"",VLOOKUP(BI28,B4:H40,5,FALSE),"")</f>
        <v>2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0</v>
      </c>
      <c r="D32" s="21">
        <f>SUMPRODUCT((CZ3:CZ42=B32)*(DD3:DD42="D"))+SUMPRODUCT((DC3:DC42=B32)*(DE3:DE42="D"))</f>
        <v>2</v>
      </c>
      <c r="E32" s="21">
        <f>SUMPRODUCT((CZ3:CZ42=B32)*(DD3:DD42="L"))+SUMPRODUCT((DC3:DC42=B32)*(DE3:DE42="L"))</f>
        <v>1</v>
      </c>
      <c r="F32" s="21">
        <f>SUMIF(CZ3:CZ60,B32,DA3:DA60)+SUMIF(DC3:DC60,B32,DB3:DB60)</f>
        <v>1</v>
      </c>
      <c r="G32" s="21">
        <f>SUMIF(DC3:DC60,B32,DA3:DA60)+SUMIF(CZ3:CZ60,B32,DB3:DB60)</f>
        <v>3</v>
      </c>
      <c r="H32" s="21">
        <f t="shared" si="47"/>
        <v>998</v>
      </c>
      <c r="I32" s="21">
        <f t="shared" si="48"/>
        <v>2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3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1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2</v>
      </c>
      <c r="G33" s="21">
        <f>SUMIF(DC3:DC60,B33,DA3:DA60)+SUMIF(CZ3:CZ60,B33,DB3:DB60)</f>
        <v>2</v>
      </c>
      <c r="H33" s="21">
        <f t="shared" si="47"/>
        <v>1000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Sweden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1</v>
      </c>
      <c r="E34" s="21">
        <f>SUMPRODUCT((CZ3:CZ42=B34)*(DD3:DD42="L"))+SUMPRODUCT((DC3:DC42=B34)*(DE3:DE42="L"))</f>
        <v>2</v>
      </c>
      <c r="F34" s="21">
        <f>SUMIF(CZ3:CZ60,B34,DA3:DA60)+SUMIF(DC3:DC60,B34,DB3:DB60)</f>
        <v>1</v>
      </c>
      <c r="G34" s="21">
        <f>SUMIF(DC3:DC60,B34,DA3:DA60)+SUMIF(CZ3:CZ60,B34,DB3:DB60)</f>
        <v>4</v>
      </c>
      <c r="H34" s="21">
        <f t="shared" si="47"/>
        <v>997</v>
      </c>
      <c r="I34" s="21">
        <f t="shared" si="48"/>
        <v>1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0</v>
      </c>
      <c r="DB35" s="21">
        <f>IF(AND(Matches!G43&lt;&gt;"",Matches!F43&lt;&gt;""),Matches!G43,0)</f>
        <v>0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3</v>
      </c>
      <c r="D37" s="21">
        <f>SUMPRODUCT((CZ3:CZ42=B37)*(DD3:DD42="D"))+SUMPRODUCT((DC3:DC42=B37)*(DE3:DE42="D"))</f>
        <v>0</v>
      </c>
      <c r="E37" s="21">
        <f>SUMPRODUCT((CZ3:CZ42=B37)*(DD3:DD42="L"))+SUMPRODUCT((DC3:DC42=B37)*(DE3:DE42="L"))</f>
        <v>0</v>
      </c>
      <c r="F37" s="21">
        <f>SUMIF(CZ3:CZ60,B37,DA3:DA60)+SUMIF(DC3:DC60,B37,DB3:DB60)</f>
        <v>8</v>
      </c>
      <c r="G37" s="21">
        <f>SUMIF(DC3:DC60,B37,DA3:DA60)+SUMIF(CZ3:CZ60,B37,DB3:DB60)</f>
        <v>1</v>
      </c>
      <c r="H37" s="21">
        <f t="shared" ref="H37:H40" si="58">F37-G37+1000</f>
        <v>1007</v>
      </c>
      <c r="I37" s="21">
        <f t="shared" ref="I37:I40" si="59">C37*3+D37*1</f>
        <v>9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3</v>
      </c>
      <c r="G38" s="21">
        <f>SUMIF(DC3:DC60,B38,DA3:DA60)+SUMIF(CZ3:CZ60,B38,DB3:DB60)</f>
        <v>3</v>
      </c>
      <c r="H38" s="21">
        <f t="shared" si="58"/>
        <v>1000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1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1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1</v>
      </c>
      <c r="AU38" s="21">
        <f>AS38-AT38+1000</f>
        <v>1000</v>
      </c>
      <c r="AV38" s="21">
        <f t="shared" ref="AV38:AV40" si="63">IF(AO38&lt;&gt;"",AP38*3+AQ38*1,"")</f>
        <v>1</v>
      </c>
      <c r="AW38" s="21">
        <f>IF(AO38&lt;&gt;"",VLOOKUP(AO38,B4:H40,7,FALSE),"")</f>
        <v>1000</v>
      </c>
      <c r="AX38" s="21">
        <f>IF(AO38&lt;&gt;"",VLOOKUP(AO38,B4:H40,5,FALSE),"")</f>
        <v>4</v>
      </c>
      <c r="AY38" s="21">
        <f>IF(AO38&lt;&gt;"",VLOOKUP(AO38,B4:J40,9,FALSE),"")</f>
        <v>43</v>
      </c>
      <c r="AZ38" s="21">
        <f t="shared" ref="AZ38:AZ40" si="64">AV38</f>
        <v>1</v>
      </c>
      <c r="BA38" s="21">
        <f>IF(AO38&lt;&gt;"",RANK(AZ38,AZ37:AZ40),"")</f>
        <v>1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2</v>
      </c>
      <c r="BH38" s="21" t="str">
        <f>IF(AO38&lt;&gt;"",INDEX(AO38:AO41,MATCH(2,BG38:BG41,0),0),"")</f>
        <v>Portugal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8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1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1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1</v>
      </c>
      <c r="AU39" s="21">
        <f>AS39-AT39+1000</f>
        <v>1000</v>
      </c>
      <c r="AV39" s="21">
        <f t="shared" si="63"/>
        <v>1</v>
      </c>
      <c r="AW39" s="21">
        <f>IF(AO39&lt;&gt;"",VLOOKUP(AO39,B4:H40,7,FALSE),"")</f>
        <v>1000</v>
      </c>
      <c r="AX39" s="21">
        <f>IF(AO39&lt;&gt;"",VLOOKUP(AO39,B4:H40,5,FALSE),"")</f>
        <v>3</v>
      </c>
      <c r="AY39" s="21">
        <f>IF(AO39&lt;&gt;"",VLOOKUP(AO39,B4:J40,9,FALSE),"")</f>
        <v>52</v>
      </c>
      <c r="AZ39" s="21">
        <f t="shared" si="64"/>
        <v>1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1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3</v>
      </c>
      <c r="BH39" s="21" t="str">
        <f>IF(AO39&lt;&gt;"",INDEX(AO38:AO41,MATCH(3,BG38:BG41,0),0),"")</f>
        <v>Germany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4</v>
      </c>
      <c r="G40" s="21">
        <f>SUMIF(DC3:DC60,B40,DA3:DA60)+SUMIF(CZ3:CZ60,B40,DB3:DB60)</f>
        <v>4</v>
      </c>
      <c r="H40" s="21">
        <f t="shared" si="58"/>
        <v>1000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>
        <f>IF(AO12&lt;&gt;"",SUMPRODUCT((AV11:AV14=AV12)*(AU11:AU14=AU12)*(AS11:AS14=AS12)*(AT11:AT14=AT12)),"")</f>
        <v>2</v>
      </c>
      <c r="AO52" s="194" t="str">
        <f t="shared" ref="AO52:AO54" si="81">IF(AND(AN52&lt;&gt;"",AN52&gt;1),AO12,"")</f>
        <v>Denmark</v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1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1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1</v>
      </c>
      <c r="AU52" s="194">
        <f>AS52-AT52+1000</f>
        <v>1000</v>
      </c>
      <c r="AV52" s="194">
        <f t="shared" ref="AV52:AV54" si="82">IF(AO52&lt;&gt;"",AP52*3+AQ52*1,"")</f>
        <v>1</v>
      </c>
      <c r="AW52" s="194">
        <f>IF(AO52&lt;&gt;"",VLOOKUP(AO52,B4:H40,7,FALSE),"")</f>
        <v>1000</v>
      </c>
      <c r="AX52" s="194">
        <f>IF(AO52&lt;&gt;"",VLOOKUP(AO52,B4:H40,5,FALSE),"")</f>
        <v>3</v>
      </c>
      <c r="AY52" s="194">
        <f>IF(AO52&lt;&gt;"",VLOOKUP(AO52,B4:J40,9,FALSE),"")</f>
        <v>41</v>
      </c>
      <c r="AZ52" s="194">
        <f t="shared" ref="AZ52:AZ54" si="83">AV52</f>
        <v>1</v>
      </c>
      <c r="BA52" s="194">
        <f>IF(AO52&lt;&gt;"",RANK(AZ52,AZ51:AZ54),"")</f>
        <v>1</v>
      </c>
      <c r="BB52" s="194">
        <f>IF(AO52&lt;&gt;"",SUMPRODUCT((AZ51:AZ54=AZ52)*(AU51:AU54&gt;AU52)),"")</f>
        <v>0</v>
      </c>
      <c r="BC52" s="194">
        <f>IF(AO52&lt;&gt;"",SUMPRODUCT((AZ51:AZ54=AZ52)*(AU51:AU54=AU52)*(AS51:AS54&gt;AS52)),"")</f>
        <v>0</v>
      </c>
      <c r="BD52" s="194">
        <f>IF(AO52&lt;&gt;"",SUMPRODUCT((AZ51:AZ54=AZ52)*(AU51:AU54=AU52)*(AS51:AS54=AS52)*(AW51:AW54&gt;AW52)),"")</f>
        <v>0</v>
      </c>
      <c r="BE52" s="194">
        <f>IF(AO52&lt;&gt;"",SUMPRODUCT((AZ51:AZ54=AZ52)*(AU51:AU54=AU52)*(AS51:AS54=AS52)*(AW51:AW54=AW52)*(AX51:AX54&gt;AX52)),"")</f>
        <v>0</v>
      </c>
      <c r="BF52" s="194">
        <f>IF(AO52&lt;&gt;"",SUMPRODUCT((AZ51:AZ54=AZ52)*(AU51:AU54=AU52)*(AS51:AS54=AS52)*(AW51:AW54=AW52)*(AX51:AX54=AX52)*(AY51:AY54&gt;AY52)),"")</f>
        <v>0</v>
      </c>
      <c r="BG52" s="194">
        <f>IF(AO52&lt;&gt;"",SUM(BA52:BF52)+1,"")</f>
        <v>2</v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>
        <f>IF(AO13&lt;&gt;"",SUMPRODUCT((AV11:AV14=AV13)*(AU11:AU14=AU13)*(AS11:AS14=AS13)*(AT11:AT14=AT13)),"")</f>
        <v>2</v>
      </c>
      <c r="AO53" s="194" t="str">
        <f t="shared" si="81"/>
        <v>Russia</v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1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1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1</v>
      </c>
      <c r="AU53" s="194">
        <f>AS53-AT53+1000</f>
        <v>1000</v>
      </c>
      <c r="AV53" s="194">
        <f t="shared" si="82"/>
        <v>1</v>
      </c>
      <c r="AW53" s="194">
        <f>IF(AO53&lt;&gt;"",VLOOKUP(AO53,B4:H40,7,FALSE),"")</f>
        <v>999</v>
      </c>
      <c r="AX53" s="194">
        <f>IF(AO53&lt;&gt;"",VLOOKUP(AO53,B4:H40,5,FALSE),"")</f>
        <v>2</v>
      </c>
      <c r="AY53" s="194">
        <f>IF(AO53&lt;&gt;"",VLOOKUP(AO53,B4:J40,9,FALSE),"")</f>
        <v>44</v>
      </c>
      <c r="AZ53" s="194">
        <f t="shared" si="83"/>
        <v>1</v>
      </c>
      <c r="BA53" s="194">
        <f>IF(AO53&lt;&gt;"",RANK(AZ53,AZ51:AZ54),"")</f>
        <v>1</v>
      </c>
      <c r="BB53" s="194">
        <f>IF(AO53&lt;&gt;"",SUMPRODUCT((AZ51:AZ54=AZ53)*(AU51:AU54&gt;AU53)),"")</f>
        <v>0</v>
      </c>
      <c r="BC53" s="194">
        <f>IF(AO53&lt;&gt;"",SUMPRODUCT((AZ51:AZ54=AZ53)*(AU51:AU54=AU53)*(AS51:AS54&gt;AS53)),"")</f>
        <v>0</v>
      </c>
      <c r="BD53" s="194">
        <f>IF(AO53&lt;&gt;"",SUMPRODUCT((AZ51:AZ54=AZ53)*(AU51:AU54=AU53)*(AS51:AS54=AS53)*(AW51:AW54&gt;AW53)),"")</f>
        <v>1</v>
      </c>
      <c r="BE53" s="194">
        <f>IF(AO53&lt;&gt;"",SUMPRODUCT((AZ51:AZ54=AZ53)*(AU51:AU54=AU53)*(AS51:AS54=AS53)*(AW51:AW54=AW53)*(AX51:AX54&gt;AX53)),"")</f>
        <v>0</v>
      </c>
      <c r="BF53" s="194">
        <f>IF(AO53&lt;&gt;"",SUMPRODUCT((AZ51:AZ54=AZ53)*(AU51:AU54=AU53)*(AS51:AS54=AS53)*(AW51:AW54=AW53)*(AX51:AX54=AX53)*(AY51:AY54&gt;AY53)),"")</f>
        <v>0</v>
      </c>
      <c r="BG53" s="194">
        <f t="shared" ref="BG53:BG54" si="84">IF(AO53&lt;&gt;"",SUM(BA53:BF53)+1,"")</f>
        <v>3</v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>
        <f>IF(AO19&lt;&gt;"",SUMPRODUCT((AV18:AV21=AV19)*(AU18:AU21=AU19)*(AS18:AS21=AS19)*(AT18:AT21=AT19)),"")</f>
        <v>2</v>
      </c>
      <c r="AO59" s="194" t="str">
        <f t="shared" ref="AO59:AO61" si="88">IF(AND(AN59&lt;&gt;"",AN59&gt;1),AO19,"")</f>
        <v>Austria</v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1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1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1</v>
      </c>
      <c r="AU59" s="194">
        <f>AS59-AT59+1000</f>
        <v>1000</v>
      </c>
      <c r="AV59" s="194">
        <f t="shared" ref="AV59:AV61" si="89">IF(AO59&lt;&gt;"",AP59*3+AQ59*1,"")</f>
        <v>1</v>
      </c>
      <c r="AW59" s="194">
        <f>IF(AO59&lt;&gt;"",VLOOKUP(AO59,B4:H40,7,FALSE),"")</f>
        <v>1000</v>
      </c>
      <c r="AX59" s="194">
        <f>IF(AO59&lt;&gt;"",VLOOKUP(AO59,B4:H40,5,FALSE),"")</f>
        <v>2</v>
      </c>
      <c r="AY59" s="194">
        <f>IF(AO59&lt;&gt;"",VLOOKUP(AO59,B4:J40,9,FALSE),"")</f>
        <v>40</v>
      </c>
      <c r="AZ59" s="194">
        <f t="shared" ref="AZ59:AZ61" si="90">AV59</f>
        <v>1</v>
      </c>
      <c r="BA59" s="194">
        <f>IF(AO59&lt;&gt;"",RANK(AZ59,AZ58:AZ61),"")</f>
        <v>1</v>
      </c>
      <c r="BB59" s="194">
        <f>IF(AO59&lt;&gt;"",SUMPRODUCT((AZ58:AZ61=AZ59)*(AU58:AU61&gt;AU59)),"")</f>
        <v>0</v>
      </c>
      <c r="BC59" s="194">
        <f>IF(AO59&lt;&gt;"",SUMPRODUCT((AZ58:AZ61=AZ59)*(AU58:AU61=AU59)*(AS58:AS61&gt;AS59)),"")</f>
        <v>0</v>
      </c>
      <c r="BD59" s="194">
        <f>IF(AO59&lt;&gt;"",SUMPRODUCT((AZ58:AZ61=AZ59)*(AU58:AU61=AU59)*(AS58:AS61=AS59)*(AW58:AW61&gt;AW59)),"")</f>
        <v>0</v>
      </c>
      <c r="BE59" s="194">
        <f>IF(AO59&lt;&gt;"",SUMPRODUCT((AZ58:AZ61=AZ59)*(AU58:AU61=AU59)*(AS58:AS61=AS59)*(AW58:AW61=AW59)*(AX58:AX61&gt;AX59)),"")</f>
        <v>0</v>
      </c>
      <c r="BF59" s="194">
        <f>IF(AO59&lt;&gt;"",SUMPRODUCT((AZ58:AZ61=AZ59)*(AU58:AU61=AU59)*(AS58:AS61=AS59)*(AW58:AW61=AW59)*(AX58:AX61=AX59)*(AY58:AY61&gt;AY59)),"")</f>
        <v>0</v>
      </c>
      <c r="BG59" s="194">
        <f>IF(AO59&lt;&gt;"",SUM(BA59:BF59)+1,"")</f>
        <v>2</v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>
        <f>IF(AO20&lt;&gt;"",SUMPRODUCT((AV18:AV21=AV20)*(AU18:AU21=AU20)*(AS18:AS21=AS20)*(AT18:AT21=AT20)),"")</f>
        <v>2</v>
      </c>
      <c r="AO60" s="194" t="str">
        <f t="shared" si="88"/>
        <v>Ukraine</v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1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1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1</v>
      </c>
      <c r="AU60" s="194">
        <f>AS60-AT60+1000</f>
        <v>1000</v>
      </c>
      <c r="AV60" s="194">
        <f t="shared" si="89"/>
        <v>1</v>
      </c>
      <c r="AW60" s="194">
        <f>IF(AO60&lt;&gt;"",VLOOKUP(AO60,B4:H40,7,FALSE),"")</f>
        <v>999</v>
      </c>
      <c r="AX60" s="194">
        <f>IF(AO60&lt;&gt;"",VLOOKUP(AO60,B4:H40,5,FALSE),"")</f>
        <v>2</v>
      </c>
      <c r="AY60" s="194">
        <f>IF(AO60&lt;&gt;"",VLOOKUP(AO60,B4:J40,9,FALSE),"")</f>
        <v>50</v>
      </c>
      <c r="AZ60" s="194">
        <f t="shared" si="90"/>
        <v>1</v>
      </c>
      <c r="BA60" s="194">
        <f>IF(AO60&lt;&gt;"",RANK(AZ60,AZ58:AZ61),"")</f>
        <v>1</v>
      </c>
      <c r="BB60" s="194">
        <f>IF(AO60&lt;&gt;"",SUMPRODUCT((AZ58:AZ61=AZ60)*(AU58:AU61&gt;AU60)),"")</f>
        <v>0</v>
      </c>
      <c r="BC60" s="194">
        <f>IF(AO60&lt;&gt;"",SUMPRODUCT((AZ58:AZ61=AZ60)*(AU58:AU61=AU60)*(AS58:AS61&gt;AS60)),"")</f>
        <v>0</v>
      </c>
      <c r="BD60" s="194">
        <f>IF(AO60&lt;&gt;"",SUMPRODUCT((AZ58:AZ61=AZ60)*(AU58:AU61=AU60)*(AS58:AS61=AS60)*(AW58:AW61&gt;AW60)),"")</f>
        <v>1</v>
      </c>
      <c r="BE60" s="194">
        <f>IF(AO60&lt;&gt;"",SUMPRODUCT((AZ58:AZ61=AZ60)*(AU58:AU61=AU60)*(AS58:AS61=AS60)*(AW58:AW61=AW60)*(AX58:AX61&gt;AX60)),"")</f>
        <v>0</v>
      </c>
      <c r="BF60" s="194">
        <f>IF(AO60&lt;&gt;"",SUMPRODUCT((AZ58:AZ61=AZ60)*(AU58:AU61=AU60)*(AS58:AS61=AS60)*(AW58:AW61=AW60)*(AX58:AX61=AX60)*(AY58:AY61&gt;AY60)),"")</f>
        <v>0</v>
      </c>
      <c r="BG60" s="194">
        <f t="shared" ref="BG60:BG61" si="91">IF(AO60&lt;&gt;"",SUM(BA60:BF60)+1,"")</f>
        <v>3</v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2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>
        <f>IF(AO38&lt;&gt;"",SUMPRODUCT((AV37:AV40=AV38)*(AU37:AU40=AU38)*(AS37:AS40=AS38)*(AT37:AT40=AT38)),"")</f>
        <v>2</v>
      </c>
      <c r="AO78" s="194" t="str">
        <f t="shared" ref="AO78:AO80" si="109">IF(AND(AN78&lt;&gt;"",AN78&gt;1),AO38,"")</f>
        <v>Portugal</v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1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1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1</v>
      </c>
      <c r="AU78" s="194">
        <f>AS78-AT78+1000</f>
        <v>1000</v>
      </c>
      <c r="AV78" s="194">
        <f t="shared" ref="AV78:AV80" si="110">IF(AO78&lt;&gt;"",AP78*3+AQ78*1,"")</f>
        <v>1</v>
      </c>
      <c r="AW78" s="194">
        <f>IF(AO78&lt;&gt;"",VLOOKUP(AO78,B4:H40,7,FALSE),"")</f>
        <v>1000</v>
      </c>
      <c r="AX78" s="194">
        <f>IF(AO78&lt;&gt;"",VLOOKUP(AO78,B4:H40,5,FALSE),"")</f>
        <v>4</v>
      </c>
      <c r="AY78" s="194">
        <f>IF(AO78&lt;&gt;"",VLOOKUP(AO78,B4:J40,9,FALSE),"")</f>
        <v>43</v>
      </c>
      <c r="AZ78" s="194">
        <f t="shared" ref="AZ78:AZ80" si="111">AV78</f>
        <v>1</v>
      </c>
      <c r="BA78" s="194">
        <f>IF(AO78&lt;&gt;"",RANK(AZ78,AZ77:AZ80),"")</f>
        <v>1</v>
      </c>
      <c r="BB78" s="194">
        <f>IF(AO78&lt;&gt;"",SUMPRODUCT((AZ77:AZ80=AZ78)*(AU77:AU80&gt;AU78)),"")</f>
        <v>0</v>
      </c>
      <c r="BC78" s="194">
        <f>IF(AO78&lt;&gt;"",SUMPRODUCT((AZ77:AZ80=AZ78)*(AU77:AU80=AU78)*(AS77:AS80&gt;AS78)),"")</f>
        <v>0</v>
      </c>
      <c r="BD78" s="194">
        <f>IF(AO78&lt;&gt;"",SUMPRODUCT((AZ77:AZ80=AZ78)*(AU77:AU80=AU78)*(AS77:AS80=AS78)*(AW77:AW80&gt;AW78)),"")</f>
        <v>0</v>
      </c>
      <c r="BE78" s="194">
        <f>IF(AO78&lt;&gt;"",SUMPRODUCT((AZ77:AZ80=AZ78)*(AU77:AU80=AU78)*(AS77:AS80=AS78)*(AW77:AW80=AW78)*(AX77:AX80&gt;AX78)),"")</f>
        <v>0</v>
      </c>
      <c r="BF78" s="194">
        <f>IF(AO78&lt;&gt;"",SUMPRODUCT((AZ77:AZ80=AZ78)*(AU77:AU80=AU78)*(AS77:AS80=AS78)*(AW77:AW80=AW78)*(AX77:AX80=AX78)*(AY77:AY80&gt;AY78)),"")</f>
        <v>0</v>
      </c>
      <c r="BG78" s="194">
        <f>IF(AO78&lt;&gt;"",SUM(BA78:BF78)+1,"")</f>
        <v>2</v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>
        <f>IF(AO39&lt;&gt;"",SUMPRODUCT((AV37:AV40=AV39)*(AU37:AU40=AU39)*(AS37:AS40=AS39)*(AT37:AT40=AT39)),"")</f>
        <v>2</v>
      </c>
      <c r="AO79" s="194" t="str">
        <f t="shared" si="109"/>
        <v>Germany</v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1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1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1</v>
      </c>
      <c r="AU79" s="194">
        <f>AS79-AT79+1000</f>
        <v>1000</v>
      </c>
      <c r="AV79" s="194">
        <f t="shared" si="110"/>
        <v>1</v>
      </c>
      <c r="AW79" s="194">
        <f>IF(AO79&lt;&gt;"",VLOOKUP(AO79,B4:H40,7,FALSE),"")</f>
        <v>1000</v>
      </c>
      <c r="AX79" s="194">
        <f>IF(AO79&lt;&gt;"",VLOOKUP(AO79,B4:H40,5,FALSE),"")</f>
        <v>3</v>
      </c>
      <c r="AY79" s="194">
        <f>IF(AO79&lt;&gt;"",VLOOKUP(AO79,B4:J40,9,FALSE),"")</f>
        <v>52</v>
      </c>
      <c r="AZ79" s="194">
        <f t="shared" si="111"/>
        <v>1</v>
      </c>
      <c r="BA79" s="194">
        <f>IF(AO79&lt;&gt;"",RANK(AZ79,AZ77:AZ80),"")</f>
        <v>1</v>
      </c>
      <c r="BB79" s="194">
        <f>IF(AO79&lt;&gt;"",SUMPRODUCT((AZ77:AZ80=AZ79)*(AU77:AU80&gt;AU79)),"")</f>
        <v>0</v>
      </c>
      <c r="BC79" s="194">
        <f>IF(AO79&lt;&gt;"",SUMPRODUCT((AZ77:AZ80=AZ79)*(AU77:AU80=AU79)*(AS77:AS80&gt;AS79)),"")</f>
        <v>0</v>
      </c>
      <c r="BD79" s="194">
        <f>IF(AO79&lt;&gt;"",SUMPRODUCT((AZ77:AZ80=AZ79)*(AU77:AU80=AU79)*(AS77:AS80=AS79)*(AW77:AW80&gt;AW79)),"")</f>
        <v>0</v>
      </c>
      <c r="BE79" s="194">
        <f>IF(AO79&lt;&gt;"",SUMPRODUCT((AZ77:AZ80=AZ79)*(AU77:AU80=AU79)*(AS77:AS80=AS79)*(AW77:AW80=AW79)*(AX77:AX80&gt;AX79)),"")</f>
        <v>1</v>
      </c>
      <c r="BF79" s="194">
        <f>IF(AO79&lt;&gt;"",SUMPRODUCT((AZ77:AZ80=AZ79)*(AU77:AU80=AU79)*(AS77:AS80=AS79)*(AW77:AW80=AW79)*(AX77:AX80=AX79)*(AY77:AY80&gt;AY79)),"")</f>
        <v>0</v>
      </c>
      <c r="BG79" s="194">
        <f t="shared" ref="BG79:BG80" si="112">IF(AO79&lt;&gt;"",SUM(BA79:BF79)+1,"")</f>
        <v>3</v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France</v>
      </c>
    </row>
    <row r="89" spans="3:3" x14ac:dyDescent="0.15">
      <c r="C89" s="194" t="str">
        <f>Matches!B50</f>
        <v>Germany</v>
      </c>
    </row>
    <row r="90" spans="3:3" x14ac:dyDescent="0.15">
      <c r="C90" s="194" t="str">
        <f>Matches!B51</f>
        <v>Italy</v>
      </c>
    </row>
    <row r="91" spans="3:3" x14ac:dyDescent="0.15">
      <c r="C91" s="194" t="str">
        <f>Matches!B52</f>
        <v>England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2021-06-11T17:01:18Z</dcterms:modified>
</cp:coreProperties>
</file>