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yle/Desktop/"/>
    </mc:Choice>
  </mc:AlternateContent>
  <xr:revisionPtr revIDLastSave="0" documentId="13_ncr:1_{F208E283-625A-1F44-A5D8-A120EAE92AE7}" xr6:coauthVersionLast="47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0" windowWidth="28800" windowHeight="180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30" i="3" l="1"/>
  <c r="DE3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R37" i="3" l="1"/>
  <c r="R38" i="3" s="1"/>
  <c r="BI40" i="3" s="1"/>
  <c r="P25" i="3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R39" i="3" l="1"/>
  <c r="AC25" i="3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Z33" i="3" s="1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L21" i="3"/>
  <c r="AK21" i="3"/>
  <c r="T59" i="3"/>
  <c r="U59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G19" i="3" l="1"/>
  <c r="AW74" i="3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E59" i="3"/>
  <c r="AC59" i="3"/>
  <c r="AK31" i="3"/>
  <c r="AJ31" i="3"/>
  <c r="AL31" i="3"/>
  <c r="AG31" i="3"/>
  <c r="AH31" i="3"/>
  <c r="AI31" i="3"/>
  <c r="AG34" i="3"/>
  <c r="AG33" i="3"/>
  <c r="AG28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V74" i="3" l="1"/>
  <c r="AZ74" i="3" s="1"/>
  <c r="AN61" i="3"/>
  <c r="AO61" i="3" s="1"/>
  <c r="AY61" i="3" s="1"/>
  <c r="CB13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A61" i="3" l="1"/>
  <c r="BE40" i="3"/>
  <c r="BB40" i="3"/>
  <c r="BA40" i="3"/>
  <c r="AB59" i="3"/>
  <c r="AF59" i="3" s="1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AV61" i="3" l="1"/>
  <c r="AZ61" i="3" s="1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BB61" i="3" l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A31" i="3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A40" i="4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U11" i="2"/>
  <c r="W11" i="2"/>
  <c r="X11" i="2"/>
  <c r="Z11" i="2"/>
  <c r="V14" i="2" l="1"/>
  <c r="V11" i="2"/>
  <c r="AB11" i="2" s="1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AB14" i="2" s="1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11" i="2"/>
  <c r="T11" i="2" l="1"/>
  <c r="T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<sst xmlns="http://schemas.openxmlformats.org/spreadsheetml/2006/main" count="590" uniqueCount="144">
  <si>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</si>
  <si>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</si>
  <si>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</si>
  <si>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</si>
  <si>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</si>
  <si>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</si>
  <si>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</si>
  <si>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</si>
  <si>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</si>
  <si>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</si>
  <si>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</si>
  <si>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</si>
  <si>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</si>
  <si>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</si>
  <si>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</si>
  <si>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</si>
  <si>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</si>
  <si>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</si>
  <si>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</si>
  <si>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</si>
  <si>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</si>
  <si>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</si>
  <si>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</si>
  <si>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</si>
  <si>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</si>
  <si>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</si>
  <si>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</si>
  <si>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</si>
  <si>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</si>
  <si>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</si>
  <si>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</si>
  <si>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</si>
  <si>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</si>
  <si>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</si>
  <si>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</si>
  <si>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</si>
  <si>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</si>
  <si>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</si>
  <si>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</si>
  <si>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</si>
  <si>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</si>
  <si>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</si>
  <si>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</si>
  <si>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</si>
  <si>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</si>
  <si>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</si>
  <si>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</si>
  <si>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</si>
  <si>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</si>
  <si>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</si>
  <si>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</si>
  <si>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</si>
  <si>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</si>
  <si>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</si>
  <si>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</si>
  <si>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</si>
  <si>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</si>
  <si>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</si>
  <si>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</si>
  <si>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</si>
  <si>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</si>
  <si>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</si>
  <si>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</si>
  <si>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</si>
  <si>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</si>
  <si>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</si>
  <si>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</si>
  <si>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</si>
  <si>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</si>
  <si>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</si>
  <si>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</si>
  <si>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</si>
  <si>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</si>
  <si>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</si>
  <si>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</si>
  <si>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</si>
  <si>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</si>
  <si>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</si>
  <si>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</si>
  <si>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</si>
  <si>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</si>
  <si>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</si>
  <si>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</si>
  <si>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</si>
  <si>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</si>
  <si>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</si>
  <si>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</si>
  <si>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</si>
  <si>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</si>
  <si>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</si>
  <si>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</si>
  <si>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</si>
  <si>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</si>
  <si>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</si>
  <si>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</si>
  <si>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</si>
  <si>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</si>
  <si>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</si>
  <si>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</si>
  <si>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</si>
  <si>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</si>
  <si>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</si>
  <si>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</si>
  <si>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</si>
  <si>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</si>
  <si>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</si>
  <si>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</si>
  <si>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</si>
  <si>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</si>
  <si>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</si>
  <si>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</si>
  <si>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</si>
  <si>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</si>
  <si>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</si>
  <si>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</si>
  <si>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</si>
  <si>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</si>
  <si>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</si>
  <si>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</si>
  <si>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</si>
  <si>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</si>
  <si>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</si>
  <si>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</si>
  <si>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</si>
  <si>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</si>
  <si>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</si>
  <si>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</si>
  <si>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</si>
  <si>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</si>
  <si>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</si>
  <si>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</si>
  <si>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</si>
  <si>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</si>
  <si>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</si>
  <si>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</si>
  <si>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</si>
  <si>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</si>
  <si>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</si>
  <si>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</si>
  <si>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</si>
  <si>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</si>
  <si>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Kyle Muscat</t>
  </si>
  <si>
    <t>Havertz</t>
  </si>
  <si>
    <t>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</si>
</sst>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10" activePane="bottomLeft" state="frozen"/>
      <selection pane="bottomLeft" activeCell="M62" sqref="M62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44" t="s">
        <v>133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</row>
    <row r="2" spans="1:103" ht="15" customHeight="1" x14ac:dyDescent="0.2">
      <c r="B2" s="260" t="s">
        <v>129</v>
      </c>
      <c r="C2" s="261"/>
      <c r="D2" s="261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62" t="s">
        <v>112</v>
      </c>
      <c r="V2" s="263"/>
      <c r="W2" s="263"/>
      <c r="X2" s="263"/>
      <c r="Y2" s="263"/>
      <c r="Z2" s="263"/>
      <c r="AA2" s="263"/>
      <c r="AB2" s="263"/>
      <c r="AC2" s="264"/>
    </row>
    <row r="3" spans="1:103" ht="15" customHeight="1" x14ac:dyDescent="0.2">
      <c r="B3" s="261"/>
      <c r="C3" s="261"/>
      <c r="D3" s="261"/>
      <c r="E3" s="205" t="s">
        <v>131</v>
      </c>
      <c r="G3" s="157"/>
      <c r="H3" s="157"/>
      <c r="I3" s="240" t="s">
        <v>108</v>
      </c>
      <c r="J3" s="240"/>
      <c r="K3" s="240"/>
      <c r="L3" s="240"/>
      <c r="M3" s="240"/>
      <c r="N3" s="240"/>
      <c r="O3" s="160"/>
      <c r="P3" s="157"/>
      <c r="Q3" s="157"/>
      <c r="R3" s="157"/>
      <c r="S3" s="157"/>
      <c r="T3" s="158"/>
      <c r="U3" s="265"/>
      <c r="V3" s="265"/>
      <c r="W3" s="265"/>
      <c r="X3" s="265"/>
      <c r="Y3" s="265"/>
      <c r="Z3" s="265"/>
      <c r="AA3" s="265"/>
      <c r="AB3" s="265"/>
      <c r="AC3" s="266"/>
    </row>
    <row r="4" spans="1:103" ht="15" customHeight="1" x14ac:dyDescent="0.2">
      <c r="B4" s="261"/>
      <c r="C4" s="261"/>
      <c r="D4" s="261"/>
      <c r="E4" s="205" t="s">
        <v>107</v>
      </c>
      <c r="G4" s="157"/>
      <c r="H4" s="157"/>
      <c r="I4" s="240"/>
      <c r="J4" s="240"/>
      <c r="K4" s="240"/>
      <c r="L4" s="240"/>
      <c r="M4" s="240"/>
      <c r="N4" s="240"/>
      <c r="O4" s="160"/>
      <c r="P4" s="157"/>
      <c r="Q4" s="157"/>
      <c r="R4" s="157"/>
      <c r="S4" s="157"/>
      <c r="T4" s="161" t="s">
        <v>109</v>
      </c>
      <c r="U4" s="267" t="s">
        <v>141</v>
      </c>
      <c r="V4" s="268"/>
      <c r="W4" s="268"/>
      <c r="X4" s="268"/>
      <c r="Y4" s="268"/>
      <c r="Z4" s="268"/>
      <c r="AA4" s="268"/>
      <c r="AB4" s="268"/>
      <c r="AC4" s="269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70" t="s">
        <v>32</v>
      </c>
      <c r="G9" s="270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8" t="s">
        <v>36</v>
      </c>
      <c r="P10" s="249"/>
      <c r="Q10" s="249"/>
      <c r="R10" s="249"/>
      <c r="S10" s="249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0</v>
      </c>
      <c r="G11" s="184">
        <v>1</v>
      </c>
      <c r="H11" s="41" t="s">
        <v>13</v>
      </c>
      <c r="I11" s="42"/>
      <c r="J11" s="42"/>
      <c r="K11" s="42"/>
      <c r="L11" s="241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5</v>
      </c>
      <c r="Y11" s="45" t="s">
        <v>45</v>
      </c>
      <c r="Z11" s="44">
        <f>VLOOKUP(P11,'Dummy Table'!B4:G40,6,FALSE)</f>
        <v>1</v>
      </c>
      <c r="AA11" s="44">
        <f>X11-Z11</f>
        <v>4</v>
      </c>
      <c r="AB11" s="44">
        <f>U11*3+V11*1</f>
        <v>9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1</v>
      </c>
      <c r="H12" s="50" t="s">
        <v>23</v>
      </c>
      <c r="I12" s="51"/>
      <c r="J12" s="51"/>
      <c r="K12" s="51"/>
      <c r="L12" s="242"/>
      <c r="M12" s="52" t="str">
        <f t="shared" ref="M12:M45" si="0">IF(F12&lt;&gt;"",IF(F12&gt;G12,E12,IF(F12&lt;G12,H12,"")),"")</f>
        <v/>
      </c>
      <c r="N12" s="31"/>
      <c r="O12" s="120">
        <v>2</v>
      </c>
      <c r="P12" s="272" t="str">
        <f>VLOOKUP(2,'Dummy Table'!A4:B8,2,FALSE)</f>
        <v>Turkey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2</v>
      </c>
      <c r="V12" s="53">
        <f>VLOOKUP(P12,'Dummy Table'!B4:D40,3,FALSE)</f>
        <v>0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6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42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0</v>
      </c>
      <c r="V13" s="54">
        <f>VLOOKUP(P13,'Dummy Table'!B4:D40,3,FALSE)</f>
        <v>1</v>
      </c>
      <c r="W13" s="54">
        <f>VLOOKUP(P13,'Dummy Table'!B4:E40,4,FALSE)</f>
        <v>2</v>
      </c>
      <c r="X13" s="54">
        <f>VLOOKUP(P13,'Dummy Table'!B4:F40,5,FALSE)</f>
        <v>2</v>
      </c>
      <c r="Y13" s="54" t="s">
        <v>45</v>
      </c>
      <c r="Z13" s="54">
        <f>VLOOKUP(P13,'Dummy Table'!B4:G40,6,FALSE)</f>
        <v>4</v>
      </c>
      <c r="AA13" s="54">
        <f>X13-Z13</f>
        <v>-2</v>
      </c>
      <c r="AB13" s="54">
        <f>U13*3+V13*1</f>
        <v>1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1</v>
      </c>
      <c r="H14" s="50" t="s">
        <v>18</v>
      </c>
      <c r="I14" s="51"/>
      <c r="J14" s="51"/>
      <c r="K14" s="51"/>
      <c r="L14" s="242"/>
      <c r="M14" s="52" t="str">
        <f t="shared" si="0"/>
        <v>Belgium</v>
      </c>
      <c r="N14" s="31"/>
      <c r="O14" s="122">
        <v>4</v>
      </c>
      <c r="P14" s="253" t="str">
        <f>VLOOKUP(4,'Dummy Table'!A4:B8,2,FALSE)</f>
        <v>Wales</v>
      </c>
      <c r="Q14" s="253"/>
      <c r="R14" s="253"/>
      <c r="S14" s="253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2</v>
      </c>
      <c r="Y14" s="55" t="s">
        <v>45</v>
      </c>
      <c r="Z14" s="55">
        <f>VLOOKUP(P14,'Dummy Table'!B4:G40,6,FALSE)</f>
        <v>5</v>
      </c>
      <c r="AA14" s="55">
        <f>X14-Z14</f>
        <v>-3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1</v>
      </c>
      <c r="G15" s="185">
        <v>0</v>
      </c>
      <c r="H15" s="50" t="s">
        <v>5</v>
      </c>
      <c r="I15" s="51"/>
      <c r="J15" s="51"/>
      <c r="K15" s="51"/>
      <c r="L15" s="242"/>
      <c r="M15" s="52" t="str">
        <f t="shared" si="0"/>
        <v>England</v>
      </c>
      <c r="N15" s="31"/>
      <c r="O15" s="248" t="s">
        <v>47</v>
      </c>
      <c r="P15" s="249"/>
      <c r="Q15" s="249"/>
      <c r="R15" s="249"/>
      <c r="S15" s="249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0</v>
      </c>
      <c r="H16" s="50" t="s">
        <v>15</v>
      </c>
      <c r="I16" s="51"/>
      <c r="J16" s="51"/>
      <c r="K16" s="51"/>
      <c r="L16" s="242"/>
      <c r="M16" s="52" t="str">
        <f t="shared" si="0"/>
        <v>Austria</v>
      </c>
      <c r="N16" s="31"/>
      <c r="O16" s="123">
        <v>1</v>
      </c>
      <c r="P16" s="250" t="str">
        <f>VLOOKUP(1,'Dummy Table'!A11:B15,2,FALSE)</f>
        <v>Belgium</v>
      </c>
      <c r="Q16" s="250"/>
      <c r="R16" s="250"/>
      <c r="S16" s="250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8</v>
      </c>
      <c r="Y16" s="57" t="s">
        <v>45</v>
      </c>
      <c r="Z16" s="56">
        <f>VLOOKUP(P16,'Dummy Table'!B4:G40,6,FALSE)</f>
        <v>2</v>
      </c>
      <c r="AA16" s="56">
        <f>X16-Z16</f>
        <v>6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1</v>
      </c>
      <c r="G17" s="185">
        <v>1</v>
      </c>
      <c r="H17" s="50" t="s">
        <v>25</v>
      </c>
      <c r="I17" s="51"/>
      <c r="J17" s="51"/>
      <c r="K17" s="51"/>
      <c r="L17" s="242"/>
      <c r="M17" s="52" t="str">
        <f t="shared" si="0"/>
        <v/>
      </c>
      <c r="N17" s="31"/>
      <c r="O17" s="123">
        <v>2</v>
      </c>
      <c r="P17" s="251" t="str">
        <f>VLOOKUP(2,'Dummy Table'!A11:B15,2,FALSE)</f>
        <v>Denmark</v>
      </c>
      <c r="Q17" s="251"/>
      <c r="R17" s="251"/>
      <c r="S17" s="251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4</v>
      </c>
      <c r="Y17" s="58" t="s">
        <v>45</v>
      </c>
      <c r="Z17" s="58">
        <f>VLOOKUP(P17,'Dummy Table'!B4:G40,6,FALSE)</f>
        <v>3</v>
      </c>
      <c r="AA17" s="58">
        <f>X17-Z17</f>
        <v>1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1</v>
      </c>
      <c r="H18" s="50" t="s">
        <v>6</v>
      </c>
      <c r="I18" s="51"/>
      <c r="J18" s="51"/>
      <c r="K18" s="51"/>
      <c r="L18" s="242"/>
      <c r="M18" s="52" t="str">
        <f t="shared" si="0"/>
        <v/>
      </c>
      <c r="N18" s="31"/>
      <c r="O18" s="124">
        <v>3</v>
      </c>
      <c r="P18" s="252" t="str">
        <f>VLOOKUP(3,'Dummy Table'!A11:B15,2,FALSE)</f>
        <v>Russia</v>
      </c>
      <c r="Q18" s="252"/>
      <c r="R18" s="252"/>
      <c r="S18" s="252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1</v>
      </c>
      <c r="W18" s="59">
        <f>VLOOKUP(P18,'Dummy Table'!B4:E40,4,FALSE)</f>
        <v>1</v>
      </c>
      <c r="X18" s="59">
        <f>VLOOKUP(P18,'Dummy Table'!B4:F40,5,FALSE)</f>
        <v>3</v>
      </c>
      <c r="Y18" s="59" t="s">
        <v>45</v>
      </c>
      <c r="Z18" s="59">
        <f>VLOOKUP(P18,'Dummy Table'!B4:G40,6,FALSE)</f>
        <v>4</v>
      </c>
      <c r="AA18" s="59">
        <f>X18-Z18</f>
        <v>-1</v>
      </c>
      <c r="AB18" s="59">
        <f>U18*3+V18*1</f>
        <v>4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1</v>
      </c>
      <c r="H19" s="50" t="s">
        <v>20</v>
      </c>
      <c r="I19" s="51"/>
      <c r="J19" s="51"/>
      <c r="K19" s="51"/>
      <c r="L19" s="242"/>
      <c r="M19" s="52" t="str">
        <f t="shared" si="0"/>
        <v>Poland</v>
      </c>
      <c r="N19" s="31"/>
      <c r="O19" s="122">
        <v>4</v>
      </c>
      <c r="P19" s="253" t="str">
        <f>VLOOKUP(4,'Dummy Table'!A11:B15,2,FALSE)</f>
        <v>Finland</v>
      </c>
      <c r="Q19" s="253"/>
      <c r="R19" s="253"/>
      <c r="S19" s="253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0</v>
      </c>
      <c r="Y19" s="55" t="s">
        <v>45</v>
      </c>
      <c r="Z19" s="55">
        <f>VLOOKUP(P19,'Dummy Table'!B4:G40,6,FALSE)</f>
        <v>6</v>
      </c>
      <c r="AA19" s="55">
        <f>X19-Z19</f>
        <v>-6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1</v>
      </c>
      <c r="G20" s="185">
        <v>0</v>
      </c>
      <c r="H20" s="50" t="s">
        <v>22</v>
      </c>
      <c r="I20" s="51"/>
      <c r="J20" s="51"/>
      <c r="K20" s="51"/>
      <c r="L20" s="242"/>
      <c r="M20" s="52" t="str">
        <f t="shared" si="0"/>
        <v>Spain</v>
      </c>
      <c r="N20" s="31"/>
      <c r="O20" s="248" t="s">
        <v>50</v>
      </c>
      <c r="P20" s="249"/>
      <c r="Q20" s="249"/>
      <c r="R20" s="249"/>
      <c r="S20" s="249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2</v>
      </c>
      <c r="H21" s="50" t="s">
        <v>17</v>
      </c>
      <c r="I21" s="51"/>
      <c r="J21" s="51"/>
      <c r="K21" s="51"/>
      <c r="L21" s="242"/>
      <c r="M21" s="52" t="str">
        <f t="shared" si="0"/>
        <v>Portugal</v>
      </c>
      <c r="N21" s="31"/>
      <c r="O21" s="125">
        <v>1</v>
      </c>
      <c r="P21" s="259" t="str">
        <f>VLOOKUP(1,'Dummy Table'!A18:B22,2,FALSE)</f>
        <v>Netherlands</v>
      </c>
      <c r="Q21" s="259"/>
      <c r="R21" s="259"/>
      <c r="S21" s="259"/>
      <c r="T21" s="60">
        <f>SUM(U21:W21)</f>
        <v>3</v>
      </c>
      <c r="U21" s="60">
        <f>VLOOKUP(P21,'Dummy Table'!B4:C40,2,FALSE)</f>
        <v>2</v>
      </c>
      <c r="V21" s="60">
        <f>VLOOKUP(P21,'Dummy Table'!B4:D40,3,FALSE)</f>
        <v>1</v>
      </c>
      <c r="W21" s="60">
        <f>VLOOKUP(P21,'Dummy Table'!B4:E40,4,FALSE)</f>
        <v>0</v>
      </c>
      <c r="X21" s="60">
        <f>VLOOKUP(P21,'Dummy Table'!B4:F40,5,FALSE)</f>
        <v>5</v>
      </c>
      <c r="Y21" s="61" t="s">
        <v>45</v>
      </c>
      <c r="Z21" s="60">
        <f>VLOOKUP(P21,'Dummy Table'!B4:G40,6,FALSE)</f>
        <v>3</v>
      </c>
      <c r="AA21" s="60">
        <f>X21-Z21</f>
        <v>2</v>
      </c>
      <c r="AB21" s="60">
        <f>U21*3+V21*1</f>
        <v>7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3</v>
      </c>
      <c r="G22" s="186">
        <v>1</v>
      </c>
      <c r="H22" s="66" t="s">
        <v>11</v>
      </c>
      <c r="I22" s="67"/>
      <c r="J22" s="67"/>
      <c r="K22" s="68"/>
      <c r="L22" s="243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1</v>
      </c>
      <c r="W22" s="70">
        <f>VLOOKUP(P22,'Dummy Table'!B4:E40,4,FALSE)</f>
        <v>0</v>
      </c>
      <c r="X22" s="70">
        <f>VLOOKUP(P22,'Dummy Table'!B4:F40,5,FALSE)</f>
        <v>3</v>
      </c>
      <c r="Y22" s="70" t="s">
        <v>45</v>
      </c>
      <c r="Z22" s="70">
        <f>VLOOKUP(P22,'Dummy Table'!B4:G40,6,FALSE)</f>
        <v>1</v>
      </c>
      <c r="AA22" s="70">
        <f>X22-Z22</f>
        <v>2</v>
      </c>
      <c r="AB22" s="70">
        <f>U22*3+V22*1</f>
        <v>7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1</v>
      </c>
      <c r="H23" s="75" t="s">
        <v>18</v>
      </c>
      <c r="I23" s="76"/>
      <c r="J23" s="76"/>
      <c r="K23" s="76"/>
      <c r="L23" s="254">
        <v>2</v>
      </c>
      <c r="M23" s="77" t="str">
        <f t="shared" si="0"/>
        <v>Russia</v>
      </c>
      <c r="N23" s="31"/>
      <c r="O23" s="126">
        <v>3</v>
      </c>
      <c r="P23" s="258" t="str">
        <f>VLOOKUP(3,'Dummy Table'!A18:B22,2,FALSE)</f>
        <v>Austria</v>
      </c>
      <c r="Q23" s="258"/>
      <c r="R23" s="258"/>
      <c r="S23" s="258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2</v>
      </c>
      <c r="Y23" s="78" t="s">
        <v>45</v>
      </c>
      <c r="Z23" s="78">
        <f>VLOOKUP(P23,'Dummy Table'!B4:G40,6,FALSE)</f>
        <v>3</v>
      </c>
      <c r="AA23" s="78">
        <f>X23-Z23</f>
        <v>-1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1</v>
      </c>
      <c r="H24" s="83" t="s">
        <v>26</v>
      </c>
      <c r="I24" s="84"/>
      <c r="J24" s="84"/>
      <c r="K24" s="84"/>
      <c r="L24" s="255"/>
      <c r="M24" s="85" t="str">
        <f t="shared" si="0"/>
        <v>Turkey</v>
      </c>
      <c r="N24" s="31"/>
      <c r="O24" s="122">
        <v>4</v>
      </c>
      <c r="P24" s="253" t="str">
        <f>VLOOKUP(4,'Dummy Table'!A18:B22,2,FALSE)</f>
        <v>North Macedonia</v>
      </c>
      <c r="Q24" s="253"/>
      <c r="R24" s="253"/>
      <c r="S24" s="253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1</v>
      </c>
      <c r="Y24" s="55" t="s">
        <v>45</v>
      </c>
      <c r="Z24" s="55">
        <f>VLOOKUP(P24,'Dummy Table'!B4:G40,6,FALSE)</f>
        <v>4</v>
      </c>
      <c r="AA24" s="55">
        <f>X24-Z24</f>
        <v>-3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1</v>
      </c>
      <c r="H25" s="83" t="s">
        <v>23</v>
      </c>
      <c r="I25" s="84"/>
      <c r="J25" s="84"/>
      <c r="K25" s="84"/>
      <c r="L25" s="255"/>
      <c r="M25" s="85" t="str">
        <f t="shared" si="0"/>
        <v>Italy</v>
      </c>
      <c r="N25" s="31"/>
      <c r="O25" s="248" t="s">
        <v>51</v>
      </c>
      <c r="P25" s="249"/>
      <c r="Q25" s="249"/>
      <c r="R25" s="249"/>
      <c r="S25" s="249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1</v>
      </c>
      <c r="G26" s="185">
        <v>0</v>
      </c>
      <c r="H26" s="83" t="s">
        <v>15</v>
      </c>
      <c r="I26" s="84"/>
      <c r="J26" s="84"/>
      <c r="K26" s="84"/>
      <c r="L26" s="255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6</v>
      </c>
      <c r="Y26" s="87" t="s">
        <v>45</v>
      </c>
      <c r="Z26" s="86">
        <f>VLOOKUP(P26,'Dummy Table'!B4:G40,6,FALSE)</f>
        <v>2</v>
      </c>
      <c r="AA26" s="86">
        <f>X26-Z26</f>
        <v>4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2</v>
      </c>
      <c r="H27" s="83" t="s">
        <v>4</v>
      </c>
      <c r="I27" s="84"/>
      <c r="J27" s="84"/>
      <c r="K27" s="84"/>
      <c r="L27" s="255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0</v>
      </c>
      <c r="W27" s="88">
        <f>VLOOKUP(P27,'Dummy Table'!B4:E40,4,FALSE)</f>
        <v>1</v>
      </c>
      <c r="X27" s="88">
        <f>VLOOKUP(P27,'Dummy Table'!B4:F40,5,FALSE)</f>
        <v>3</v>
      </c>
      <c r="Y27" s="88" t="s">
        <v>45</v>
      </c>
      <c r="Z27" s="88">
        <f>VLOOKUP(P27,'Dummy Table'!B4:G40,6,FALSE)</f>
        <v>2</v>
      </c>
      <c r="AA27" s="88">
        <f>X27-Z27</f>
        <v>1</v>
      </c>
      <c r="AB27" s="88">
        <f>U27*3+V27*1</f>
        <v>6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1</v>
      </c>
      <c r="H28" s="83" t="s">
        <v>2</v>
      </c>
      <c r="I28" s="84"/>
      <c r="J28" s="84"/>
      <c r="K28" s="84"/>
      <c r="L28" s="255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Czech Republic</v>
      </c>
      <c r="Q28" s="276"/>
      <c r="R28" s="276"/>
      <c r="S28" s="276"/>
      <c r="T28" s="89">
        <f t="shared" si="4"/>
        <v>3</v>
      </c>
      <c r="U28" s="89">
        <f>VLOOKUP(P28,'Dummy Table'!B4:C40,2,FALSE)</f>
        <v>0</v>
      </c>
      <c r="V28" s="89">
        <f>VLOOKUP(P28,'Dummy Table'!B4:D40,3,FALSE)</f>
        <v>1</v>
      </c>
      <c r="W28" s="89">
        <f>VLOOKUP(P28,'Dummy Table'!B4:E40,4,FALSE)</f>
        <v>2</v>
      </c>
      <c r="X28" s="89">
        <f>VLOOKUP(P28,'Dummy Table'!B4:F40,5,FALSE)</f>
        <v>3</v>
      </c>
      <c r="Y28" s="89" t="s">
        <v>45</v>
      </c>
      <c r="Z28" s="89">
        <f>VLOOKUP(P28,'Dummy Table'!B4:G40,6,FALSE)</f>
        <v>5</v>
      </c>
      <c r="AA28" s="89">
        <f>X28-Z28</f>
        <v>-2</v>
      </c>
      <c r="AB28" s="89">
        <f>U28*3+V28*1</f>
        <v>1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0</v>
      </c>
      <c r="H29" s="83" t="s">
        <v>20</v>
      </c>
      <c r="I29" s="84"/>
      <c r="J29" s="84"/>
      <c r="K29" s="84"/>
      <c r="L29" s="255"/>
      <c r="M29" s="85" t="str">
        <f t="shared" si="0"/>
        <v>Sweden</v>
      </c>
      <c r="N29" s="31"/>
      <c r="O29" s="122">
        <v>4</v>
      </c>
      <c r="P29" s="253" t="str">
        <f>VLOOKUP(4,'Dummy Table'!A25:B29,2,FALSE)</f>
        <v>Scotland</v>
      </c>
      <c r="Q29" s="253"/>
      <c r="R29" s="253"/>
      <c r="S29" s="253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2</v>
      </c>
      <c r="Y29" s="55" t="s">
        <v>45</v>
      </c>
      <c r="Z29" s="55">
        <f>VLOOKUP(P29,'Dummy Table'!B4:G40,6,FALSE)</f>
        <v>5</v>
      </c>
      <c r="AA29" s="55">
        <f>X29-Z29</f>
        <v>-3</v>
      </c>
      <c r="AB29" s="55">
        <f>U29*3+V29*1</f>
        <v>1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1</v>
      </c>
      <c r="H30" s="83" t="s">
        <v>6</v>
      </c>
      <c r="I30" s="84"/>
      <c r="J30" s="84"/>
      <c r="K30" s="84"/>
      <c r="L30" s="255"/>
      <c r="M30" s="85" t="str">
        <f t="shared" si="0"/>
        <v>Croatia</v>
      </c>
      <c r="N30" s="31"/>
      <c r="O30" s="248" t="s">
        <v>52</v>
      </c>
      <c r="P30" s="249"/>
      <c r="Q30" s="249"/>
      <c r="R30" s="249"/>
      <c r="S30" s="249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1</v>
      </c>
      <c r="H31" s="83" t="s">
        <v>19</v>
      </c>
      <c r="I31" s="84"/>
      <c r="J31" s="84"/>
      <c r="K31" s="84"/>
      <c r="L31" s="255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1</v>
      </c>
      <c r="AA31" s="90">
        <f>X31-Z31</f>
        <v>3</v>
      </c>
      <c r="AB31" s="90">
        <f>U31*3+V31*1</f>
        <v>7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1</v>
      </c>
      <c r="G32" s="185">
        <v>2</v>
      </c>
      <c r="H32" s="83" t="s">
        <v>10</v>
      </c>
      <c r="I32" s="84"/>
      <c r="J32" s="84"/>
      <c r="K32" s="84"/>
      <c r="L32" s="255"/>
      <c r="M32" s="85" t="str">
        <f t="shared" si="0"/>
        <v>France</v>
      </c>
      <c r="N32" s="31"/>
      <c r="O32" s="129">
        <v>2</v>
      </c>
      <c r="P32" s="257" t="str">
        <f>VLOOKUP(2,'Dummy Table'!A31:B35,2,FALSE)</f>
        <v>Poland</v>
      </c>
      <c r="Q32" s="257"/>
      <c r="R32" s="257"/>
      <c r="S32" s="257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4</v>
      </c>
      <c r="Y32" s="92" t="s">
        <v>45</v>
      </c>
      <c r="Z32" s="92">
        <f>VLOOKUP(P32,'Dummy Table'!B4:G40,6,FALSE)</f>
        <v>3</v>
      </c>
      <c r="AA32" s="92">
        <f>X32-Z32</f>
        <v>1</v>
      </c>
      <c r="AB32" s="92">
        <f>U32*3+V32*1</f>
        <v>5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2</v>
      </c>
      <c r="H33" s="83" t="s">
        <v>11</v>
      </c>
      <c r="I33" s="84"/>
      <c r="J33" s="84"/>
      <c r="K33" s="84"/>
      <c r="L33" s="255"/>
      <c r="M33" s="85" t="str">
        <f t="shared" si="0"/>
        <v>Germany</v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1</v>
      </c>
      <c r="W33" s="93">
        <f>VLOOKUP(P33,'Dummy Table'!B4:E40,4,FALSE)</f>
        <v>1</v>
      </c>
      <c r="X33" s="93">
        <f>VLOOKUP(P33,'Dummy Table'!B4:F40,5,FALSE)</f>
        <v>2</v>
      </c>
      <c r="Y33" s="93" t="s">
        <v>45</v>
      </c>
      <c r="Z33" s="93">
        <f>VLOOKUP(P33,'Dummy Table'!B4:G40,6,FALSE)</f>
        <v>2</v>
      </c>
      <c r="AA33" s="93">
        <f>X33-Z33</f>
        <v>0</v>
      </c>
      <c r="AB33" s="93">
        <f>U33*3+V33*1</f>
        <v>4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1</v>
      </c>
      <c r="G34" s="186">
        <v>1</v>
      </c>
      <c r="H34" s="98" t="s">
        <v>16</v>
      </c>
      <c r="I34" s="99"/>
      <c r="J34" s="99"/>
      <c r="K34" s="100"/>
      <c r="L34" s="256"/>
      <c r="M34" s="101" t="str">
        <f t="shared" si="0"/>
        <v/>
      </c>
      <c r="N34" s="31"/>
      <c r="O34" s="122">
        <v>4</v>
      </c>
      <c r="P34" s="253" t="str">
        <f>VLOOKUP(4,'Dummy Table'!A31:B35,2,FALSE)</f>
        <v>Slovakia</v>
      </c>
      <c r="Q34" s="253"/>
      <c r="R34" s="253"/>
      <c r="S34" s="253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1</v>
      </c>
      <c r="Y34" s="55" t="s">
        <v>45</v>
      </c>
      <c r="Z34" s="55">
        <f>VLOOKUP(P34,'Dummy Table'!B4:G40,6,FALSE)</f>
        <v>5</v>
      </c>
      <c r="AA34" s="55">
        <f>X34-Z34</f>
        <v>-4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0</v>
      </c>
      <c r="G35" s="210">
        <v>1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Turkey</v>
      </c>
      <c r="N35" s="31"/>
      <c r="O35" s="248" t="s">
        <v>53</v>
      </c>
      <c r="P35" s="249"/>
      <c r="Q35" s="249"/>
      <c r="R35" s="249"/>
      <c r="S35" s="249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0</v>
      </c>
      <c r="H36" s="50" t="s">
        <v>26</v>
      </c>
      <c r="I36" s="51"/>
      <c r="J36" s="51"/>
      <c r="K36" s="51"/>
      <c r="L36" s="242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6</v>
      </c>
      <c r="Y36" s="104" t="s">
        <v>45</v>
      </c>
      <c r="Z36" s="103">
        <f>VLOOKUP(P36,'Dummy Table'!B4:G40,6,FALSE)</f>
        <v>3</v>
      </c>
      <c r="AA36" s="103">
        <f>X36-Z36</f>
        <v>3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1</v>
      </c>
      <c r="G37" s="185">
        <v>2</v>
      </c>
      <c r="H37" s="50" t="s">
        <v>14</v>
      </c>
      <c r="I37" s="51"/>
      <c r="J37" s="51"/>
      <c r="K37" s="51"/>
      <c r="L37" s="242"/>
      <c r="M37" s="52" t="str">
        <f t="shared" si="0"/>
        <v>Netherlands</v>
      </c>
      <c r="N37" s="31"/>
      <c r="O37" s="131">
        <v>2</v>
      </c>
      <c r="P37" s="283" t="str">
        <f>VLOOKUP(2,'Dummy Table'!A37:B41,2,FALSE)</f>
        <v>Germany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0</v>
      </c>
      <c r="W37" s="105">
        <f>VLOOKUP(P37,'Dummy Table'!B4:E40,4,FALSE)</f>
        <v>1</v>
      </c>
      <c r="X37" s="105">
        <f>VLOOKUP(P37,'Dummy Table'!B4:F40,5,FALSE)</f>
        <v>5</v>
      </c>
      <c r="Y37" s="105" t="s">
        <v>45</v>
      </c>
      <c r="Z37" s="105">
        <f>VLOOKUP(P37,'Dummy Table'!B4:G40,6,FALSE)</f>
        <v>5</v>
      </c>
      <c r="AA37" s="105">
        <f>X37-Z37</f>
        <v>0</v>
      </c>
      <c r="AB37" s="105">
        <f>U37*3+V37*1</f>
        <v>6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1</v>
      </c>
      <c r="G38" s="185">
        <v>0</v>
      </c>
      <c r="H38" s="50" t="s">
        <v>2</v>
      </c>
      <c r="I38" s="51"/>
      <c r="J38" s="51"/>
      <c r="K38" s="51"/>
      <c r="L38" s="242"/>
      <c r="M38" s="52" t="str">
        <f t="shared" si="0"/>
        <v>Ukraine</v>
      </c>
      <c r="N38" s="31"/>
      <c r="O38" s="132">
        <v>3</v>
      </c>
      <c r="P38" s="284" t="str">
        <f>VLOOKUP(3,'Dummy Table'!A37:B41,2,FALSE)</f>
        <v>Portugal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4</v>
      </c>
      <c r="Y38" s="106" t="s">
        <v>45</v>
      </c>
      <c r="Z38" s="106">
        <f>VLOOKUP(P38,'Dummy Table'!B4:G40,6,FALSE)</f>
        <v>3</v>
      </c>
      <c r="AA38" s="106">
        <f>X38-Z38</f>
        <v>1</v>
      </c>
      <c r="AB38" s="106">
        <f>U38*3+V38*1</f>
        <v>4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1</v>
      </c>
      <c r="H39" s="50" t="s">
        <v>7</v>
      </c>
      <c r="I39" s="51"/>
      <c r="J39" s="51"/>
      <c r="K39" s="51"/>
      <c r="L39" s="242"/>
      <c r="M39" s="52" t="str">
        <f t="shared" si="0"/>
        <v/>
      </c>
      <c r="N39" s="31"/>
      <c r="O39" s="122">
        <v>4</v>
      </c>
      <c r="P39" s="253" t="str">
        <f>VLOOKUP(4,'Dummy Table'!A37:B41,2,FALSE)</f>
        <v>Hungary</v>
      </c>
      <c r="Q39" s="253"/>
      <c r="R39" s="253"/>
      <c r="S39" s="253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2</v>
      </c>
      <c r="Y39" s="55" t="s">
        <v>45</v>
      </c>
      <c r="Z39" s="55">
        <f>VLOOKUP(P39,'Dummy Table'!B4:G40,6,FALSE)</f>
        <v>6</v>
      </c>
      <c r="AA39" s="55">
        <f>X39-Z39</f>
        <v>-4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3</v>
      </c>
      <c r="H40" s="50" t="s">
        <v>4</v>
      </c>
      <c r="I40" s="51"/>
      <c r="J40" s="51"/>
      <c r="K40" s="51"/>
      <c r="L40" s="242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1</v>
      </c>
      <c r="G41" s="185">
        <v>0</v>
      </c>
      <c r="H41" s="50" t="s">
        <v>19</v>
      </c>
      <c r="I41" s="51"/>
      <c r="J41" s="51"/>
      <c r="K41" s="51"/>
      <c r="L41" s="242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1</v>
      </c>
      <c r="G42" s="185">
        <v>2</v>
      </c>
      <c r="H42" s="50" t="s">
        <v>8</v>
      </c>
      <c r="I42" s="51"/>
      <c r="J42" s="51"/>
      <c r="K42" s="51"/>
      <c r="L42" s="242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1</v>
      </c>
      <c r="H43" s="50" t="s">
        <v>16</v>
      </c>
      <c r="I43" s="51"/>
      <c r="J43" s="51"/>
      <c r="K43" s="51"/>
      <c r="L43" s="242"/>
      <c r="M43" s="52" t="str">
        <f t="shared" si="0"/>
        <v/>
      </c>
      <c r="N43" s="31"/>
      <c r="O43" s="139">
        <v>1</v>
      </c>
      <c r="P43" s="285" t="str">
        <f>INDEX('Dummy Table'!DH3:DH8,MATCH(Matches!O43,'Dummy Table'!DU3:DU8,0),0)</f>
        <v>Portugal</v>
      </c>
      <c r="Q43" s="285"/>
      <c r="R43" s="285"/>
      <c r="S43" s="285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4</v>
      </c>
      <c r="Y43" s="111" t="s">
        <v>45</v>
      </c>
      <c r="Z43" s="111">
        <f>VLOOKUP(P43,P11:AB39,11,FALSE)</f>
        <v>3</v>
      </c>
      <c r="AA43" s="111">
        <f>VLOOKUP(P43,P11:AB39,12,FALSE)</f>
        <v>1</v>
      </c>
      <c r="AB43" s="111">
        <f>VLOOKUP(P43,P11:AB39,13,FALSE)</f>
        <v>4</v>
      </c>
      <c r="AC43" s="140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2</v>
      </c>
      <c r="H44" s="50" t="s">
        <v>21</v>
      </c>
      <c r="I44" s="51"/>
      <c r="J44" s="51"/>
      <c r="K44" s="51"/>
      <c r="L44" s="242"/>
      <c r="M44" s="52" t="str">
        <f t="shared" si="0"/>
        <v>Spain</v>
      </c>
      <c r="N44" s="31"/>
      <c r="O44" s="139">
        <v>2</v>
      </c>
      <c r="P44" s="285" t="str">
        <f>INDEX('Dummy Table'!DH3:DH8,MATCH(Matches!O44,'Dummy Table'!DU3:DU8,0),0)</f>
        <v>Sweden</v>
      </c>
      <c r="Q44" s="285"/>
      <c r="R44" s="285"/>
      <c r="S44" s="285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2</v>
      </c>
      <c r="Y44" s="111" t="s">
        <v>45</v>
      </c>
      <c r="Z44" s="111">
        <f>VLOOKUP(P44,P11:AB39,11,FALSE)</f>
        <v>2</v>
      </c>
      <c r="AA44" s="111">
        <f>VLOOKUP(P44,P11:AB39,12,FALSE)</f>
        <v>0</v>
      </c>
      <c r="AB44" s="111">
        <f>VLOOKUP(P44,P11:AB39,13,FALSE)</f>
        <v>4</v>
      </c>
      <c r="AC44" s="140" t="str">
        <f>INDEX('Dummy Table'!DV3:DV8,MATCH(Matches!O44,'Dummy Table'!DU3:DU8,0),0)</f>
        <v>E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1</v>
      </c>
      <c r="H45" s="50" t="s">
        <v>10</v>
      </c>
      <c r="I45" s="51"/>
      <c r="J45" s="51"/>
      <c r="K45" s="51"/>
      <c r="L45" s="242"/>
      <c r="M45" s="52" t="str">
        <f t="shared" si="0"/>
        <v/>
      </c>
      <c r="N45" s="31"/>
      <c r="O45" s="139">
        <v>3</v>
      </c>
      <c r="P45" s="285" t="str">
        <f>INDEX('Dummy Table'!DH3:DH8,MATCH(Matches!O45,'Dummy Table'!DU3:DU8,0),0)</f>
        <v>Russia</v>
      </c>
      <c r="Q45" s="285"/>
      <c r="R45" s="285"/>
      <c r="S45" s="285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3</v>
      </c>
      <c r="Y45" s="111" t="s">
        <v>45</v>
      </c>
      <c r="Z45" s="111">
        <f>VLOOKUP(P45,P11:AB39,11,FALSE)</f>
        <v>4</v>
      </c>
      <c r="AA45" s="111">
        <f>VLOOKUP(P45,P11:AB39,12,FALSE)</f>
        <v>-1</v>
      </c>
      <c r="AB45" s="111">
        <f>VLOOKUP(P45,P11:AB39,13,FALSE)</f>
        <v>4</v>
      </c>
      <c r="AC45" s="140" t="str">
        <f>INDEX('Dummy Table'!DV3:DV8,MATCH(Matches!O45,'Dummy Table'!DU3:DU8,0),0)</f>
        <v>B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2</v>
      </c>
      <c r="G46" s="186">
        <v>1</v>
      </c>
      <c r="H46" s="66" t="s">
        <v>12</v>
      </c>
      <c r="I46" s="67"/>
      <c r="J46" s="67"/>
      <c r="K46" s="67"/>
      <c r="L46" s="243"/>
      <c r="M46" s="69" t="str">
        <f>IF(F46&lt;&gt;"",IF(F46&gt;G46,E46,IF(F46&lt;G46,H46,"")),"")</f>
        <v>Germany</v>
      </c>
      <c r="N46" s="31"/>
      <c r="O46" s="139">
        <v>4</v>
      </c>
      <c r="P46" s="285" t="str">
        <f>INDEX('Dummy Table'!DH3:DH8,MATCH(Matches!O46,'Dummy Table'!DU3:DU8,0),0)</f>
        <v>Austria</v>
      </c>
      <c r="Q46" s="285"/>
      <c r="R46" s="285"/>
      <c r="S46" s="285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2</v>
      </c>
      <c r="Y46" s="111" t="s">
        <v>45</v>
      </c>
      <c r="Z46" s="111">
        <f>VLOOKUP(P46,P11:AB39,11,FALSE)</f>
        <v>3</v>
      </c>
      <c r="AA46" s="111">
        <f>VLOOKUP(P46,P11:AB39,12,FALSE)</f>
        <v>-1</v>
      </c>
      <c r="AB46" s="111">
        <f>VLOOKUP(P46,P11:AB39,13,FALSE)</f>
        <v>3</v>
      </c>
      <c r="AC46" s="140" t="str">
        <f>INDEX('Dummy Table'!DV3:DV8,MATCH(Matches!O46,'Dummy Table'!DU3:DU8,0),0)</f>
        <v>C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78" t="str">
        <f>INDEX('Dummy Table'!DH3:DH8,MATCH(Matches!O47,'Dummy Table'!DU3:DU8,0),0)</f>
        <v>Czech Republic</v>
      </c>
      <c r="Q47" s="278"/>
      <c r="R47" s="278"/>
      <c r="S47" s="278"/>
      <c r="T47" s="112">
        <f>VLOOKUP(P47,P11:AB39,5,FALSE)</f>
        <v>3</v>
      </c>
      <c r="U47" s="112">
        <f>VLOOKUP(P47,P11:AB39,6,FALSE)</f>
        <v>0</v>
      </c>
      <c r="V47" s="112">
        <f>VLOOKUP(P47,P11:AB39,7,FALSE)</f>
        <v>1</v>
      </c>
      <c r="W47" s="112">
        <f>VLOOKUP(P47,P11:AB39,8,FALSE)</f>
        <v>2</v>
      </c>
      <c r="X47" s="112">
        <f>VLOOKUP(P47,P11:AB39,9,FALSE)</f>
        <v>3</v>
      </c>
      <c r="Y47" s="112" t="s">
        <v>45</v>
      </c>
      <c r="Z47" s="112">
        <f>VLOOKUP(P47,P11:AB39,11,FALSE)</f>
        <v>5</v>
      </c>
      <c r="AA47" s="112">
        <f>VLOOKUP(P47,P11:AB39,12,FALSE)</f>
        <v>-2</v>
      </c>
      <c r="AB47" s="112">
        <f>VLOOKUP(P47,P11:AB39,13,FALSE)</f>
        <v>1</v>
      </c>
      <c r="AC47" s="142" t="str">
        <f>INDEX('Dummy Table'!DV3:DV8,MATCH(Matches!O47,'Dummy Table'!DU3:DU8,0),0)</f>
        <v>D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79" t="str">
        <f>INDEX('Dummy Table'!DH3:DH8,MATCH(Matches!O48,'Dummy Table'!DU3:DU8,0),0)</f>
        <v>Switzerland</v>
      </c>
      <c r="Q48" s="279"/>
      <c r="R48" s="279"/>
      <c r="S48" s="279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2</v>
      </c>
      <c r="Y48" s="144" t="s">
        <v>45</v>
      </c>
      <c r="Z48" s="144">
        <f>VLOOKUP(P48,P11:AB39,11,FALSE)</f>
        <v>4</v>
      </c>
      <c r="AA48" s="144">
        <f>VLOOKUP(P48,P11:AB39,12,FALSE)</f>
        <v>-2</v>
      </c>
      <c r="AB48" s="144">
        <f>VLOOKUP(P48,P11:AB39,13,FALSE)</f>
        <v>1</v>
      </c>
      <c r="AC48" s="145" t="str">
        <f>INDEX('Dummy Table'!DV3:DV8,MATCH(Matches!O48,'Dummy Table'!DU3:DU8,0),0)</f>
        <v>A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17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7" t="s">
        <v>13</v>
      </c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239"/>
      <c r="N50" s="31"/>
      <c r="O50" s="280" t="s">
        <v>122</v>
      </c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  <c r="AA50" s="281"/>
      <c r="AB50" s="281"/>
      <c r="AC50" s="281"/>
      <c r="AD50" s="282"/>
      <c r="AE50" s="17"/>
      <c r="AF50" s="17"/>
      <c r="AG50" s="17"/>
      <c r="AH50" s="16"/>
      <c r="AI50" s="17"/>
      <c r="AJ50" s="17"/>
    </row>
    <row r="51" spans="1:96" ht="15" customHeight="1" x14ac:dyDescent="0.2">
      <c r="B51" s="237" t="s">
        <v>10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239"/>
      <c r="N51" s="31"/>
      <c r="O51" s="245" t="s">
        <v>123</v>
      </c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7"/>
    </row>
    <row r="52" spans="1:96" ht="15" customHeight="1" thickBot="1" x14ac:dyDescent="0.25">
      <c r="B52" s="214" t="s">
        <v>11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45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7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11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45" t="s">
        <v>118</v>
      </c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  <c r="AD56" s="247"/>
    </row>
    <row r="57" spans="1:96" ht="15" customHeight="1" thickBot="1" x14ac:dyDescent="0.25">
      <c r="N57" s="21"/>
      <c r="O57" s="245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6"/>
      <c r="AD57" s="247"/>
    </row>
    <row r="58" spans="1:96" ht="15" customHeight="1" x14ac:dyDescent="0.2">
      <c r="B58" s="234" t="s">
        <v>114</v>
      </c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143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142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Kyle Muscat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0-1</v>
      </c>
    </row>
    <row r="4" spans="1:1" x14ac:dyDescent="0.2">
      <c r="A4" s="190" t="str">
        <f>TEXT(Matches!F12,"#0")&amp;"-"&amp;TEXT(Matches!G12,"#0")</f>
        <v>1-1</v>
      </c>
    </row>
    <row r="5" spans="1:1" x14ac:dyDescent="0.2">
      <c r="A5" s="190" t="str">
        <f>TEXT(Matches!F13,"#0")&amp;"-"&amp;TEXT(Matches!G13,"#0")</f>
        <v>2-0</v>
      </c>
    </row>
    <row r="6" spans="1:1" x14ac:dyDescent="0.2">
      <c r="A6" s="190" t="str">
        <f>TEXT(Matches!F14,"#0")&amp;"-"&amp;TEXT(Matches!G14,"#0")</f>
        <v>3-1</v>
      </c>
    </row>
    <row r="7" spans="1:1" x14ac:dyDescent="0.2">
      <c r="A7" s="190" t="str">
        <f>TEXT(Matches!F15,"#0")&amp;"-"&amp;TEXT(Matches!G15,"#0")</f>
        <v>1-0</v>
      </c>
    </row>
    <row r="8" spans="1:1" x14ac:dyDescent="0.2">
      <c r="A8" s="190" t="str">
        <f>TEXT(Matches!F16,"#0")&amp;"-"&amp;TEXT(Matches!G16,"#0")</f>
        <v>1-0</v>
      </c>
    </row>
    <row r="9" spans="1:1" x14ac:dyDescent="0.2">
      <c r="A9" s="190" t="str">
        <f>TEXT(Matches!F17,"#0")&amp;"-"&amp;TEXT(Matches!G17,"#0")</f>
        <v>1-1</v>
      </c>
    </row>
    <row r="10" spans="1:1" x14ac:dyDescent="0.2">
      <c r="A10" s="190" t="str">
        <f>TEXT(Matches!F18,"#0")&amp;"-"&amp;TEXT(Matches!G18,"#0")</f>
        <v>1-1</v>
      </c>
    </row>
    <row r="11" spans="1:1" x14ac:dyDescent="0.2">
      <c r="A11" s="190" t="str">
        <f>TEXT(Matches!F19,"#0")&amp;"-"&amp;TEXT(Matches!G19,"#0")</f>
        <v>2-1</v>
      </c>
    </row>
    <row r="12" spans="1:1" x14ac:dyDescent="0.2">
      <c r="A12" s="190" t="str">
        <f>TEXT(Matches!F20,"#0")&amp;"-"&amp;TEXT(Matches!G20,"#0")</f>
        <v>1-0</v>
      </c>
    </row>
    <row r="13" spans="1:1" x14ac:dyDescent="0.2">
      <c r="A13" s="190" t="str">
        <f>TEXT(Matches!F21,"#0")&amp;"-"&amp;TEXT(Matches!G21,"#0")</f>
        <v>0-2</v>
      </c>
    </row>
    <row r="14" spans="1:1" x14ac:dyDescent="0.2">
      <c r="A14" s="190" t="str">
        <f>TEXT(Matches!F22,"#0")&amp;"-"&amp;TEXT(Matches!G22,"#0")</f>
        <v>3-1</v>
      </c>
    </row>
    <row r="15" spans="1:1" x14ac:dyDescent="0.2">
      <c r="A15" s="190" t="str">
        <f>TEXT(Matches!F23,"#0")&amp;"-"&amp;TEXT(Matches!G23,"#0")</f>
        <v>0-1</v>
      </c>
    </row>
    <row r="16" spans="1:1" x14ac:dyDescent="0.2">
      <c r="A16" s="190" t="str">
        <f>TEXT(Matches!F24,"#0")&amp;"-"&amp;TEXT(Matches!G24,"#0")</f>
        <v>2-1</v>
      </c>
    </row>
    <row r="17" spans="1:1" x14ac:dyDescent="0.2">
      <c r="A17" s="190" t="str">
        <f>TEXT(Matches!F25,"#0")&amp;"-"&amp;TEXT(Matches!G25,"#0")</f>
        <v>2-1</v>
      </c>
    </row>
    <row r="18" spans="1:1" x14ac:dyDescent="0.2">
      <c r="A18" s="190" t="str">
        <f>TEXT(Matches!F26,"#0")&amp;"-"&amp;TEXT(Matches!G26,"#0")</f>
        <v>1-0</v>
      </c>
    </row>
    <row r="19" spans="1:1" x14ac:dyDescent="0.2">
      <c r="A19" s="190" t="str">
        <f>TEXT(Matches!F27,"#0")&amp;"-"&amp;TEXT(Matches!G27,"#0")</f>
        <v>1-2</v>
      </c>
    </row>
    <row r="20" spans="1:1" x14ac:dyDescent="0.2">
      <c r="A20" s="190" t="str">
        <f>TEXT(Matches!F28,"#0")&amp;"-"&amp;TEXT(Matches!G28,"#0")</f>
        <v>2-1</v>
      </c>
    </row>
    <row r="21" spans="1:1" x14ac:dyDescent="0.2">
      <c r="A21" s="190" t="str">
        <f>TEXT(Matches!F29,"#0")&amp;"-"&amp;TEXT(Matches!G29,"#0")</f>
        <v>1-0</v>
      </c>
    </row>
    <row r="22" spans="1:1" x14ac:dyDescent="0.2">
      <c r="A22" s="190" t="str">
        <f>TEXT(Matches!F30,"#0")&amp;"-"&amp;TEXT(Matches!G30,"#0")</f>
        <v>2-1</v>
      </c>
    </row>
    <row r="23" spans="1:1" x14ac:dyDescent="0.2">
      <c r="A23" s="190" t="str">
        <f>TEXT(Matches!F31,"#0")&amp;"-"&amp;TEXT(Matches!G31,"#0")</f>
        <v>3-1</v>
      </c>
    </row>
    <row r="24" spans="1:1" x14ac:dyDescent="0.2">
      <c r="A24" s="190" t="str">
        <f>TEXT(Matches!F32,"#0")&amp;"-"&amp;TEXT(Matches!G32,"#0")</f>
        <v>1-2</v>
      </c>
    </row>
    <row r="25" spans="1:1" x14ac:dyDescent="0.2">
      <c r="A25" s="190" t="str">
        <f>TEXT(Matches!F33,"#0")&amp;"-"&amp;TEXT(Matches!G33,"#0")</f>
        <v>1-2</v>
      </c>
    </row>
    <row r="26" spans="1:1" x14ac:dyDescent="0.2">
      <c r="A26" s="190" t="str">
        <f>TEXT(Matches!F34,"#0")&amp;"-"&amp;TEXT(Matches!G34,"#0")</f>
        <v>1-1</v>
      </c>
    </row>
    <row r="27" spans="1:1" x14ac:dyDescent="0.2">
      <c r="A27" s="190" t="str">
        <f>TEXT(Matches!F35,"#0")&amp;"-"&amp;TEXT(Matches!G35,"#0")</f>
        <v>0-1</v>
      </c>
    </row>
    <row r="28" spans="1:1" x14ac:dyDescent="0.2">
      <c r="A28" s="190" t="str">
        <f>TEXT(Matches!F36,"#0")&amp;"-"&amp;TEXT(Matches!G36,"#0")</f>
        <v>2-0</v>
      </c>
    </row>
    <row r="29" spans="1:1" x14ac:dyDescent="0.2">
      <c r="A29" s="190" t="str">
        <f>TEXT(Matches!F37,"#0")&amp;"-"&amp;TEXT(Matches!G37,"#0")</f>
        <v>1-2</v>
      </c>
    </row>
    <row r="30" spans="1:1" x14ac:dyDescent="0.2">
      <c r="A30" s="190" t="str">
        <f>TEXT(Matches!F38,"#0")&amp;"-"&amp;TEXT(Matches!G38,"#0")</f>
        <v>1-0</v>
      </c>
    </row>
    <row r="31" spans="1:1" x14ac:dyDescent="0.2">
      <c r="A31" s="190" t="str">
        <f>TEXT(Matches!F39,"#0")&amp;"-"&amp;TEXT(Matches!G39,"#0")</f>
        <v>1-1</v>
      </c>
    </row>
    <row r="32" spans="1:1" x14ac:dyDescent="0.2">
      <c r="A32" s="190" t="str">
        <f>TEXT(Matches!F40,"#0")&amp;"-"&amp;TEXT(Matches!G40,"#0")</f>
        <v>0-3</v>
      </c>
    </row>
    <row r="33" spans="1:1" x14ac:dyDescent="0.2">
      <c r="A33" s="190" t="str">
        <f>TEXT(Matches!F41,"#0")&amp;"-"&amp;TEXT(Matches!G41,"#0")</f>
        <v>1-0</v>
      </c>
    </row>
    <row r="34" spans="1:1" x14ac:dyDescent="0.2">
      <c r="A34" s="190" t="str">
        <f>TEXT(Matches!F42,"#0")&amp;"-"&amp;TEXT(Matches!G42,"#0")</f>
        <v>1-2</v>
      </c>
    </row>
    <row r="35" spans="1:1" x14ac:dyDescent="0.2">
      <c r="A35" s="190" t="str">
        <f>TEXT(Matches!F43,"#0")&amp;"-"&amp;TEXT(Matches!G43,"#0")</f>
        <v>1-1</v>
      </c>
    </row>
    <row r="36" spans="1:1" x14ac:dyDescent="0.2">
      <c r="A36" s="190" t="str">
        <f>TEXT(Matches!F44,"#0")&amp;"-"&amp;TEXT(Matches!G44,"#0")</f>
        <v>0-2</v>
      </c>
    </row>
    <row r="37" spans="1:1" x14ac:dyDescent="0.2">
      <c r="A37" s="190" t="str">
        <f>TEXT(Matches!F45,"#0")&amp;"-"&amp;TEXT(Matches!G45,"#0")</f>
        <v>1-1</v>
      </c>
    </row>
    <row r="38" spans="1:1" x14ac:dyDescent="0.2">
      <c r="A38" s="190" t="str">
        <f>TEXT(Matches!F46,"#0")&amp;"-"&amp;TEXT(Matches!G46,"#0")</f>
        <v>2-1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Turkey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Ukraine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Poland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Germany</v>
      </c>
    </row>
    <row r="52" spans="1:1" x14ac:dyDescent="0.2">
      <c r="A52" s="190" t="str">
        <f>Matches!P43</f>
        <v>Portugal</v>
      </c>
    </row>
    <row r="53" spans="1:1" x14ac:dyDescent="0.2">
      <c r="A53" s="190" t="str">
        <f>Matches!P44</f>
        <v>Sweden</v>
      </c>
    </row>
    <row r="54" spans="1:1" x14ac:dyDescent="0.2">
      <c r="A54" s="190" t="str">
        <f>Matches!P45</f>
        <v>Russia</v>
      </c>
    </row>
    <row r="55" spans="1:1" x14ac:dyDescent="0.2">
      <c r="A55" s="190" t="str">
        <f>Matches!P46</f>
        <v>Austria</v>
      </c>
    </row>
    <row r="56" spans="1:1" x14ac:dyDescent="0.2">
      <c r="A56" s="191" t="s">
        <v>55</v>
      </c>
    </row>
    <row r="57" spans="1:1" x14ac:dyDescent="0.2">
      <c r="A57" s="190" t="str">
        <f>Matches!B49</f>
        <v>Portugal</v>
      </c>
    </row>
    <row r="58" spans="1:1" x14ac:dyDescent="0.2">
      <c r="A58" s="190" t="str">
        <f>Matches!B50</f>
        <v>Italy</v>
      </c>
    </row>
    <row r="59" spans="1:1" x14ac:dyDescent="0.2">
      <c r="A59" s="190" t="str">
        <f>Matches!B51</f>
        <v>France</v>
      </c>
    </row>
    <row r="60" spans="1:1" x14ac:dyDescent="0.2">
      <c r="A60" s="190" t="str">
        <f>Matches!B52</f>
        <v>Germany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Germany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126</v>
      </c>
    </row>
    <row r="67" spans="1:1" x14ac:dyDescent="0.2">
      <c r="A67" s="190" t="str">
        <f>Matches!M62</f>
        <v>Belgium</v>
      </c>
    </row>
    <row r="68" spans="1:1" x14ac:dyDescent="0.2">
      <c r="A68" s="190" t="str">
        <f>Matches!M63</f>
        <v>Lukaku</v>
      </c>
    </row>
    <row r="69" spans="1:1" x14ac:dyDescent="0.2">
      <c r="A69" s="190" t="str">
        <f>Matches!M64</f>
        <v>Havertz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1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193">
        <f>Matches!U13</f>
        <v>0</v>
      </c>
      <c r="DJ3" s="193">
        <f>Matches!V13</f>
        <v>1</v>
      </c>
      <c r="DK3" s="193">
        <f>Matches!W13</f>
        <v>2</v>
      </c>
      <c r="DL3" s="193">
        <f>Matches!X13</f>
        <v>2</v>
      </c>
      <c r="DM3" s="193">
        <f>Matches!Z13</f>
        <v>4</v>
      </c>
      <c r="DN3" s="193">
        <f>Matches!AA13</f>
        <v>-2</v>
      </c>
      <c r="DO3" s="193">
        <f>Matches!AB13</f>
        <v>1</v>
      </c>
      <c r="DP3" s="21">
        <f>VLOOKUP(DH3,B4:J40,9,FALSE)</f>
        <v>47</v>
      </c>
      <c r="DQ3" s="21">
        <f>RANK(DO3,DO3:DO8)</f>
        <v>5</v>
      </c>
      <c r="DR3" s="21">
        <f>SUMPRODUCT((DQ3:DQ8=DQ3)*(DN3:DN8&gt;DN3))</f>
        <v>0</v>
      </c>
      <c r="DS3" s="21">
        <f>SUMPRODUCT((DQ3:DQ8=DQ3)*(DN3:DN8=DN3)*(DL3:DL8&gt;DL3))</f>
        <v>1</v>
      </c>
      <c r="DT3" s="21">
        <f>SUMPRODUCT((DQ3:DQ8=DQ3)*(DN3:DN8=DN3)*(DL3:DL8=DL3)*(DP3:DP8&gt;DP3))</f>
        <v>0</v>
      </c>
      <c r="DU3" s="21">
        <f>SUM(DQ3:DT3)</f>
        <v>6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2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1</v>
      </c>
      <c r="F4" s="21">
        <f>SUMIF(CZ3:CZ60,B4,DA3:DA60)+SUMIF(DC3:DC60,B4,DB3:DB60)</f>
        <v>3</v>
      </c>
      <c r="G4" s="21">
        <f>SUMIF(DC3:DC60,B4,DA3:DA60)+SUMIF(CZ3:CZ60,B4,DB3:DB60)</f>
        <v>2</v>
      </c>
      <c r="H4" s="21">
        <f>F4-G4+1000</f>
        <v>1001</v>
      </c>
      <c r="I4" s="21">
        <f>C4*3+D4*1</f>
        <v>6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>Wales</v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1</v>
      </c>
      <c r="DK4" s="193">
        <f>Matches!W18</f>
        <v>1</v>
      </c>
      <c r="DL4" s="193">
        <f>Matches!X18</f>
        <v>3</v>
      </c>
      <c r="DM4" s="193">
        <f>Matches!Z18</f>
        <v>4</v>
      </c>
      <c r="DN4" s="193">
        <f>Matches!AA18</f>
        <v>-1</v>
      </c>
      <c r="DO4" s="193">
        <f>Matches!AB18</f>
        <v>4</v>
      </c>
      <c r="DP4" s="21">
        <f>VLOOKUP(DH4,B4:J40,9,FALSE)</f>
        <v>44</v>
      </c>
      <c r="DQ4" s="21">
        <f>RANK(DO4,DO3:DO8)</f>
        <v>1</v>
      </c>
      <c r="DR4" s="21">
        <f>SUMPRODUCT((DQ3:DQ8=DQ4)*(DN3:DN8&gt;DN4))</f>
        <v>2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3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5</v>
      </c>
      <c r="G5" s="21">
        <f>SUMIF(DC3:DC60,B5,DA3:DA60)+SUMIF(CZ3:CZ60,B5,DB3:DB60)</f>
        <v>1</v>
      </c>
      <c r="H5" s="21">
        <f t="shared" ref="H5:H7" si="2">F5-G5+1000</f>
        <v>1004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>Switzerland</v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2</v>
      </c>
      <c r="DM5" s="193">
        <f>Matches!Z23</f>
        <v>3</v>
      </c>
      <c r="DN5" s="193">
        <f>Matches!AA23</f>
        <v>-1</v>
      </c>
      <c r="DO5" s="193">
        <f>Matches!AB23</f>
        <v>3</v>
      </c>
      <c r="DP5" s="21">
        <f>VLOOKUP(DH5,B4:J40,9,FALSE)</f>
        <v>40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2</v>
      </c>
      <c r="F6" s="21">
        <f>SUMIF(CZ3:CZ60,B6,DA3:DA60)+SUMIF(DC3:DC60,B6,DB3:DB60)</f>
        <v>2</v>
      </c>
      <c r="G6" s="21">
        <f>SUMIF(DC3:DC60,B6,DA3:DA60)+SUMIF(CZ3:CZ60,B6,DB3:DB60)</f>
        <v>5</v>
      </c>
      <c r="H6" s="21">
        <f t="shared" si="2"/>
        <v>997</v>
      </c>
      <c r="I6" s="21">
        <f t="shared" si="3"/>
        <v>1</v>
      </c>
      <c r="J6" s="21">
        <v>37</v>
      </c>
      <c r="K6" s="21">
        <f>IF(COUNTIF(I4:I8,4)&lt;&gt;4,RANK(I6,I4:I8),I46)</f>
        <v>3</v>
      </c>
      <c r="L6" s="21"/>
      <c r="M6" s="21">
        <f>SUMPRODUCT((K4:K7=K6)*(J4:J7&lt;J6))+K6</f>
        <v>3</v>
      </c>
      <c r="N6" s="21" t="str">
        <f>INDEX(B4:B8,MATCH(3,M4:M8,0),0)</f>
        <v>Wales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>Wales</v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1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1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1</v>
      </c>
      <c r="BO6" s="21">
        <f>BM6-BN6+1000</f>
        <v>1000</v>
      </c>
      <c r="BP6" s="21">
        <f t="shared" ref="BP6:BP7" si="9">IF(BI6&lt;&gt;"",BJ6*3+BK6*1,"")</f>
        <v>1</v>
      </c>
      <c r="BQ6" s="21">
        <f>IF(BI6&lt;&gt;"",VLOOKUP(BI6,B4:H40,7,FALSE),"")</f>
        <v>997</v>
      </c>
      <c r="BR6" s="21">
        <f>IF(BI6&lt;&gt;"",VLOOKUP(BI6,B4:H40,5,FALSE),"")</f>
        <v>2</v>
      </c>
      <c r="BS6" s="21">
        <f>IF(BI6&lt;&gt;"",VLOOKUP(BI6,B4:J40,9,FALSE),"")</f>
        <v>37</v>
      </c>
      <c r="BT6" s="21">
        <f t="shared" ref="BT6:BT7" si="10">BP6</f>
        <v>1</v>
      </c>
      <c r="BU6" s="21">
        <f>IF(BI6&lt;&gt;"",RANK(BT6,BT4:BT8),"")</f>
        <v>1</v>
      </c>
      <c r="BV6" s="21">
        <f>IF(BI6&lt;&gt;"",SUMPRODUCT((BT4:BT8=BT6)*(BO4:BO8&gt;BO6)),"")</f>
        <v>0</v>
      </c>
      <c r="BW6" s="21">
        <f>IF(BI6&lt;&gt;"",SUMPRODUCT((BT4:BT8=BT6)*(BO4:BO8=BO6)*(BM4:BM8&gt;BM6)),"")</f>
        <v>0</v>
      </c>
      <c r="BX6" s="21">
        <f>IF(BI6&lt;&gt;"",SUMPRODUCT((BT4:BT8=BT6)*(BO4:BO8=BO6)*(BM4:BM8=BM6)*(BQ4:BQ8&gt;BQ6)),"")</f>
        <v>1</v>
      </c>
      <c r="BY6" s="21">
        <f>IF(BI6&lt;&gt;"",SUMPRODUCT((BT4:BT8=BT6)*(BO4:BO8=BO6)*(BM4:BM8=BM6)*(BQ4:BQ8=BQ6)*(BR4:BR8&gt;BR6)),"")</f>
        <v>0</v>
      </c>
      <c r="BZ6" s="21">
        <f>IF(BI6&lt;&gt;"",SUMPRODUCT((BT4:BT8=BT6)*(BO4:BO8=BO6)*(BM4:BM8=BM6)*(BQ4:BQ8=BQ6)*(BR4:BR8=BR6)*(BS4:BS8&gt;BS6)),"")</f>
        <v>0</v>
      </c>
      <c r="CA6" s="21">
        <f>IF(BI6&lt;&gt;"",SUM(BU6:BZ6)+2,"")</f>
        <v>4</v>
      </c>
      <c r="CB6" s="21" t="str">
        <f>IF(BI6&lt;&gt;"",INDEX(BI6:BI8,MATCH(3,CA6:CA8,0),0),"")</f>
        <v>Switzerland</v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0</v>
      </c>
      <c r="DJ6" s="193">
        <f>Matches!V28</f>
        <v>1</v>
      </c>
      <c r="DK6" s="193">
        <f>Matches!W28</f>
        <v>2</v>
      </c>
      <c r="DL6" s="193">
        <f>Matches!X28</f>
        <v>3</v>
      </c>
      <c r="DM6" s="193">
        <f>Matches!Z28</f>
        <v>5</v>
      </c>
      <c r="DN6" s="193">
        <f>Matches!AA28</f>
        <v>-2</v>
      </c>
      <c r="DO6" s="193">
        <f>Matches!AB28</f>
        <v>1</v>
      </c>
      <c r="DP6" s="21">
        <f>VLOOKUP(DH6,B4:J40,9,FALSE)</f>
        <v>38</v>
      </c>
      <c r="DQ6" s="21">
        <f>RANK(DO6,DO3:DO8)</f>
        <v>5</v>
      </c>
      <c r="DR6" s="21">
        <f>SUMPRODUCT((DQ3:DQ8=DQ6)*(DN3:DN8&gt;DN6))</f>
        <v>0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5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2</v>
      </c>
      <c r="F7" s="21">
        <f>SUMIF(CZ3:CZ60,B7,DA3:DA60)+SUMIF(DC3:DC60,B7,DB3:DB60)</f>
        <v>2</v>
      </c>
      <c r="G7" s="21">
        <f>SUMIF(DC3:DC60,B7,DA3:DA60)+SUMIF(CZ3:CZ60,B7,DB3:DB60)</f>
        <v>4</v>
      </c>
      <c r="H7" s="21">
        <f t="shared" si="2"/>
        <v>998</v>
      </c>
      <c r="I7" s="21">
        <f t="shared" si="3"/>
        <v>1</v>
      </c>
      <c r="J7" s="21">
        <v>47</v>
      </c>
      <c r="K7" s="21">
        <f>IF(COUNTIF(I4:I8,4)&lt;&gt;4,RANK(I7,I4:I8),I47)</f>
        <v>3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3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>Switzerland</v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1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1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1</v>
      </c>
      <c r="BO7" s="21">
        <f>BM7-BN7+1000</f>
        <v>1000</v>
      </c>
      <c r="BP7" s="21">
        <f t="shared" si="9"/>
        <v>1</v>
      </c>
      <c r="BQ7" s="21">
        <f>IF(BI7&lt;&gt;"",VLOOKUP(BI7,B4:H40,7,FALSE),"")</f>
        <v>998</v>
      </c>
      <c r="BR7" s="21">
        <f>IF(BI7&lt;&gt;"",VLOOKUP(BI7,B4:H40,5,FALSE),"")</f>
        <v>2</v>
      </c>
      <c r="BS7" s="21">
        <f>IF(BI7&lt;&gt;"",VLOOKUP(BI7,B4:J40,9,FALSE),"")</f>
        <v>47</v>
      </c>
      <c r="BT7" s="21">
        <f t="shared" si="10"/>
        <v>1</v>
      </c>
      <c r="BU7" s="21">
        <f>IF(BI7&lt;&gt;"",RANK(BT7,BT4:BT8),"")</f>
        <v>1</v>
      </c>
      <c r="BV7" s="21">
        <f>IF(BI7&lt;&gt;"",SUMPRODUCT((BT4:BT8=BT7)*(BO4:BO8&gt;BO7)),"")</f>
        <v>0</v>
      </c>
      <c r="BW7" s="21">
        <f>IF(BI7&lt;&gt;"",SUMPRODUCT((BT4:BT8=BT7)*(BO4:BO8=BO7)*(BM4:BM8&gt;BM7)),"")</f>
        <v>0</v>
      </c>
      <c r="BX7" s="21">
        <f>IF(BI7&lt;&gt;"",SUMPRODUCT((BT4:BT8=BT7)*(BO4:BO8=BO7)*(BM4:BM8=BM7)*(BQ4:BQ8&gt;BQ7)),"")</f>
        <v>0</v>
      </c>
      <c r="BY7" s="21">
        <f>IF(BI7&lt;&gt;"",SUMPRODUCT((BT4:BT8=BT7)*(BO4:BO8=BO7)*(BM4:BM8=BM7)*(BQ4:BQ8=BQ7)*(BR4:BR8&gt;BR7)),"")</f>
        <v>0</v>
      </c>
      <c r="BZ7" s="21">
        <f>IF(BI7&lt;&gt;"",SUMPRODUCT((BT4:BT8=BT7)*(BO4:BO8=BO7)*(BM4:BM8=BM7)*(BQ4:BQ8=BQ7)*(BR4:BR8=BR7)*(BS4:BS8&gt;BS7)),"")</f>
        <v>0</v>
      </c>
      <c r="CA7" s="21">
        <f>IF(BI7&lt;&gt;"",SUM(BU7:BZ7)+2,"")</f>
        <v>3</v>
      </c>
      <c r="CB7" s="21" t="str">
        <f>IF(BI7&lt;&gt;"",INDEX(BI6:BI8,MATCH(4,CA6:CA8,0),0),"")</f>
        <v>Wales</v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Sweden</v>
      </c>
      <c r="DI7" s="193">
        <f>Matches!U33</f>
        <v>1</v>
      </c>
      <c r="DJ7" s="193">
        <f>Matches!V33</f>
        <v>1</v>
      </c>
      <c r="DK7" s="193">
        <f>Matches!W33</f>
        <v>1</v>
      </c>
      <c r="DL7" s="193">
        <f>Matches!X33</f>
        <v>2</v>
      </c>
      <c r="DM7" s="193">
        <f>Matches!Z33</f>
        <v>2</v>
      </c>
      <c r="DN7" s="193">
        <f>Matches!AA33</f>
        <v>0</v>
      </c>
      <c r="DO7" s="193">
        <f>Matches!AB33</f>
        <v>4</v>
      </c>
      <c r="DP7" s="21">
        <f>VLOOKUP(DH7,B4:J40,9,FALSE)</f>
        <v>39</v>
      </c>
      <c r="DQ7" s="21">
        <f>RANK(DO7,DO3:DO8)</f>
        <v>1</v>
      </c>
      <c r="DR7" s="21">
        <f>SUMPRODUCT((DQ3:DQ8=DQ7)*(DN3:DN8&gt;DN7))</f>
        <v>1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2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1</v>
      </c>
      <c r="DK8" s="193">
        <f>Matches!W38</f>
        <v>1</v>
      </c>
      <c r="DL8" s="193">
        <f>Matches!X38</f>
        <v>4</v>
      </c>
      <c r="DM8" s="193">
        <f>Matches!Z38</f>
        <v>3</v>
      </c>
      <c r="DN8" s="193">
        <f>Matches!AA38</f>
        <v>1</v>
      </c>
      <c r="DO8" s="193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1</v>
      </c>
      <c r="DB9" s="21">
        <f>IF(AND(Matches!G17&lt;&gt;"",Matches!F17&lt;&gt;""),Matches!G17,0)</f>
        <v>1</v>
      </c>
      <c r="DC9" s="21" t="str">
        <f>Matches!H17</f>
        <v>Ukraine</v>
      </c>
      <c r="DD9" s="21" t="str">
        <f>IF(AND(Matches!F17&lt;&gt;"",Matches!G17&lt;&gt;""),IF(DA9&gt;DB9,"W",IF(DA9=DB9,"D","L")),"")</f>
        <v>D</v>
      </c>
      <c r="DE9" s="21" t="str">
        <f t="shared" si="0"/>
        <v>D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1</v>
      </c>
      <c r="DC10" s="21" t="str">
        <f>Matches!H18</f>
        <v>Czech Republic</v>
      </c>
      <c r="DD10" s="21" t="str">
        <f>IF(AND(Matches!F18&lt;&gt;"",Matches!G18&lt;&gt;""),IF(DA10&gt;DB10,"W",IF(DA10=DB10,"D","L")),"")</f>
        <v>D</v>
      </c>
      <c r="DE10" s="21" t="str">
        <f t="shared" si="0"/>
        <v>D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8</v>
      </c>
      <c r="G11" s="21">
        <f>SUMIF(DC3:DC60,B11,DA3:DA60)+SUMIF(CZ3:CZ60,B11,DB3:DB60)</f>
        <v>2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Denmark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1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1</v>
      </c>
      <c r="E12" s="21">
        <f>SUMPRODUCT((CZ3:CZ42=B12)*(DD3:DD42="L"))+SUMPRODUCT((DC3:DC42=B12)*(DE3:DE42="L"))</f>
        <v>1</v>
      </c>
      <c r="F12" s="21">
        <f>SUMIF(CZ3:CZ60,B12,DA3:DA60)+SUMIF(DC3:DC60,B12,DB3:DB60)</f>
        <v>3</v>
      </c>
      <c r="G12" s="21">
        <f>SUMIF(DC3:DC60,B12,DA3:DA60)+SUMIF(CZ3:CZ60,B12,DB3:DB60)</f>
        <v>4</v>
      </c>
      <c r="H12" s="21">
        <f t="shared" si="13"/>
        <v>999</v>
      </c>
      <c r="I12" s="21">
        <f t="shared" si="14"/>
        <v>4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Russia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Denmark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1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1</v>
      </c>
      <c r="AW12" s="21">
        <f>IF(AO12&lt;&gt;"",VLOOKUP(AO12,B4:H40,7,FALSE),"")</f>
        <v>1001</v>
      </c>
      <c r="AX12" s="21">
        <f>IF(AO12&lt;&gt;"",VLOOKUP(AO12,B4:H40,5,FALSE),"")</f>
        <v>4</v>
      </c>
      <c r="AY12" s="21">
        <f>IF(AO12&lt;&gt;"",VLOOKUP(AO12,B4:J40,9,FALSE),"")</f>
        <v>41</v>
      </c>
      <c r="AZ12" s="21">
        <f t="shared" ref="AZ12:AZ14" si="19">AV12</f>
        <v>1</v>
      </c>
      <c r="BA12" s="21">
        <f>IF(AO12&lt;&gt;"",RANK(AZ12,AZ11:AZ15),"")</f>
        <v>1</v>
      </c>
      <c r="BB12" s="21">
        <f>IF(AO12&lt;&gt;"",SUMPRODUCT((AZ11:AZ15=AZ12)*(AU11:AU15&gt;AU12)),"")</f>
        <v>0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2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1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F</v>
      </c>
      <c r="DR12" s="199" t="str">
        <f>Matches!AC44</f>
        <v>E</v>
      </c>
      <c r="DS12" s="199" t="str">
        <f>Matches!AC45</f>
        <v>B</v>
      </c>
      <c r="DT12" s="199" t="str">
        <f>Matches!AC46</f>
        <v>C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1</v>
      </c>
      <c r="E13" s="21">
        <f>SUMPRODUCT((CZ3:CZ42=B13)*(DD3:DD42="L"))+SUMPRODUCT((DC3:DC42=B13)*(DE3:DE42="L"))</f>
        <v>1</v>
      </c>
      <c r="F13" s="21">
        <f>SUMIF(CZ3:CZ60,B13,DA3:DA60)+SUMIF(DC3:DC60,B13,DB3:DB60)</f>
        <v>4</v>
      </c>
      <c r="G13" s="21">
        <f>SUMIF(DC3:DC60,B13,DA3:DA60)+SUMIF(CZ3:CZ60,B13,DB3:DB60)</f>
        <v>3</v>
      </c>
      <c r="H13" s="21">
        <f t="shared" si="13"/>
        <v>1001</v>
      </c>
      <c r="I13" s="21">
        <f t="shared" si="14"/>
        <v>4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Russia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1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1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1</v>
      </c>
      <c r="AU13" s="21">
        <f>AS13-AT13+1000</f>
        <v>1000</v>
      </c>
      <c r="AV13" s="21">
        <f t="shared" si="18"/>
        <v>1</v>
      </c>
      <c r="AW13" s="21">
        <f>IF(AO13&lt;&gt;"",VLOOKUP(AO13,B4:H40,7,FALSE),"")</f>
        <v>999</v>
      </c>
      <c r="AX13" s="21">
        <f>IF(AO13&lt;&gt;"",VLOOKUP(AO13,B4:H40,5,FALSE),"")</f>
        <v>3</v>
      </c>
      <c r="AY13" s="21">
        <f>IF(AO13&lt;&gt;"",VLOOKUP(AO13,B4:J40,9,FALSE),"")</f>
        <v>44</v>
      </c>
      <c r="AZ13" s="21">
        <f t="shared" si="19"/>
        <v>1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1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3</v>
      </c>
      <c r="BH13" s="21" t="str">
        <f>IF(AO13&lt;&gt;"",INDEX(AO12:AO15,MATCH(3,BG12:BG15,0),0),"")</f>
        <v>Russia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2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0</v>
      </c>
      <c r="DS13" s="199">
        <f>IFERROR(MATCH(DS12,DH13:DK13,0),0)</f>
        <v>2</v>
      </c>
      <c r="DT13" s="199">
        <f>IFERROR(MATCH(DT12,DH13:DK13,0),0)</f>
        <v>3</v>
      </c>
      <c r="DU13" s="199">
        <f t="shared" ref="DU13:DU27" si="22">SUM(DQ13:DT13)</f>
        <v>5</v>
      </c>
      <c r="DV13" s="198"/>
      <c r="DW13" s="198" t="str">
        <f>INDEX(DH3:DH8,MATCH(1,DU3:DU8,0),0)</f>
        <v>Portugal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0</v>
      </c>
      <c r="G14" s="21">
        <f>SUMIF(DC3:DC60,B14,DA3:DA60)+SUMIF(CZ3:CZ60,B14,DB3:DB60)</f>
        <v>6</v>
      </c>
      <c r="H14" s="21">
        <f t="shared" si="13"/>
        <v>994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3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0</v>
      </c>
      <c r="DR14" s="199">
        <f>IFERROR(MATCH(DR12,DH14:DK14,0),0)</f>
        <v>4</v>
      </c>
      <c r="DS14" s="199">
        <f>IFERROR(MATCH(DS12,DH14:DK14,0),0)</f>
        <v>2</v>
      </c>
      <c r="DT14" s="199">
        <f>IFERROR(MATCH(DT12,DH14:DK14,0),0)</f>
        <v>3</v>
      </c>
      <c r="DU14" s="199">
        <f t="shared" si="22"/>
        <v>9</v>
      </c>
      <c r="DV14" s="198"/>
      <c r="DW14" s="198" t="str">
        <f>INDEX(DH3:DH8,MATCH(2,DU3:DU8,0),0)</f>
        <v>Sweden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4</v>
      </c>
      <c r="DR15" s="199">
        <f>IFERROR(MATCH(DR12,DH15:DK15,0),0)</f>
        <v>0</v>
      </c>
      <c r="DS15" s="199">
        <f>IFERROR(MATCH(DS12,DH15:DK15,0),0)</f>
        <v>2</v>
      </c>
      <c r="DT15" s="199">
        <f>IFERROR(MATCH(DT12,DH15:DK15,0),0)</f>
        <v>3</v>
      </c>
      <c r="DU15" s="199">
        <f t="shared" si="22"/>
        <v>9</v>
      </c>
      <c r="DV15" s="198"/>
      <c r="DW15" s="198" t="str">
        <f>INDEX(DH3:DH8,MATCH(3,DU3:DU8,0),0)</f>
        <v>Russia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1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0</v>
      </c>
      <c r="DR16" s="199">
        <f>IFERROR(MATCH(DR12,DH16:DK16,0),0)</f>
        <v>4</v>
      </c>
      <c r="DS16" s="199">
        <f>IFERROR(MATCH(DS12,DH16:DK16,0),0)</f>
        <v>2</v>
      </c>
      <c r="DT16" s="199">
        <f>IFERROR(MATCH(DT12,DH16:DK16,0),0)</f>
        <v>0</v>
      </c>
      <c r="DU16" s="199">
        <f t="shared" si="22"/>
        <v>6</v>
      </c>
      <c r="DV16" s="198"/>
      <c r="DW16" s="198" t="str">
        <f>INDEX(DH3:DH8,MATCH(4,DU3:DU8,0),0)</f>
        <v>Austria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1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4</v>
      </c>
      <c r="DR17" s="199">
        <f>IFERROR(MATCH(DR12,DH17:DK17,0),0)</f>
        <v>0</v>
      </c>
      <c r="DS17" s="199">
        <f>IFERROR(MATCH(DS12,DH17:DK17,0),0)</f>
        <v>2</v>
      </c>
      <c r="DT17" s="199">
        <f>IFERROR(MATCH(DT12,DH17:DK17,0),0)</f>
        <v>0</v>
      </c>
      <c r="DU17" s="199">
        <f t="shared" si="22"/>
        <v>6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2</v>
      </c>
      <c r="D18" s="21">
        <f>SUMPRODUCT((CZ3:CZ42=B18)*(DD3:DD42="D"))+SUMPRODUCT((DC3:DC42=B18)*(DE3:DE42="D"))</f>
        <v>1</v>
      </c>
      <c r="E18" s="21">
        <f>SUMPRODUCT((CZ3:CZ42=B18)*(DD3:DD42="L"))+SUMPRODUCT((DC3:DC42=B18)*(DE3:DE42="L"))</f>
        <v>0</v>
      </c>
      <c r="F18" s="21">
        <f>SUMIF(CZ3:CZ60,B18,DA3:DA60)+SUMIF(DC3:DC60,B18,DB3:DB60)</f>
        <v>5</v>
      </c>
      <c r="G18" s="21">
        <f>SUMIF(DC3:DC60,B18,DA3:DA60)+SUMIF(CZ3:CZ60,B18,DB3:DB60)</f>
        <v>3</v>
      </c>
      <c r="H18" s="21">
        <f t="shared" ref="H18:H21" si="25">F18-G18+1000</f>
        <v>1002</v>
      </c>
      <c r="I18" s="21">
        <f t="shared" ref="I18:I21" si="26">C18*3+D18*1</f>
        <v>7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>Netherlands</v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>Netherlands</v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1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1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1</v>
      </c>
      <c r="AA18" s="21">
        <f>Y18-Z18+1000</f>
        <v>1000</v>
      </c>
      <c r="AB18" s="21">
        <f t="shared" ref="AB18:AB21" si="27">IF(U18&lt;&gt;"",V18*3+W18*1,"")</f>
        <v>1</v>
      </c>
      <c r="AC18" s="21">
        <f>IF(U18&lt;&gt;"",VLOOKUP(U18,B4:H40,7,FALSE),"")</f>
        <v>1002</v>
      </c>
      <c r="AD18" s="21">
        <f>IF(U18&lt;&gt;"",VLOOKUP(U18,B4:H40,5,FALSE),"")</f>
        <v>5</v>
      </c>
      <c r="AE18" s="21">
        <f>IF(U18&lt;&gt;"",VLOOKUP(U18,B4:J40,9,FALSE),"")</f>
        <v>45</v>
      </c>
      <c r="AF18" s="21">
        <f t="shared" ref="AF18:AF21" si="28">AB18</f>
        <v>1</v>
      </c>
      <c r="AG18" s="21">
        <f>IF(U18&lt;&gt;"",RANK(AF18,AF18:AF22),"")</f>
        <v>1</v>
      </c>
      <c r="AH18" s="21">
        <f>IF(U18&lt;&gt;"",SUMPRODUCT((AF18:AF22=AF18)*(AA18:AA22&gt;AA18)),"")</f>
        <v>0</v>
      </c>
      <c r="AI18" s="21">
        <f>IF(U18&lt;&gt;"",SUMPRODUCT((AF18:AF22=AF18)*(AA18:AA22=AA18)*(Y18:Y22&gt;Y18)),"")</f>
        <v>0</v>
      </c>
      <c r="AJ18" s="21">
        <f>IF(U18&lt;&gt;"",SUMPRODUCT((AF18:AF22=AF18)*(AA18:AA22=AA18)*(Y18:Y22=Y18)*(AC18:AC22&gt;AC18)),"")</f>
        <v>0</v>
      </c>
      <c r="AK18" s="21">
        <f>IF(U18&lt;&gt;"",SUMPRODUCT((AF18:AF22=AF18)*(AA18:AA22=AA18)*(Y18:Y22=Y18)*(AC18:AC22=AC18)*(AD18:AD22&gt;AD18)),"")</f>
        <v>0</v>
      </c>
      <c r="AL18" s="21">
        <f>IF(U18&lt;&gt;"",SUMPRODUCT((AF18:AF22=AF18)*(AA18:AA22=AA18)*(Y18:Y22=Y18)*(AC18:AC22=AC18)*(AD18:AD22=AD18)*(AE18:AE22&gt;AE18)),"")</f>
        <v>0</v>
      </c>
      <c r="AM18" s="21">
        <f>IF(U18&lt;&gt;"",IF(AM58&lt;&gt;"",IF(T57=3,AM58,AM58+T57),SUM(AG18:AL18)),"")</f>
        <v>1</v>
      </c>
      <c r="AN18" s="21" t="str">
        <f>IF(U18&lt;&gt;"",INDEX(U18:U22,MATCH(1,AM18:AM22,0),0),"")</f>
        <v>Netherlands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1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4</v>
      </c>
      <c r="DR18" s="199">
        <f>IFERROR(MATCH(DR12,DH18:DK18,0),0)</f>
        <v>3</v>
      </c>
      <c r="DS18" s="199">
        <f>IFERROR(MATCH(DS12,DH18:DK18,0),0)</f>
        <v>2</v>
      </c>
      <c r="DT18" s="199">
        <f>IFERROR(MATCH(DT12,DH18:DK18,0),0)</f>
        <v>0</v>
      </c>
      <c r="DU18" s="199">
        <f t="shared" si="22"/>
        <v>9</v>
      </c>
      <c r="DV18" s="198" t="s">
        <v>90</v>
      </c>
      <c r="DW18" s="198" t="str">
        <f>INDEX(DH3:DH8,MATCH(INDEX(DL13:DL27,MATCH(10,DU13:DU27,0),0),DV3:DV8,0),0)</f>
        <v>Portugal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2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0</v>
      </c>
      <c r="F19" s="21">
        <f>SUMIF(CZ3:CZ60,B19,DA3:DA60)+SUMIF(DC3:DC60,B19,DB3:DB60)</f>
        <v>3</v>
      </c>
      <c r="G19" s="21">
        <f>SUMIF(DC3:DC60,B19,DA3:DA60)+SUMIF(CZ3:CZ60,B19,DB3:DB60)</f>
        <v>1</v>
      </c>
      <c r="H19" s="21">
        <f t="shared" si="25"/>
        <v>1002</v>
      </c>
      <c r="I19" s="21">
        <f t="shared" si="26"/>
        <v>7</v>
      </c>
      <c r="J19" s="21">
        <v>50</v>
      </c>
      <c r="K19" s="21">
        <f>IF(COUNTIF(I18:I22,4)&lt;&gt;4,RANK(I19,I18:I22),I59)</f>
        <v>1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1</v>
      </c>
      <c r="P19" s="21" t="str">
        <f>IF(P18&lt;&gt;"",N19,"")</f>
        <v>Ukraine</v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>Ukraine</v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1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1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1</v>
      </c>
      <c r="AA19" s="21">
        <f>Y19-Z19+1000</f>
        <v>1000</v>
      </c>
      <c r="AB19" s="21">
        <f t="shared" si="27"/>
        <v>1</v>
      </c>
      <c r="AC19" s="21">
        <f>IF(U19&lt;&gt;"",VLOOKUP(U19,B4:H40,7,FALSE),"")</f>
        <v>1002</v>
      </c>
      <c r="AD19" s="21">
        <f>IF(U19&lt;&gt;"",VLOOKUP(U19,B4:H40,5,FALSE),"")</f>
        <v>3</v>
      </c>
      <c r="AE19" s="21">
        <f>IF(U19&lt;&gt;"",VLOOKUP(U19,B4:J40,9,FALSE),"")</f>
        <v>50</v>
      </c>
      <c r="AF19" s="21">
        <f t="shared" si="28"/>
        <v>1</v>
      </c>
      <c r="AG19" s="21">
        <f>IF(U19&lt;&gt;"",RANK(AF19,AF18:AF22),"")</f>
        <v>1</v>
      </c>
      <c r="AH19" s="21">
        <f>IF(U19&lt;&gt;"",SUMPRODUCT((AF18:AF22=AF19)*(AA18:AA22&gt;AA19)),"")</f>
        <v>0</v>
      </c>
      <c r="AI19" s="21">
        <f>IF(U19&lt;&gt;"",SUMPRODUCT((AF18:AF22=AF19)*(AA18:AA22=AA19)*(Y18:Y22&gt;Y19)),"")</f>
        <v>0</v>
      </c>
      <c r="AJ19" s="21">
        <f>IF(U19&lt;&gt;"",SUMPRODUCT((AF18:AF22=AF19)*(AA18:AA22=AA19)*(Y18:Y22=Y19)*(AC18:AC22&gt;AC19)),"")</f>
        <v>0</v>
      </c>
      <c r="AK19" s="21">
        <f>IF(U19&lt;&gt;"",SUMPRODUCT((AF18:AF22=AF19)*(AA18:AA22=AA19)*(Y18:Y22=Y19)*(AC18:AC22=AC19)*(AD18:AD22&gt;AD19)),"")</f>
        <v>1</v>
      </c>
      <c r="AL19" s="21">
        <f>IF(U19&lt;&gt;"",SUMPRODUCT((AF18:AF22=AF19)*(AA18:AA22=AA19)*(Y18:Y22=Y19)*(AC18:AC22=AC19)*(AD18:AD22=AD19)*(AE18:AE22&gt;AE19)),"")</f>
        <v>0</v>
      </c>
      <c r="AM19" s="21">
        <f>IF(U19&lt;&gt;"",IF(AM59&lt;&gt;"",IF(T57=3,AM59,AM59+T57),SUM(AG19:AL19)),"")</f>
        <v>2</v>
      </c>
      <c r="AN19" s="21" t="str">
        <f>IF(U19&lt;&gt;"",INDEX(U18:U22,MATCH(2,AM18:AM22,0),0),"")</f>
        <v>Ukraine</v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0</v>
      </c>
      <c r="DR19" s="199">
        <f>IFERROR(MATCH(DR12,DH19:DK19,0),0)</f>
        <v>4</v>
      </c>
      <c r="DS19" s="199">
        <f>IFERROR(MATCH(DS12,DH19:DK19,0),0)</f>
        <v>0</v>
      </c>
      <c r="DT19" s="199">
        <f>IFERROR(MATCH(DT12,DH19:DK19,0),0)</f>
        <v>2</v>
      </c>
      <c r="DU19" s="199">
        <f t="shared" si="22"/>
        <v>6</v>
      </c>
      <c r="DV19" s="198" t="s">
        <v>85</v>
      </c>
      <c r="DW19" s="198" t="str">
        <f>INDEX(DH3:DH8,MATCH(INDEX(DM13:DM27,MATCH(10,DU13:DU27,0),0),DV3:DV8,0),0)</f>
        <v>Sweden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2</v>
      </c>
      <c r="F20" s="21">
        <f>SUMIF(CZ3:CZ60,B20,DA3:DA60)+SUMIF(DC3:DC60,B20,DB3:DB60)</f>
        <v>2</v>
      </c>
      <c r="G20" s="21">
        <f>SUMIF(DC3:DC60,B20,DA3:DA60)+SUMIF(CZ3:CZ60,B20,DB3:DB60)</f>
        <v>3</v>
      </c>
      <c r="H20" s="21">
        <f t="shared" si="25"/>
        <v>999</v>
      </c>
      <c r="I20" s="21">
        <f t="shared" si="26"/>
        <v>3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3</v>
      </c>
      <c r="N20" s="21" t="str">
        <f>INDEX(B18:B22,MATCH(3,M18:M22,0),0)</f>
        <v>Austria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1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4</v>
      </c>
      <c r="DR20" s="199">
        <f>IFERROR(MATCH(DR12,DH20:DK20,0),0)</f>
        <v>0</v>
      </c>
      <c r="DS20" s="199">
        <f>IFERROR(MATCH(DS12,DH20:DK20,0),0)</f>
        <v>0</v>
      </c>
      <c r="DT20" s="199">
        <f>IFERROR(MATCH(DT12,DH20:DK20,0),0)</f>
        <v>2</v>
      </c>
      <c r="DU20" s="199">
        <f t="shared" si="22"/>
        <v>6</v>
      </c>
      <c r="DV20" s="198" t="s">
        <v>86</v>
      </c>
      <c r="DW20" s="198" t="str">
        <f>INDEX(DH3:DH8,MATCH(INDEX(DN13:DN27,MATCH(10,DU13:DU27,0),0),DV3:DV8,0),0)</f>
        <v>Austria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1</v>
      </c>
      <c r="G21" s="21">
        <f>SUMIF(DC3:DC60,B21,DA3:DA60)+SUMIF(CZ3:CZ60,B21,DB3:DB60)</f>
        <v>4</v>
      </c>
      <c r="H21" s="21">
        <f t="shared" si="25"/>
        <v>997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4</v>
      </c>
      <c r="DR21" s="199">
        <f>IFERROR(MATCH(DR12,DH21:DK21,0),0)</f>
        <v>3</v>
      </c>
      <c r="DS21" s="199">
        <f>IFERROR(MATCH(DS12,DH21:DK21,0),0)</f>
        <v>0</v>
      </c>
      <c r="DT21" s="199">
        <f>IFERROR(MATCH(DT12,DH21:DK21,0),0)</f>
        <v>2</v>
      </c>
      <c r="DU21" s="199">
        <f t="shared" si="22"/>
        <v>9</v>
      </c>
      <c r="DV21" s="198" t="s">
        <v>91</v>
      </c>
      <c r="DW21" s="198" t="str">
        <f>INDEX(DH3:DH8,MATCH(INDEX(DO13:DO27,MATCH(10,DU13:DU27,0),0),DV3:DV8,0),0)</f>
        <v>Russia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4</v>
      </c>
      <c r="DR22" s="199">
        <f>IFERROR(MATCH(DR12,DH22:DK22,0),0)</f>
        <v>3</v>
      </c>
      <c r="DS22" s="199">
        <f>IFERROR(MATCH(DS12,DH22:DK22,0),0)</f>
        <v>0</v>
      </c>
      <c r="DT22" s="199">
        <f>IFERROR(MATCH(DT12,DH22:DK22,0),0)</f>
        <v>0</v>
      </c>
      <c r="DU22" s="199">
        <f t="shared" si="22"/>
        <v>7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1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0</v>
      </c>
      <c r="DR23" s="199">
        <f>IFERROR(MATCH(DR12,DH23:DK23,0),0)</f>
        <v>4</v>
      </c>
      <c r="DS23" s="199">
        <f>IFERROR(MATCH(DS12,DH23:DK23,0),0)</f>
        <v>1</v>
      </c>
      <c r="DT23" s="199">
        <f>IFERROR(MATCH(DT12,DH23:DK23,0),0)</f>
        <v>2</v>
      </c>
      <c r="DU23" s="199">
        <f t="shared" si="22"/>
        <v>7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2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4</v>
      </c>
      <c r="DR24" s="199">
        <f>IFERROR(MATCH(DR12,DH24:DK24,0),0)</f>
        <v>0</v>
      </c>
      <c r="DS24" s="199">
        <f>IFERROR(MATCH(DS12,DH24:DK24,0),0)</f>
        <v>1</v>
      </c>
      <c r="DT24" s="199">
        <f>IFERROR(MATCH(DT12,DH24:DK24,0),0)</f>
        <v>2</v>
      </c>
      <c r="DU24" s="199">
        <f t="shared" si="22"/>
        <v>7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2</v>
      </c>
      <c r="G25" s="21">
        <f>SUMIF(DC3:DC60,B25,DA3:DA60)+SUMIF(CZ3:CZ60,B25,DB3:DB60)</f>
        <v>5</v>
      </c>
      <c r="H25" s="21">
        <f t="shared" ref="H25:H28" si="36">F25-G25+1000</f>
        <v>997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>Scotland</v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4</v>
      </c>
      <c r="DR25" s="199">
        <f>IFERROR(MATCH(DR12,DH25:DK25,0),0)</f>
        <v>3</v>
      </c>
      <c r="DS25" s="199">
        <f>IFERROR(MATCH(DS12,DH25:DK25,0),0)</f>
        <v>1</v>
      </c>
      <c r="DT25" s="199">
        <f>IFERROR(MATCH(DT12,DH25:DK25,0),0)</f>
        <v>2</v>
      </c>
      <c r="DU25" s="199">
        <f t="shared" si="22"/>
        <v>10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2</v>
      </c>
      <c r="F26" s="21">
        <f>SUMIF(CZ3:CZ60,B26,DA3:DA60)+SUMIF(DC3:DC60,B26,DB3:DB60)</f>
        <v>3</v>
      </c>
      <c r="G26" s="21">
        <f>SUMIF(DC3:DC60,B26,DA3:DA60)+SUMIF(CZ3:CZ60,B26,DB3:DB60)</f>
        <v>5</v>
      </c>
      <c r="H26" s="21">
        <f t="shared" si="36"/>
        <v>998</v>
      </c>
      <c r="I26" s="21">
        <f t="shared" si="37"/>
        <v>1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4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>Czech Republic</v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4</v>
      </c>
      <c r="DR26" s="199">
        <f>IFERROR(MATCH(DR12,DH26:DK26,0),0)</f>
        <v>3</v>
      </c>
      <c r="DS26" s="199">
        <f>IFERROR(MATCH(DS12,DH26:DK26,0),0)</f>
        <v>1</v>
      </c>
      <c r="DT26" s="199">
        <f>IFERROR(MATCH(DT12,DH26:DK26,0),0)</f>
        <v>0</v>
      </c>
      <c r="DU26" s="199">
        <f t="shared" si="22"/>
        <v>8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3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0</v>
      </c>
      <c r="F27" s="21">
        <f>SUMIF(CZ3:CZ60,B27,DA3:DA60)+SUMIF(DC3:DC60,B27,DB3:DB60)</f>
        <v>6</v>
      </c>
      <c r="G27" s="21">
        <f>SUMIF(DC3:DC60,B27,DA3:DA60)+SUMIF(CZ3:CZ60,B27,DB3:DB60)</f>
        <v>2</v>
      </c>
      <c r="H27" s="21">
        <f t="shared" si="36"/>
        <v>1004</v>
      </c>
      <c r="I27" s="21">
        <f t="shared" si="37"/>
        <v>9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>Scotland</v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1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1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1</v>
      </c>
      <c r="BO27" s="21">
        <f>BM27-BN27+1000</f>
        <v>1000</v>
      </c>
      <c r="BP27" s="21">
        <f t="shared" ref="BP27:BP28" si="43">IF(BI27&lt;&gt;"",BJ27*3+BK27*1,"")</f>
        <v>1</v>
      </c>
      <c r="BQ27" s="21">
        <f>IF(BI27&lt;&gt;"",VLOOKUP(BI27,B4:H40,7,FALSE),"")</f>
        <v>997</v>
      </c>
      <c r="BR27" s="21">
        <f>IF(BI27&lt;&gt;"",VLOOKUP(BI27,B4:H40,5,FALSE),"")</f>
        <v>2</v>
      </c>
      <c r="BS27" s="21">
        <f>IF(BI27&lt;&gt;"",VLOOKUP(BI27,B4:J40,9,FALSE),"")</f>
        <v>27</v>
      </c>
      <c r="BT27" s="21">
        <f t="shared" ref="BT27:BT28" si="44">BP27</f>
        <v>1</v>
      </c>
      <c r="BU27" s="21">
        <f>IF(BI27&lt;&gt;"",RANK(BT27,BT25:BT29),"")</f>
        <v>1</v>
      </c>
      <c r="BV27" s="21">
        <f>IF(BI27&lt;&gt;"",SUMPRODUCT((BT25:BT29=BT27)*(BO25:BO29&gt;BO27)),"")</f>
        <v>0</v>
      </c>
      <c r="BW27" s="21">
        <f>IF(BI27&lt;&gt;"",SUMPRODUCT((BT25:BT29=BT27)*(BO25:BO29=BO27)*(BM25:BM29&gt;BM27)),"")</f>
        <v>0</v>
      </c>
      <c r="BX27" s="21">
        <f>IF(BI27&lt;&gt;"",SUMPRODUCT((BT25:BT29=BT27)*(BO25:BO29=BO27)*(BM25:BM29=BM27)*(BQ25:BQ29&gt;BQ27)),"")</f>
        <v>1</v>
      </c>
      <c r="BY27" s="21">
        <f>IF(BI27&lt;&gt;"",SUMPRODUCT((BT25:BT29=BT27)*(BO25:BO29=BO27)*(BM25:BM29=BM27)*(BQ25:BQ29=BQ27)*(BR25:BR29&gt;BR27)),"")</f>
        <v>0</v>
      </c>
      <c r="BZ27" s="21">
        <f>IF(BI27&lt;&gt;"",SUMPRODUCT((BT25:BT29=BT27)*(BO25:BO29=BO27)*(BM25:BM29=BM27)*(BQ25:BQ29=BQ27)*(BR25:BR29=BR27)*(BS25:BS29&gt;BS27)),"")</f>
        <v>0</v>
      </c>
      <c r="CA27" s="21">
        <f>IF(BI27&lt;&gt;"",SUM(BU27:BZ27)+2,"")</f>
        <v>4</v>
      </c>
      <c r="CB27" s="21" t="str">
        <f>IF(BI27&lt;&gt;"",INDEX(BI27:BI29,MATCH(3,CA27:CA29,0),0),"")</f>
        <v>Czech Republic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0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4</v>
      </c>
      <c r="DR27" s="199">
        <f>IFERROR(MATCH(DR12,DH27:DK27,0),0)</f>
        <v>3</v>
      </c>
      <c r="DS27" s="199">
        <f>IFERROR(MATCH(DS12,DH27:DK27,0),0)</f>
        <v>0</v>
      </c>
      <c r="DT27" s="199">
        <f>IFERROR(MATCH(DT12,DH27:DK27,0),0)</f>
        <v>1</v>
      </c>
      <c r="DU27" s="199">
        <f t="shared" si="22"/>
        <v>8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0</v>
      </c>
      <c r="E28" s="21">
        <f>SUMPRODUCT((CZ3:CZ42=B28)*(DD3:DD42="L"))+SUMPRODUCT((DC3:DC42=B28)*(DE3:DE42="L"))</f>
        <v>1</v>
      </c>
      <c r="F28" s="21">
        <f>SUMIF(CZ3:CZ60,B28,DA3:DA60)+SUMIF(DC3:DC60,B28,DB3:DB60)</f>
        <v>3</v>
      </c>
      <c r="G28" s="21">
        <f>SUMIF(DC3:DC60,B28,DA3:DA60)+SUMIF(CZ3:CZ60,B28,DB3:DB60)</f>
        <v>2</v>
      </c>
      <c r="H28" s="21">
        <f t="shared" si="36"/>
        <v>1001</v>
      </c>
      <c r="I28" s="21">
        <f t="shared" si="37"/>
        <v>6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Czech Republic</v>
      </c>
      <c r="O28" s="21">
        <f>INDEX(K25:K29,MATCH(N28,B25:B29,0),0)</f>
        <v>3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>Czech Republic</v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1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1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1</v>
      </c>
      <c r="BO28" s="21">
        <f>BM28-BN28+1000</f>
        <v>1000</v>
      </c>
      <c r="BP28" s="21">
        <f t="shared" si="43"/>
        <v>1</v>
      </c>
      <c r="BQ28" s="21">
        <f>IF(BI28&lt;&gt;"",VLOOKUP(BI28,B4:H40,7,FALSE),"")</f>
        <v>998</v>
      </c>
      <c r="BR28" s="21">
        <f>IF(BI28&lt;&gt;"",VLOOKUP(BI28,B4:H40,5,FALSE),"")</f>
        <v>3</v>
      </c>
      <c r="BS28" s="21">
        <f>IF(BI28&lt;&gt;"",VLOOKUP(BI28,B4:J40,9,FALSE),"")</f>
        <v>38</v>
      </c>
      <c r="BT28" s="21">
        <f t="shared" si="44"/>
        <v>1</v>
      </c>
      <c r="BU28" s="21">
        <f>IF(BI28&lt;&gt;"",RANK(BT28,BT25:BT29),"")</f>
        <v>1</v>
      </c>
      <c r="BV28" s="21">
        <f>IF(BI28&lt;&gt;"",SUMPRODUCT((BT25:BT29=BT28)*(BO25:BO29&gt;BO28)),"")</f>
        <v>0</v>
      </c>
      <c r="BW28" s="21">
        <f>IF(BI28&lt;&gt;"",SUMPRODUCT((BT25:BT29=BT28)*(BO25:BO29=BO28)*(BM25:BM29&gt;BM28)),"")</f>
        <v>0</v>
      </c>
      <c r="BX28" s="21">
        <f>IF(BI28&lt;&gt;"",SUMPRODUCT((BT25:BT29=BT28)*(BO25:BO29=BO28)*(BM25:BM29=BM28)*(BQ25:BQ29&gt;BQ28)),"")</f>
        <v>0</v>
      </c>
      <c r="BY28" s="21">
        <f>IF(BI28&lt;&gt;"",SUMPRODUCT((BT25:BT29=BT28)*(BO25:BO29=BO28)*(BM25:BM29=BM28)*(BQ25:BQ29=BQ28)*(BR25:BR29&gt;BR28)),"")</f>
        <v>0</v>
      </c>
      <c r="BZ28" s="21">
        <f>IF(BI28&lt;&gt;"",SUMPRODUCT((BT25:BT29=BT28)*(BO25:BO29=BO28)*(BM25:BM29=BM28)*(BQ25:BQ29=BQ28)*(BR25:BR29=BR28)*(BS25:BS29&gt;BS28)),"")</f>
        <v>0</v>
      </c>
      <c r="CA28" s="21">
        <f>IF(BI28&lt;&gt;"",SUM(BU28:BZ28)+2,"")</f>
        <v>3</v>
      </c>
      <c r="CB28" s="21" t="str">
        <f>IF(BI28&lt;&gt;"",INDEX(BI27:BI29,MATCH(4,CA27:CA29,0),0),"")</f>
        <v>Scotland</v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1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1</v>
      </c>
      <c r="DB30" s="21">
        <f>IF(AND(Matches!G38&lt;&gt;"",Matches!F38&lt;&gt;""),Matches!G38,0)</f>
        <v>0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2</v>
      </c>
      <c r="D31" s="21">
        <f>SUMPRODUCT((CZ3:CZ42=B31)*(DD3:DD42="D"))+SUMPRODUCT((DC3:DC42=B31)*(DE3:DE42="D"))</f>
        <v>1</v>
      </c>
      <c r="E31" s="21">
        <f>SUMPRODUCT((CZ3:CZ42=B31)*(DD3:DD42="L"))+SUMPRODUCT((DC3:DC42=B31)*(DE3:DE42="L"))</f>
        <v>0</v>
      </c>
      <c r="F31" s="21">
        <f>SUMIF(CZ3:CZ60,B31,DA3:DA60)+SUMIF(DC3:DC60,B31,DB3:DB60)</f>
        <v>4</v>
      </c>
      <c r="G31" s="21">
        <f>SUMIF(DC3:DC60,B31,DA3:DA60)+SUMIF(CZ3:CZ60,B31,DB3:DB60)</f>
        <v>1</v>
      </c>
      <c r="H31" s="21">
        <f t="shared" ref="H31:H34" si="47">F31-G31+1000</f>
        <v>1003</v>
      </c>
      <c r="I31" s="21">
        <f t="shared" ref="I31:I34" si="48">C31*3+D31*1</f>
        <v>7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1</v>
      </c>
      <c r="DC31" s="21" t="str">
        <f>Matches!H39</f>
        <v>Denmark</v>
      </c>
      <c r="DD31" s="21" t="str">
        <f>IF(AND(Matches!F39&lt;&gt;"",Matches!G39&lt;&gt;""),IF(DA31&gt;DB31,"W",IF(DA31=DB31,"D","L")),"")</f>
        <v>D</v>
      </c>
      <c r="DE31" s="21" t="str">
        <f t="shared" si="0"/>
        <v>D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1</v>
      </c>
      <c r="F32" s="21">
        <f>SUMIF(CZ3:CZ60,B32,DA3:DA60)+SUMIF(DC3:DC60,B32,DB3:DB60)</f>
        <v>2</v>
      </c>
      <c r="G32" s="21">
        <f>SUMIF(DC3:DC60,B32,DA3:DA60)+SUMIF(CZ3:CZ60,B32,DB3:DB60)</f>
        <v>2</v>
      </c>
      <c r="H32" s="21">
        <f t="shared" si="47"/>
        <v>1000</v>
      </c>
      <c r="I32" s="21">
        <f t="shared" si="48"/>
        <v>4</v>
      </c>
      <c r="J32" s="21">
        <v>39</v>
      </c>
      <c r="K32" s="21">
        <f>IF(COUNTIF(I31:I35,4)&lt;&gt;4,RANK(I32,I31:I35),I72)</f>
        <v>3</v>
      </c>
      <c r="L32" s="21"/>
      <c r="M32" s="21">
        <f>SUMPRODUCT((K31:K34=K32)*(J31:J34&lt;J32))+K32</f>
        <v>3</v>
      </c>
      <c r="N32" s="21" t="str">
        <f>INDEX(B31:B35,MATCH(2,M31:M35,0),0)</f>
        <v>Poland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3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2</v>
      </c>
      <c r="E33" s="21">
        <f>SUMPRODUCT((CZ3:CZ42=B33)*(DD3:DD42="L"))+SUMPRODUCT((DC3:DC42=B33)*(DE3:DE42="L"))</f>
        <v>0</v>
      </c>
      <c r="F33" s="21">
        <f>SUMIF(CZ3:CZ60,B33,DA3:DA60)+SUMIF(DC3:DC60,B33,DB3:DB60)</f>
        <v>4</v>
      </c>
      <c r="G33" s="21">
        <f>SUMIF(DC3:DC60,B33,DA3:DA60)+SUMIF(CZ3:CZ60,B33,DB3:DB60)</f>
        <v>3</v>
      </c>
      <c r="H33" s="21">
        <f t="shared" si="47"/>
        <v>1001</v>
      </c>
      <c r="I33" s="21">
        <f t="shared" si="48"/>
        <v>5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2</v>
      </c>
      <c r="N33" s="21" t="str">
        <f>INDEX(B31:B35,MATCH(3,M31:M35,0),0)</f>
        <v>Sweden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1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1</v>
      </c>
      <c r="G34" s="21">
        <f>SUMIF(DC3:DC60,B34,DA3:DA60)+SUMIF(CZ3:CZ60,B34,DB3:DB60)</f>
        <v>5</v>
      </c>
      <c r="H34" s="21">
        <f t="shared" si="47"/>
        <v>996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1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2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6</v>
      </c>
      <c r="G37" s="21">
        <f>SUMIF(DC3:DC60,B37,DA3:DA60)+SUMIF(CZ3:CZ60,B37,DB3:DB60)</f>
        <v>3</v>
      </c>
      <c r="H37" s="21">
        <f t="shared" ref="H37:H40" si="58">F37-G37+1000</f>
        <v>1003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1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2</v>
      </c>
      <c r="D38" s="21">
        <f>SUMPRODUCT((CZ3:CZ42=B38)*(DD3:DD42="D"))+SUMPRODUCT((DC3:DC42=B38)*(DE3:DE42="D"))</f>
        <v>0</v>
      </c>
      <c r="E38" s="21">
        <f>SUMPRODUCT((CZ3:CZ42=B38)*(DD3:DD42="L"))+SUMPRODUCT((DC3:DC42=B38)*(DE3:DE42="L"))</f>
        <v>1</v>
      </c>
      <c r="F38" s="21">
        <f>SUMIF(CZ3:CZ60,B38,DA3:DA60)+SUMIF(DC3:DC60,B38,DB3:DB60)</f>
        <v>5</v>
      </c>
      <c r="G38" s="21">
        <f>SUMIF(DC3:DC60,B38,DA3:DA60)+SUMIF(CZ3:CZ60,B38,DB3:DB60)</f>
        <v>5</v>
      </c>
      <c r="H38" s="21">
        <f t="shared" si="58"/>
        <v>1000</v>
      </c>
      <c r="I38" s="21">
        <f t="shared" si="59"/>
        <v>6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2</v>
      </c>
      <c r="N38" s="21" t="str">
        <f>IF(DC42="S",INDEX(B37:B41,MATCH(2,M37:M41,0),0),"")</f>
        <v>Germany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1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2</v>
      </c>
      <c r="G39" s="21">
        <f>SUMIF(DC3:DC60,B39,DA3:DA60)+SUMIF(CZ3:CZ60,B39,DB3:DB60)</f>
        <v>6</v>
      </c>
      <c r="H39" s="21">
        <f t="shared" si="58"/>
        <v>996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Portugal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4</v>
      </c>
      <c r="G40" s="21">
        <f>SUMIF(DC3:DC60,B40,DA3:DA60)+SUMIF(CZ3:CZ60,B40,DB3:DB60)</f>
        <v>3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3</v>
      </c>
      <c r="L40" s="21"/>
      <c r="M40" s="21">
        <f>SUMPRODUCT((K37:K40=K40)*(J37:J40&lt;J40))+K40</f>
        <v>3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>
        <f>IF(AO12&lt;&gt;"",SUMPRODUCT((AV11:AV14=AV12)*(AU11:AU14=AU12)*(AS11:AS14=AS12)*(AT11:AT14=AT12)),"")</f>
        <v>2</v>
      </c>
      <c r="AO52" s="194" t="str">
        <f t="shared" ref="AO52:AO54" si="81">IF(AND(AN52&lt;&gt;"",AN52&gt;1),AO12,"")</f>
        <v>Denmark</v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1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1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1</v>
      </c>
      <c r="AU52" s="194">
        <f>AS52-AT52+1000</f>
        <v>1000</v>
      </c>
      <c r="AV52" s="194">
        <f t="shared" ref="AV52:AV54" si="82">IF(AO52&lt;&gt;"",AP52*3+AQ52*1,"")</f>
        <v>1</v>
      </c>
      <c r="AW52" s="194">
        <f>IF(AO52&lt;&gt;"",VLOOKUP(AO52,B4:H40,7,FALSE),"")</f>
        <v>1001</v>
      </c>
      <c r="AX52" s="194">
        <f>IF(AO52&lt;&gt;"",VLOOKUP(AO52,B4:H40,5,FALSE),"")</f>
        <v>4</v>
      </c>
      <c r="AY52" s="194">
        <f>IF(AO52&lt;&gt;"",VLOOKUP(AO52,B4:J40,9,FALSE),"")</f>
        <v>41</v>
      </c>
      <c r="AZ52" s="194">
        <f t="shared" ref="AZ52:AZ54" si="83">AV52</f>
        <v>1</v>
      </c>
      <c r="BA52" s="194">
        <f>IF(AO52&lt;&gt;"",RANK(AZ52,AZ51:AZ54),"")</f>
        <v>1</v>
      </c>
      <c r="BB52" s="194">
        <f>IF(AO52&lt;&gt;"",SUMPRODUCT((AZ51:AZ54=AZ52)*(AU51:AU54&gt;AU52)),"")</f>
        <v>0</v>
      </c>
      <c r="BC52" s="194">
        <f>IF(AO52&lt;&gt;"",SUMPRODUCT((AZ51:AZ54=AZ52)*(AU51:AU54=AU52)*(AS51:AS54&gt;AS52)),"")</f>
        <v>0</v>
      </c>
      <c r="BD52" s="194">
        <f>IF(AO52&lt;&gt;"",SUMPRODUCT((AZ51:AZ54=AZ52)*(AU51:AU54=AU52)*(AS51:AS54=AS52)*(AW51:AW54&gt;AW52)),"")</f>
        <v>0</v>
      </c>
      <c r="BE52" s="194">
        <f>IF(AO52&lt;&gt;"",SUMPRODUCT((AZ51:AZ54=AZ52)*(AU51:AU54=AU52)*(AS51:AS54=AS52)*(AW51:AW54=AW52)*(AX51:AX54&gt;AX52)),"")</f>
        <v>0</v>
      </c>
      <c r="BF52" s="194">
        <f>IF(AO52&lt;&gt;"",SUMPRODUCT((AZ51:AZ54=AZ52)*(AU51:AU54=AU52)*(AS51:AS54=AS52)*(AW51:AW54=AW52)*(AX51:AX54=AX52)*(AY51:AY54&gt;AY52)),"")</f>
        <v>0</v>
      </c>
      <c r="BG52" s="194">
        <f>IF(AO52&lt;&gt;"",SUM(BA52:BF52)+1,"")</f>
        <v>2</v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>
        <f>IF(AO13&lt;&gt;"",SUMPRODUCT((AV11:AV14=AV13)*(AU11:AU14=AU13)*(AS11:AS14=AS13)*(AT11:AT14=AT13)),"")</f>
        <v>2</v>
      </c>
      <c r="AO53" s="194" t="str">
        <f t="shared" si="81"/>
        <v>Russia</v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1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1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1</v>
      </c>
      <c r="AU53" s="194">
        <f>AS53-AT53+1000</f>
        <v>1000</v>
      </c>
      <c r="AV53" s="194">
        <f t="shared" si="82"/>
        <v>1</v>
      </c>
      <c r="AW53" s="194">
        <f>IF(AO53&lt;&gt;"",VLOOKUP(AO53,B4:H40,7,FALSE),"")</f>
        <v>999</v>
      </c>
      <c r="AX53" s="194">
        <f>IF(AO53&lt;&gt;"",VLOOKUP(AO53,B4:H40,5,FALSE),"")</f>
        <v>3</v>
      </c>
      <c r="AY53" s="194">
        <f>IF(AO53&lt;&gt;"",VLOOKUP(AO53,B4:J40,9,FALSE),"")</f>
        <v>44</v>
      </c>
      <c r="AZ53" s="194">
        <f t="shared" si="83"/>
        <v>1</v>
      </c>
      <c r="BA53" s="194">
        <f>IF(AO53&lt;&gt;"",RANK(AZ53,AZ51:AZ54),"")</f>
        <v>1</v>
      </c>
      <c r="BB53" s="194">
        <f>IF(AO53&lt;&gt;"",SUMPRODUCT((AZ51:AZ54=AZ53)*(AU51:AU54&gt;AU53)),"")</f>
        <v>0</v>
      </c>
      <c r="BC53" s="194">
        <f>IF(AO53&lt;&gt;"",SUMPRODUCT((AZ51:AZ54=AZ53)*(AU51:AU54=AU53)*(AS51:AS54&gt;AS53)),"")</f>
        <v>0</v>
      </c>
      <c r="BD53" s="194">
        <f>IF(AO53&lt;&gt;"",SUMPRODUCT((AZ51:AZ54=AZ53)*(AU51:AU54=AU53)*(AS51:AS54=AS53)*(AW51:AW54&gt;AW53)),"")</f>
        <v>1</v>
      </c>
      <c r="BE53" s="194">
        <f>IF(AO53&lt;&gt;"",SUMPRODUCT((AZ51:AZ54=AZ53)*(AU51:AU54=AU53)*(AS51:AS54=AS53)*(AW51:AW54=AW53)*(AX51:AX54&gt;AX53)),"")</f>
        <v>0</v>
      </c>
      <c r="BF53" s="194">
        <f>IF(AO53&lt;&gt;"",SUMPRODUCT((AZ51:AZ54=AZ53)*(AU51:AU54=AU53)*(AS51:AS54=AS53)*(AW51:AW54=AW53)*(AX51:AX54=AX53)*(AY51:AY54&gt;AY53)),"")</f>
        <v>0</v>
      </c>
      <c r="BG53" s="194">
        <f t="shared" ref="BG53:BG54" si="84">IF(AO53&lt;&gt;"",SUM(BA53:BF53)+1,"")</f>
        <v>3</v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>
        <f>IF(U18&lt;&gt;"",SUMPRODUCT((AB18:AB21=AB18)*(AA18:AA21=AA18)*(Y18:Y21=Y18)*(Z18:Z21=Z18)),"")</f>
        <v>2</v>
      </c>
      <c r="U58" s="194" t="str">
        <f>IF(AND(T58&lt;&gt;"",T58&gt;1),U18,"")</f>
        <v>Netherlands</v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1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1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1</v>
      </c>
      <c r="AA58" s="194">
        <f>Y58-Z58+1000</f>
        <v>1000</v>
      </c>
      <c r="AB58" s="194">
        <f>IF(U58&lt;&gt;"",V58*3+W58*1,"")</f>
        <v>1</v>
      </c>
      <c r="AC58" s="194">
        <f>IF(U58&lt;&gt;"",VLOOKUP(U58,B4:H40,7,FALSE),"")</f>
        <v>1002</v>
      </c>
      <c r="AD58" s="194">
        <f>IF(U58&lt;&gt;"",VLOOKUP(U58,B4:H40,5,FALSE),"")</f>
        <v>5</v>
      </c>
      <c r="AE58" s="194">
        <f>IF(U58&lt;&gt;"",VLOOKUP(U58,B4:J40,9,FALSE),"")</f>
        <v>45</v>
      </c>
      <c r="AF58" s="194">
        <f>AB58</f>
        <v>1</v>
      </c>
      <c r="AG58" s="194">
        <f>IF(U58&lt;&gt;"",RANK(AF58,AF58:AF61),"")</f>
        <v>1</v>
      </c>
      <c r="AH58" s="194">
        <f>IF(U58&lt;&gt;"",SUMPRODUCT((AF58:AF61=AF58)*(AA58:AA61&gt;AA58)),"")</f>
        <v>0</v>
      </c>
      <c r="AI58" s="194">
        <f>IF(U58&lt;&gt;"",SUMPRODUCT((AF58:AF61=AF58)*(AA58:AA61=AA58)*(Y58:Y61&gt;Y58)),"")</f>
        <v>0</v>
      </c>
      <c r="AJ58" s="194">
        <f>IF(U58&lt;&gt;"",SUMPRODUCT((AF58:AF61=AF58)*(AA58:AA61=AA58)*(Y58:Y61=Y58)*(AC58:AC61&gt;AC58)),"")</f>
        <v>0</v>
      </c>
      <c r="AK58" s="194">
        <f>IF(U58&lt;&gt;"",SUMPRODUCT((AF58:AF61=AF58)*(AA58:AA61=AA58)*(Y58:Y61=Y58)*(AC58:AC61=AC58)*(AD58:AD61&gt;AD58)),"")</f>
        <v>0</v>
      </c>
      <c r="AL58" s="194">
        <f>IF(U58&lt;&gt;"",SUMPRODUCT((AF58:AF61=AF58)*(AA58:AA61=AA58)*(Y58:Y61=Y58)*(AC58:AC61=AC58)*(AD58:AD61=AD58)*(AE58:AE61&gt;AE58)),"")</f>
        <v>0</v>
      </c>
      <c r="AM58" s="194">
        <f>IF(U58&lt;&gt;"",SUM(AG58:AL58),"")</f>
        <v>1</v>
      </c>
    </row>
    <row r="59" spans="2:59" x14ac:dyDescent="0.15">
      <c r="C59" s="194" t="s">
        <v>105</v>
      </c>
      <c r="I59" s="194">
        <f>SUMPRODUCT((I18:I21=I19)*(H18:H21=H19)*(F18:F21&gt;F19))+1</f>
        <v>2</v>
      </c>
      <c r="T59" s="194">
        <f>IF(U19&lt;&gt;"",SUMPRODUCT((AB18:AB21=AB19)*(AA18:AA21=AA19)*(Y18:Y21=Y19)*(Z18:Z21=Z19)),"")</f>
        <v>2</v>
      </c>
      <c r="U59" s="194" t="str">
        <f t="shared" ref="U59:U61" si="85">IF(AND(T59&lt;&gt;"",T59&gt;1),U19,"")</f>
        <v>Ukraine</v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1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1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1</v>
      </c>
      <c r="AA59" s="194">
        <f>Y59-Z59+1000</f>
        <v>1000</v>
      </c>
      <c r="AB59" s="194">
        <f t="shared" ref="AB59:AB61" si="86">IF(U59&lt;&gt;"",V59*3+W59*1,"")</f>
        <v>1</v>
      </c>
      <c r="AC59" s="194">
        <f>IF(U59&lt;&gt;"",VLOOKUP(U59,B4:H40,7,FALSE),"")</f>
        <v>1002</v>
      </c>
      <c r="AD59" s="194">
        <f>IF(U59&lt;&gt;"",VLOOKUP(U59,B4:H40,5,FALSE),"")</f>
        <v>3</v>
      </c>
      <c r="AE59" s="194">
        <f>IF(U59&lt;&gt;"",VLOOKUP(U59,B4:J40,9,FALSE),"")</f>
        <v>50</v>
      </c>
      <c r="AF59" s="194">
        <f t="shared" ref="AF59:AF61" si="87">AB59</f>
        <v>1</v>
      </c>
      <c r="AG59" s="194">
        <f>IF(U59&lt;&gt;"",RANK(AF59,AF58:AF61),"")</f>
        <v>1</v>
      </c>
      <c r="AH59" s="194">
        <f>IF(U59&lt;&gt;"",SUMPRODUCT((AF58:AF61=AF59)*(AA58:AA61&gt;AA59)),"")</f>
        <v>0</v>
      </c>
      <c r="AI59" s="194">
        <f>IF(U59&lt;&gt;"",SUMPRODUCT((AF58:AF61=AF59)*(AA58:AA61=AA59)*(Y58:Y61&gt;Y59)),"")</f>
        <v>0</v>
      </c>
      <c r="AJ59" s="194">
        <f>IF(U59&lt;&gt;"",SUMPRODUCT((AF58:AF61=AF59)*(AA58:AA61=AA59)*(Y58:Y61=Y59)*(AC58:AC61&gt;AC59)),"")</f>
        <v>0</v>
      </c>
      <c r="AK59" s="194">
        <f>IF(U59&lt;&gt;"",SUMPRODUCT((AF58:AF61=AF59)*(AA58:AA61=AA59)*(Y58:Y61=Y59)*(AC58:AC61=AC59)*(AD58:AD61&gt;AD59)),"")</f>
        <v>1</v>
      </c>
      <c r="AL59" s="194">
        <f>IF(U59&lt;&gt;"",SUMPRODUCT((AF58:AF61=AF59)*(AA58:AA61=AA59)*(Y58:Y61=Y59)*(AC58:AC61=AC59)*(AD58:AD61=AD59)*(AE58:AE61&gt;AE59)),"")</f>
        <v>0</v>
      </c>
      <c r="AM59" s="194">
        <f>IF(U59&lt;&gt;"",SUM(AG59:AL59),"")</f>
        <v>2</v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15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15">
      <c r="I78" s="194">
        <f>SUMPRODUCT((I37:I40=I38)*(H37:H40=H38)*(F37:F40&gt;F38))+1</f>
        <v>1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Portugal</v>
      </c>
    </row>
    <row r="89" spans="3:3" x14ac:dyDescent="0.15">
      <c r="C89" s="194" t="str">
        <f>Matches!B50</f>
        <v>Italy</v>
      </c>
    </row>
    <row r="90" spans="3:3" x14ac:dyDescent="0.15">
      <c r="C90" s="194" t="str">
        <f>Matches!B51</f>
        <v>France</v>
      </c>
    </row>
    <row r="91" spans="3:3" x14ac:dyDescent="0.15">
      <c r="C91" s="194" t="str">
        <f>Matches!B52</f>
        <v>Germany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Germany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Microsoft Office User</cp:lastModifiedBy>
  <cp:lastPrinted>2021-06-02T07:28:15Z</cp:lastPrinted>
  <dcterms:created xsi:type="dcterms:W3CDTF">2021-04-26T08:42:41Z</dcterms:created>
  <dcterms:modified xsi:type="dcterms:W3CDTF">2021-06-11T17:47:37Z</dcterms:modified>
</cp:coreProperties>
</file>