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borg/Desktop/"/>
    </mc:Choice>
  </mc:AlternateContent>
  <xr:revisionPtr revIDLastSave="0" documentId="13_ncr:1_{9BC82148-AAAC-A440-8BB4-166B6B69BCDB}" xr6:coauthVersionLast="3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8800" windowHeight="163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81029"/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7" i="3" l="1"/>
  <c r="DE27" i="3" s="1"/>
  <c r="DD30" i="3"/>
  <c r="DE30" i="3" s="1"/>
  <c r="DD25" i="3"/>
  <c r="DE25" i="3" s="1"/>
  <c r="DD10" i="3"/>
  <c r="DE1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 l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K21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CA6" i="3" l="1"/>
  <c r="T59" i="3"/>
  <c r="U59" i="3" s="1"/>
  <c r="AE59" i="3" s="1"/>
  <c r="AG19" i="3"/>
  <c r="AW74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D59" i="3" l="1"/>
  <c r="AC59" i="3"/>
  <c r="AV74" i="3"/>
  <c r="AZ74" i="3" s="1"/>
  <c r="CB21" i="3"/>
  <c r="AN61" i="3"/>
  <c r="AO61" i="3" s="1"/>
  <c r="AY61" i="3" s="1"/>
  <c r="CB13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X61" i="3" l="1"/>
  <c r="AW61" i="3"/>
  <c r="AB61" i="3"/>
  <c r="AF61" i="3" s="1"/>
  <c r="BE40" i="3"/>
  <c r="BA40" i="3"/>
  <c r="BB40" i="3"/>
  <c r="AA61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60" i="3"/>
  <c r="AH61" i="3"/>
  <c r="AG74" i="3"/>
  <c r="AH72" i="3"/>
  <c r="AK61" i="3"/>
  <c r="AG71" i="3"/>
  <c r="AH58" i="3"/>
  <c r="AL60" i="3"/>
  <c r="AG73" i="3"/>
  <c r="AK60" i="3"/>
  <c r="AJ61" i="3"/>
  <c r="AJ60" i="3"/>
  <c r="AG72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80" i="3" l="1"/>
  <c r="AZ80" i="3" s="1"/>
  <c r="AJ58" i="3"/>
  <c r="AK58" i="3"/>
  <c r="AK59" i="3"/>
  <c r="AI59" i="3"/>
  <c r="AL58" i="3"/>
  <c r="AG59" i="3"/>
  <c r="AI58" i="3"/>
  <c r="AL59" i="3"/>
  <c r="AH59" i="3"/>
  <c r="AJ59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61" i="3"/>
  <c r="AM21" i="3" s="1"/>
  <c r="AM60" i="3"/>
  <c r="AM20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58" i="3" l="1"/>
  <c r="AM18" i="3" s="1"/>
  <c r="AM59" i="3"/>
  <c r="AM19" i="3" s="1"/>
  <c r="BB61" i="3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33" i="3"/>
  <c r="AN31" i="3"/>
  <c r="CW31" i="3" s="1"/>
  <c r="AN32" i="3"/>
  <c r="BG46" i="3"/>
  <c r="BG6" i="3" s="1"/>
  <c r="BG47" i="3"/>
  <c r="BG7" i="3" s="1"/>
  <c r="AN18" i="3" l="1"/>
  <c r="CW18" i="3" s="1"/>
  <c r="AN20" i="3"/>
  <c r="AN19" i="3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31" i="3" l="1"/>
  <c r="AN26" i="3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V14" i="2"/>
  <c r="Z11" i="2"/>
  <c r="U11" i="2"/>
  <c r="AB11" i="2" s="1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AB14" i="2"/>
  <c r="T11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<sst xmlns="http://schemas.openxmlformats.org/spreadsheetml/2006/main" count="590" uniqueCount="148">
  <si>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</si>
  <si>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</si>
  <si>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</si>
  <si>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</si>
  <si>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</si>
  <si>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</si>
  <si>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</si>
  <si>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</si>
  <si>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</si>
  <si>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</si>
  <si>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</si>
  <si>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</si>
  <si>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</si>
  <si>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</si>
  <si>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</si>
  <si>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</si>
  <si>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</si>
  <si>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</si>
  <si>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</si>
  <si>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</si>
  <si>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</si>
  <si>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</si>
  <si>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</si>
  <si>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</si>
  <si>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</si>
  <si>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</si>
  <si>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</si>
  <si>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</si>
  <si>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</si>
  <si>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</si>
  <si>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</si>
  <si>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</si>
  <si>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</si>
  <si>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</si>
  <si>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</si>
  <si>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</si>
  <si>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</si>
  <si>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</si>
  <si>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</si>
  <si>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</si>
  <si>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</si>
  <si>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</si>
  <si>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</si>
  <si>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</si>
  <si>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</si>
  <si>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</si>
  <si>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</si>
  <si>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</si>
  <si>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</si>
  <si>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</si>
  <si>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</si>
  <si>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</si>
  <si>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</si>
  <si>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</si>
  <si>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</si>
  <si>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</si>
  <si>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</si>
  <si>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</si>
  <si>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</si>
  <si>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</si>
  <si>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</si>
  <si>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</si>
  <si>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</si>
  <si>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</si>
  <si>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</si>
  <si>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</si>
  <si>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</si>
  <si>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</si>
  <si>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</si>
  <si>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</si>
  <si>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</si>
  <si>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</si>
  <si>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</si>
  <si>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</si>
  <si>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</si>
  <si>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</si>
  <si>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</si>
  <si>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</si>
  <si>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</si>
  <si>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</si>
  <si>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</si>
  <si>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</si>
  <si>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</si>
  <si>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</si>
  <si>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</si>
  <si>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</si>
  <si>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</si>
  <si>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</si>
  <si>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</si>
  <si>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</si>
  <si>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</si>
  <si>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</si>
  <si>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</si>
  <si>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</si>
  <si>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</si>
  <si>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</si>
  <si>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</si>
  <si>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</si>
  <si>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</si>
  <si>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</si>
  <si>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</si>
  <si>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</si>
  <si>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</si>
  <si>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</si>
  <si>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</si>
  <si>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</si>
  <si>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</si>
  <si>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</si>
  <si>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</si>
  <si>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</si>
  <si>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</si>
  <si>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</si>
  <si>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</si>
  <si>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</si>
  <si>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</si>
  <si>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(25pts)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</si>
  <si>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(25pts)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</si>
  <si>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(25pts)</t>
    </r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</si>
  <si>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</si>
  <si>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</si>
  <si>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</si>
  <si>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</si>
  <si>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</si>
  <si>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</si>
  <si>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</si>
  <si>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</si>
  <si>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</si>
  <si>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</si>
  <si>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</si>
  <si>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</si>
  <si>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</si>
  <si>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</si>
  <si>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</si>
  <si>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</si>
  <si>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</si>
  <si>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</si>
  <si>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</si>
  <si>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</si>
  <si>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</si>
  <si>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</si>
  <si>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</si>
  <si>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t>Luke Borg</t>
  </si>
  <si>
    <t>FRANCE</t>
  </si>
  <si>
    <t>PORTUGAL</t>
  </si>
  <si>
    <t>ENGLAND</t>
  </si>
  <si>
    <t>BELGIUM</t>
  </si>
  <si>
    <t>K. MBAPPE</t>
  </si>
  <si>
    <t>H.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</si>
</sst>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39" activePane="bottomLeft" state="frozen"/>
      <selection pane="bottomLeft" activeCell="M64" sqref="M6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4" t="s">
        <v>136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2">
      <c r="B2" s="260" t="s">
        <v>132</v>
      </c>
      <c r="C2" s="261"/>
      <c r="D2" s="261"/>
      <c r="E2" s="204" t="s">
        <v>135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2">
      <c r="B3" s="261"/>
      <c r="C3" s="261"/>
      <c r="D3" s="261"/>
      <c r="E3" s="205" t="s">
        <v>134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2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 t="s">
        <v>141</v>
      </c>
      <c r="V4" s="268"/>
      <c r="W4" s="268"/>
      <c r="X4" s="268"/>
      <c r="Y4" s="268"/>
      <c r="Z4" s="268"/>
      <c r="AA4" s="268"/>
      <c r="AB4" s="268"/>
      <c r="AC4" s="269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130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133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3</v>
      </c>
      <c r="AA11" s="44">
        <f>X11-Z11</f>
        <v>2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0</v>
      </c>
      <c r="G12" s="185">
        <v>0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4</v>
      </c>
      <c r="AA12" s="53">
        <f>X12-Z12</f>
        <v>1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Wales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2</v>
      </c>
      <c r="W14" s="55">
        <f>VLOOKUP(P14,'Dummy Table'!B4:E40,4,FALSE)</f>
        <v>1</v>
      </c>
      <c r="X14" s="55">
        <f>VLOOKUP(P14,'Dummy Table'!B4:F40,5,FALSE)</f>
        <v>0</v>
      </c>
      <c r="Y14" s="55" t="s">
        <v>45</v>
      </c>
      <c r="Z14" s="55">
        <f>VLOOKUP(P14,'Dummy Table'!B4:G40,6,FALSE)</f>
        <v>2</v>
      </c>
      <c r="AA14" s="55">
        <f>X14-Z14</f>
        <v>-2</v>
      </c>
      <c r="AB14" s="55">
        <f>U14*3+V14*1</f>
        <v>2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3</v>
      </c>
      <c r="G15" s="185">
        <v>1</v>
      </c>
      <c r="H15" s="50" t="s">
        <v>5</v>
      </c>
      <c r="I15" s="51"/>
      <c r="J15" s="51"/>
      <c r="K15" s="51"/>
      <c r="L15" s="242"/>
      <c r="M15" s="52" t="str">
        <f t="shared" si="0"/>
        <v>England</v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0</v>
      </c>
      <c r="H16" s="50" t="s">
        <v>15</v>
      </c>
      <c r="I16" s="51"/>
      <c r="J16" s="51"/>
      <c r="K16" s="51"/>
      <c r="L16" s="242"/>
      <c r="M16" s="52" t="str">
        <f t="shared" si="0"/>
        <v>Austria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2</v>
      </c>
      <c r="AA16" s="56">
        <f>X16-Z16</f>
        <v>5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3</v>
      </c>
      <c r="G17" s="185">
        <v>0</v>
      </c>
      <c r="H17" s="50" t="s">
        <v>25</v>
      </c>
      <c r="I17" s="51"/>
      <c r="J17" s="51"/>
      <c r="K17" s="51"/>
      <c r="L17" s="242"/>
      <c r="M17" s="52" t="str">
        <f t="shared" si="0"/>
        <v>Netherlands</v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2</v>
      </c>
      <c r="AA17" s="58">
        <f>X17-Z17</f>
        <v>2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42"/>
      <c r="M18" s="52" t="str">
        <f t="shared" si="0"/>
        <v/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5</v>
      </c>
      <c r="AA18" s="59">
        <f>X18-Z18</f>
        <v>-2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6</v>
      </c>
      <c r="AA19" s="55">
        <f>X19-Z19</f>
        <v>-5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1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3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7</v>
      </c>
      <c r="Y21" s="61" t="s">
        <v>45</v>
      </c>
      <c r="Z21" s="60">
        <f>VLOOKUP(P21,'Dummy Table'!B4:G40,6,FALSE)</f>
        <v>0</v>
      </c>
      <c r="AA21" s="60">
        <f>X21-Z21</f>
        <v>7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4</v>
      </c>
      <c r="G22" s="186">
        <v>2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2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Ukraine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6</v>
      </c>
      <c r="AA23" s="78">
        <f>X23-Z23</f>
        <v>-2</v>
      </c>
      <c r="AB23" s="78">
        <f>U23*3+V23*1</f>
        <v>3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53" t="str">
        <f>VLOOKUP(4,'Dummy Table'!A18:B22,2,FALSE)</f>
        <v>North Macedonia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7</v>
      </c>
      <c r="AA24" s="55">
        <f>X24-Z24</f>
        <v>-6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3</v>
      </c>
      <c r="G25" s="185">
        <v>2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3</v>
      </c>
      <c r="G26" s="185">
        <v>1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9</v>
      </c>
      <c r="Y26" s="87" t="s">
        <v>45</v>
      </c>
      <c r="Z26" s="86">
        <f>VLOOKUP(P26,'Dummy Table'!B4:G40,6,FALSE)</f>
        <v>1</v>
      </c>
      <c r="AA26" s="86">
        <f>X26-Z26</f>
        <v>8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7</v>
      </c>
      <c r="Y27" s="88" t="s">
        <v>45</v>
      </c>
      <c r="Z27" s="88">
        <f>VLOOKUP(P27,'Dummy Table'!B4:G40,6,FALSE)</f>
        <v>4</v>
      </c>
      <c r="AA27" s="88">
        <f>X27-Z27</f>
        <v>3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6</v>
      </c>
      <c r="AA28" s="89">
        <f>X28-Z28</f>
        <v>-4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1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53" t="str">
        <f>VLOOKUP(4,'Dummy Table'!A25:B29,2,FALSE)</f>
        <v>Czech Republic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8</v>
      </c>
      <c r="AA29" s="55">
        <f>X29-Z29</f>
        <v>-7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2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8</v>
      </c>
      <c r="Y31" s="91" t="s">
        <v>45</v>
      </c>
      <c r="Z31" s="90">
        <f>VLOOKUP(P31,'Dummy Table'!B4:G40,6,FALSE)</f>
        <v>2</v>
      </c>
      <c r="AA31" s="90">
        <f>X31-Z31</f>
        <v>6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5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0</v>
      </c>
      <c r="W32" s="92">
        <f>VLOOKUP(P32,'Dummy Table'!B4:E40,4,FALSE)</f>
        <v>1</v>
      </c>
      <c r="X32" s="92">
        <f>VLOOKUP(P32,'Dummy Table'!B4:F40,5,FALSE)</f>
        <v>5</v>
      </c>
      <c r="Y32" s="92" t="s">
        <v>45</v>
      </c>
      <c r="Z32" s="92">
        <f>VLOOKUP(P32,'Dummy Table'!B4:G40,6,FALSE)</f>
        <v>4</v>
      </c>
      <c r="AA32" s="92">
        <f>X32-Z32</f>
        <v>1</v>
      </c>
      <c r="AB32" s="92">
        <f>U32*3+V32*1</f>
        <v>6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2</v>
      </c>
      <c r="H33" s="83" t="s">
        <v>11</v>
      </c>
      <c r="I33" s="84"/>
      <c r="J33" s="84"/>
      <c r="K33" s="84"/>
      <c r="L33" s="255"/>
      <c r="M33" s="85" t="str">
        <f t="shared" si="0"/>
        <v/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4</v>
      </c>
      <c r="Y33" s="93" t="s">
        <v>45</v>
      </c>
      <c r="Z33" s="93">
        <f>VLOOKUP(P33,'Dummy Table'!B4:G40,6,FALSE)</f>
        <v>5</v>
      </c>
      <c r="AA33" s="93">
        <f>X33-Z33</f>
        <v>-1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3</v>
      </c>
      <c r="G34" s="186">
        <v>1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53" t="str">
        <f>VLOOKUP(4,'Dummy Table'!A31:B35,2,FALSE)</f>
        <v>Slovakia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7</v>
      </c>
      <c r="AA34" s="55">
        <f>X34-Z34</f>
        <v>-6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2</v>
      </c>
      <c r="G35" s="210">
        <v>2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0</v>
      </c>
      <c r="G36" s="185">
        <v>0</v>
      </c>
      <c r="H36" s="50" t="s">
        <v>26</v>
      </c>
      <c r="I36" s="51"/>
      <c r="J36" s="51"/>
      <c r="K36" s="51"/>
      <c r="L36" s="242"/>
      <c r="M36" s="52" t="str">
        <f t="shared" si="0"/>
        <v/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11</v>
      </c>
      <c r="Y36" s="104" t="s">
        <v>45</v>
      </c>
      <c r="Z36" s="103">
        <f>VLOOKUP(P36,'Dummy Table'!B4:G40,6,FALSE)</f>
        <v>3</v>
      </c>
      <c r="AA36" s="103">
        <f>X36-Z36</f>
        <v>8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7</v>
      </c>
      <c r="Y37" s="105" t="s">
        <v>45</v>
      </c>
      <c r="Z37" s="105">
        <f>VLOOKUP(P37,'Dummy Table'!B4:G40,6,FALSE)</f>
        <v>6</v>
      </c>
      <c r="AA37" s="105">
        <f>X37-Z37</f>
        <v>1</v>
      </c>
      <c r="AB37" s="105">
        <f>U37*3+V37*1</f>
        <v>4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2</v>
      </c>
      <c r="H38" s="50" t="s">
        <v>2</v>
      </c>
      <c r="I38" s="51"/>
      <c r="J38" s="51"/>
      <c r="K38" s="51"/>
      <c r="L38" s="242"/>
      <c r="M38" s="52" t="str">
        <f t="shared" si="0"/>
        <v>Austria</v>
      </c>
      <c r="N38" s="31"/>
      <c r="O38" s="132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6</v>
      </c>
      <c r="Y38" s="106" t="s">
        <v>45</v>
      </c>
      <c r="Z38" s="106">
        <f>VLOOKUP(P38,'Dummy Table'!B4:G40,6,FALSE)</f>
        <v>5</v>
      </c>
      <c r="AA38" s="106">
        <f>X38-Z38</f>
        <v>1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0</v>
      </c>
      <c r="G39" s="185">
        <v>1</v>
      </c>
      <c r="H39" s="50" t="s">
        <v>7</v>
      </c>
      <c r="I39" s="51"/>
      <c r="J39" s="51"/>
      <c r="K39" s="51"/>
      <c r="L39" s="242"/>
      <c r="M39" s="52" t="str">
        <f t="shared" si="0"/>
        <v>Denmark</v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11</v>
      </c>
      <c r="AA39" s="55">
        <f>X39-Z39</f>
        <v>-10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2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3</v>
      </c>
      <c r="G41" s="185">
        <v>1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4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2</v>
      </c>
      <c r="H43" s="50" t="s">
        <v>16</v>
      </c>
      <c r="I43" s="51"/>
      <c r="J43" s="51"/>
      <c r="K43" s="51"/>
      <c r="L43" s="242"/>
      <c r="M43" s="52" t="str">
        <f t="shared" si="0"/>
        <v>Poland</v>
      </c>
      <c r="N43" s="31"/>
      <c r="O43" s="139">
        <v>1</v>
      </c>
      <c r="P43" s="285" t="str">
        <f>INDEX('Dummy Table'!DH3:DH8,MATCH(Matches!O43,'Dummy Table'!DU3:DU8,0),0)</f>
        <v>Portugal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6</v>
      </c>
      <c r="Y43" s="111" t="s">
        <v>45</v>
      </c>
      <c r="Z43" s="111">
        <f>VLOOKUP(P43,P11:AB39,11,FALSE)</f>
        <v>5</v>
      </c>
      <c r="AA43" s="111">
        <f>VLOOKUP(P43,P11:AB39,12,FALSE)</f>
        <v>1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Sweden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4</v>
      </c>
      <c r="Y44" s="111" t="s">
        <v>45</v>
      </c>
      <c r="Z44" s="111">
        <f>VLOOKUP(P44,P11:AB39,11,FALSE)</f>
        <v>5</v>
      </c>
      <c r="AA44" s="111">
        <f>VLOOKUP(P44,P11:AB39,12,FALSE)</f>
        <v>-1</v>
      </c>
      <c r="AB44" s="111">
        <f>VLOOKUP(P44,P11:AB39,13,FALSE)</f>
        <v>3</v>
      </c>
      <c r="AC44" s="140" t="str">
        <f>INDEX('Dummy Table'!DV3:DV8,MATCH(Matches!O44,'Dummy Table'!DU3:DU8,0),0)</f>
        <v>E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42"/>
      <c r="M45" s="52" t="str">
        <f t="shared" si="0"/>
        <v>France</v>
      </c>
      <c r="N45" s="31"/>
      <c r="O45" s="139">
        <v>3</v>
      </c>
      <c r="P45" s="285" t="str">
        <f>INDEX('Dummy Table'!DH3:DH8,MATCH(Matches!O45,'Dummy Table'!DU3:DU8,0),0)</f>
        <v>Ukraine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6</v>
      </c>
      <c r="AA45" s="111">
        <f>VLOOKUP(P45,P11:AB39,12,FALSE)</f>
        <v>-2</v>
      </c>
      <c r="AB45" s="111">
        <f>VLOOKUP(P45,P11:AB39,13,FALSE)</f>
        <v>3</v>
      </c>
      <c r="AC45" s="140" t="str">
        <f>INDEX('Dummy Table'!DV3:DV8,MATCH(Matches!O45,'Dummy Table'!DU3:DU8,0),0)</f>
        <v>C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Russia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5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B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78" t="str">
        <f>INDEX('Dummy Table'!DH3:DH8,MATCH(Matches!O47,'Dummy Table'!DU3:DU8,0),0)</f>
        <v>Switzerland</v>
      </c>
      <c r="Q47" s="278"/>
      <c r="R47" s="278"/>
      <c r="S47" s="278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4</v>
      </c>
      <c r="Y47" s="112" t="s">
        <v>45</v>
      </c>
      <c r="Z47" s="112">
        <f>VLOOKUP(P47,P11:AB39,11,FALSE)</f>
        <v>5</v>
      </c>
      <c r="AA47" s="112">
        <f>VLOOKUP(P47,P11:AB39,12,FALSE)</f>
        <v>-1</v>
      </c>
      <c r="AB47" s="112">
        <f>VLOOKUP(P47,P11:AB39,13,FALSE)</f>
        <v>2</v>
      </c>
      <c r="AC47" s="142" t="str">
        <f>INDEX('Dummy Table'!DV3:DV8,MATCH(Matches!O47,'Dummy Table'!DU3:DU8,0),0)</f>
        <v>A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137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Scotland</v>
      </c>
      <c r="Q48" s="279"/>
      <c r="R48" s="279"/>
      <c r="S48" s="279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6</v>
      </c>
      <c r="AA48" s="144">
        <f>VLOOKUP(P48,P11:AB39,12,FALSE)</f>
        <v>-4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143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7" t="s">
        <v>142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125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2">
      <c r="B51" s="237" t="s">
        <v>144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126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25">
      <c r="B52" s="214" t="s">
        <v>145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25">
      <c r="N53" s="21"/>
      <c r="O53" s="170">
        <v>1</v>
      </c>
      <c r="P53" s="171" t="s">
        <v>118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138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119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142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120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144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121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2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2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122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142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123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124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127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115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142</v>
      </c>
      <c r="N62" s="21"/>
      <c r="O62" s="170">
        <v>8</v>
      </c>
      <c r="P62" s="171" t="s">
        <v>128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116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147</v>
      </c>
      <c r="N63" s="175"/>
      <c r="O63" s="220" t="s">
        <v>139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117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146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loAYBuh6NU45s1dA7cQJtj9dlgnH4TQvHUa4mFgrN1DEtdQ5/98WdqFZyg5otGwuZxignXviYG/+BxK7BzyYkQ==" saltValue="2MsIG2qtBLJkZRI8vVFg2w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H16" sqref="H16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Luke Borg</v>
      </c>
    </row>
    <row r="2" spans="1:1" x14ac:dyDescent="0.2">
      <c r="A2" s="189" t="s">
        <v>131</v>
      </c>
    </row>
    <row r="3" spans="1:1" x14ac:dyDescent="0.2">
      <c r="A3" s="190" t="str">
        <f>TEXT(Matches!F11,"#0")&amp;"-"&amp;TEXT(Matches!G11,"#0")</f>
        <v>1-2</v>
      </c>
    </row>
    <row r="4" spans="1:1" x14ac:dyDescent="0.2">
      <c r="A4" s="190" t="str">
        <f>TEXT(Matches!F12,"#0")&amp;"-"&amp;TEXT(Matches!G12,"#0")</f>
        <v>0-0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3-1</v>
      </c>
    </row>
    <row r="8" spans="1:1" x14ac:dyDescent="0.2">
      <c r="A8" s="190" t="str">
        <f>TEXT(Matches!F16,"#0")&amp;"-"&amp;TEXT(Matches!G16,"#0")</f>
        <v>2-0</v>
      </c>
    </row>
    <row r="9" spans="1:1" x14ac:dyDescent="0.2">
      <c r="A9" s="190" t="str">
        <f>TEXT(Matches!F17,"#0")&amp;"-"&amp;TEXT(Matches!G17,"#0")</f>
        <v>3-0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2-1</v>
      </c>
    </row>
    <row r="13" spans="1:1" x14ac:dyDescent="0.2">
      <c r="A13" s="190" t="str">
        <f>TEXT(Matches!F21,"#0")&amp;"-"&amp;TEXT(Matches!G21,"#0")</f>
        <v>1-3</v>
      </c>
    </row>
    <row r="14" spans="1:1" x14ac:dyDescent="0.2">
      <c r="A14" s="190" t="str">
        <f>TEXT(Matches!F22,"#0")&amp;"-"&amp;TEXT(Matches!G22,"#0")</f>
        <v>4-2</v>
      </c>
    </row>
    <row r="15" spans="1:1" x14ac:dyDescent="0.2">
      <c r="A15" s="190" t="str">
        <f>TEXT(Matches!F23,"#0")&amp;"-"&amp;TEXT(Matches!G23,"#0")</f>
        <v>1-2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3-2</v>
      </c>
    </row>
    <row r="18" spans="1:1" x14ac:dyDescent="0.2">
      <c r="A18" s="190" t="str">
        <f>TEXT(Matches!F26,"#0")&amp;"-"&amp;TEXT(Matches!G26,"#0")</f>
        <v>3-1</v>
      </c>
    </row>
    <row r="19" spans="1:1" x14ac:dyDescent="0.2">
      <c r="A19" s="190" t="str">
        <f>TEXT(Matches!F27,"#0")&amp;"-"&amp;TEXT(Matches!G27,"#0")</f>
        <v>1-2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2-1</v>
      </c>
    </row>
    <row r="22" spans="1:1" x14ac:dyDescent="0.2">
      <c r="A22" s="190" t="str">
        <f>TEXT(Matches!F30,"#0")&amp;"-"&amp;TEXT(Matches!G30,"#0")</f>
        <v>3-0</v>
      </c>
    </row>
    <row r="23" spans="1:1" x14ac:dyDescent="0.2">
      <c r="A23" s="190" t="str">
        <f>TEXT(Matches!F31,"#0")&amp;"-"&amp;TEXT(Matches!G31,"#0")</f>
        <v>2-0</v>
      </c>
    </row>
    <row r="24" spans="1:1" x14ac:dyDescent="0.2">
      <c r="A24" s="190" t="str">
        <f>TEXT(Matches!F32,"#0")&amp;"-"&amp;TEXT(Matches!G32,"#0")</f>
        <v>0-5</v>
      </c>
    </row>
    <row r="25" spans="1:1" x14ac:dyDescent="0.2">
      <c r="A25" s="190" t="str">
        <f>TEXT(Matches!F33,"#0")&amp;"-"&amp;TEXT(Matches!G33,"#0")</f>
        <v>2-2</v>
      </c>
    </row>
    <row r="26" spans="1:1" x14ac:dyDescent="0.2">
      <c r="A26" s="190" t="str">
        <f>TEXT(Matches!F34,"#0")&amp;"-"&amp;TEXT(Matches!G34,"#0")</f>
        <v>3-1</v>
      </c>
    </row>
    <row r="27" spans="1:1" x14ac:dyDescent="0.2">
      <c r="A27" s="190" t="str">
        <f>TEXT(Matches!F35,"#0")&amp;"-"&amp;TEXT(Matches!G35,"#0")</f>
        <v>2-2</v>
      </c>
    </row>
    <row r="28" spans="1:1" x14ac:dyDescent="0.2">
      <c r="A28" s="190" t="str">
        <f>TEXT(Matches!F36,"#0")&amp;"-"&amp;TEXT(Matches!G36,"#0")</f>
        <v>0-0</v>
      </c>
    </row>
    <row r="29" spans="1:1" x14ac:dyDescent="0.2">
      <c r="A29" s="190" t="str">
        <f>TEXT(Matches!F37,"#0")&amp;"-"&amp;TEXT(Matches!G37,"#0")</f>
        <v>0-2</v>
      </c>
    </row>
    <row r="30" spans="1:1" x14ac:dyDescent="0.2">
      <c r="A30" s="190" t="str">
        <f>TEXT(Matches!F38,"#0")&amp;"-"&amp;TEXT(Matches!G38,"#0")</f>
        <v>1-2</v>
      </c>
    </row>
    <row r="31" spans="1:1" x14ac:dyDescent="0.2">
      <c r="A31" s="190" t="str">
        <f>TEXT(Matches!F39,"#0")&amp;"-"&amp;TEXT(Matches!G39,"#0")</f>
        <v>0-1</v>
      </c>
    </row>
    <row r="32" spans="1:1" x14ac:dyDescent="0.2">
      <c r="A32" s="190" t="str">
        <f>TEXT(Matches!F40,"#0")&amp;"-"&amp;TEXT(Matches!G40,"#0")</f>
        <v>0-2</v>
      </c>
    </row>
    <row r="33" spans="1:1" x14ac:dyDescent="0.2">
      <c r="A33" s="190" t="str">
        <f>TEXT(Matches!F41,"#0")&amp;"-"&amp;TEXT(Matches!G41,"#0")</f>
        <v>3-1</v>
      </c>
    </row>
    <row r="34" spans="1:1" x14ac:dyDescent="0.2">
      <c r="A34" s="190" t="str">
        <f>TEXT(Matches!F42,"#0")&amp;"-"&amp;TEXT(Matches!G42,"#0")</f>
        <v>0-4</v>
      </c>
    </row>
    <row r="35" spans="1:1" x14ac:dyDescent="0.2">
      <c r="A35" s="190" t="str">
        <f>TEXT(Matches!F43,"#0")&amp;"-"&amp;TEXT(Matches!G43,"#0")</f>
        <v>1-2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3-0</v>
      </c>
    </row>
    <row r="39" spans="1:1" x14ac:dyDescent="0.2">
      <c r="A39" s="191" t="s">
        <v>140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Austria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Portugal</v>
      </c>
    </row>
    <row r="53" spans="1:1" x14ac:dyDescent="0.2">
      <c r="A53" s="190" t="str">
        <f>Matches!P44</f>
        <v>Sweden</v>
      </c>
    </row>
    <row r="54" spans="1:1" x14ac:dyDescent="0.2">
      <c r="A54" s="190" t="str">
        <f>Matches!P45</f>
        <v>Ukraine</v>
      </c>
    </row>
    <row r="55" spans="1:1" x14ac:dyDescent="0.2">
      <c r="A55" s="190" t="str">
        <f>Matches!P46</f>
        <v>Russia</v>
      </c>
    </row>
    <row r="56" spans="1:1" x14ac:dyDescent="0.2">
      <c r="A56" s="191" t="s">
        <v>55</v>
      </c>
    </row>
    <row r="57" spans="1:1" x14ac:dyDescent="0.2">
      <c r="A57" s="190" t="str">
        <f>Matches!B49</f>
        <v>PORTUGAL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ENGLAND</v>
      </c>
    </row>
    <row r="60" spans="1:1" x14ac:dyDescent="0.2">
      <c r="A60" s="190" t="str">
        <f>Matches!B52</f>
        <v>BELGIUM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ENGLAND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129</v>
      </c>
    </row>
    <row r="67" spans="1:1" x14ac:dyDescent="0.2">
      <c r="A67" s="190" t="str">
        <f>Matches!M62</f>
        <v>FRANCE</v>
      </c>
    </row>
    <row r="68" spans="1:1" x14ac:dyDescent="0.2">
      <c r="A68" s="190" t="str">
        <f>Matches!M63</f>
        <v>H. KANE</v>
      </c>
    </row>
    <row r="69" spans="1:1" x14ac:dyDescent="0.2">
      <c r="A69" s="190" t="str">
        <f>Matches!M64</f>
        <v>K. MBAPPE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4</v>
      </c>
      <c r="DM3" s="193">
        <f>Matches!Z13</f>
        <v>5</v>
      </c>
      <c r="DN3" s="193">
        <f>Matches!AA13</f>
        <v>-1</v>
      </c>
      <c r="DO3" s="193">
        <f>Matches!AB13</f>
        <v>2</v>
      </c>
      <c r="DP3" s="21">
        <f>VLOOKUP(DH3,B4:J40,9,FALSE)</f>
        <v>47</v>
      </c>
      <c r="DQ3" s="21">
        <f>RANK(DO3,DO3:DO8)</f>
        <v>5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5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4</v>
      </c>
      <c r="H4" s="21">
        <f>F4-G4+1000</f>
        <v>1001</v>
      </c>
      <c r="I4" s="21">
        <f>C4*3+D4*1</f>
        <v>4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>Wales</v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0</v>
      </c>
      <c r="DB4" s="21">
        <f>IF(AND(Matches!G12&lt;&gt;"",Matches!F12&lt;&gt;""),Matches!G12,0)</f>
        <v>0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5</v>
      </c>
      <c r="DN4" s="193">
        <f>Matches!AA18</f>
        <v>-2</v>
      </c>
      <c r="DO4" s="193">
        <f>Matches!AB18</f>
        <v>3</v>
      </c>
      <c r="DP4" s="21">
        <f>VLOOKUP(DH4,B4:J40,9,FALSE)</f>
        <v>44</v>
      </c>
      <c r="DQ4" s="21">
        <f>RANK(DO4,DO3:DO8)</f>
        <v>2</v>
      </c>
      <c r="DR4" s="21">
        <f>SUMPRODUCT((DQ3:DQ8=DQ4)*(DN3:DN8&gt;DN4))</f>
        <v>1</v>
      </c>
      <c r="DS4" s="21">
        <f>SUMPRODUCT((DQ3:DQ8=DQ4)*(DN3:DN8=DN4)*(DL3:DL8&gt;DL4))</f>
        <v>1</v>
      </c>
      <c r="DT4" s="21">
        <f>SUMPRODUCT((DQ3:DQ8=DQ4)*(DN3:DN8=DN4)*(DL3:DL8=DL4)*(DP3:DP8&gt;DP4))</f>
        <v>0</v>
      </c>
      <c r="DU4" s="21">
        <f t="shared" ref="DU4:DU8" si="1">SUM(DQ4:DT4)</f>
        <v>4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3</v>
      </c>
      <c r="H5" s="21">
        <f t="shared" ref="H5:H7" si="2">F5-G5+1000</f>
        <v>1002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>Switzerland</v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Ukraine</v>
      </c>
      <c r="DI5" s="193">
        <f>Matches!U23</f>
        <v>1</v>
      </c>
      <c r="DJ5" s="193">
        <f>Matches!V23</f>
        <v>0</v>
      </c>
      <c r="DK5" s="193">
        <f>Matches!W23</f>
        <v>2</v>
      </c>
      <c r="DL5" s="193">
        <f>Matches!X23</f>
        <v>4</v>
      </c>
      <c r="DM5" s="193">
        <f>Matches!Z23</f>
        <v>6</v>
      </c>
      <c r="DN5" s="193">
        <f>Matches!AA23</f>
        <v>-2</v>
      </c>
      <c r="DO5" s="193">
        <f>Matches!AB23</f>
        <v>3</v>
      </c>
      <c r="DP5" s="21">
        <f>VLOOKUP(DH5,B4:J40,9,FALSE)</f>
        <v>50</v>
      </c>
      <c r="DQ5" s="21">
        <f>RANK(DO5,DO3:DO8)</f>
        <v>2</v>
      </c>
      <c r="DR5" s="21">
        <f>SUMPRODUCT((DQ3:DQ8=DQ5)*(DN3:DN8&gt;DN5))</f>
        <v>1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3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2</v>
      </c>
      <c r="E6" s="21">
        <f>SUMPRODUCT((CZ3:CZ42=B6)*(DD3:DD42="L"))+SUMPRODUCT((DC3:DC42=B6)*(DE3:DE42="L"))</f>
        <v>1</v>
      </c>
      <c r="F6" s="21">
        <f>SUMIF(CZ3:CZ60,B6,DA3:DA60)+SUMIF(DC3:DC60,B6,DB3:DB60)</f>
        <v>0</v>
      </c>
      <c r="G6" s="21">
        <f>SUMIF(DC3:DC60,B6,DA3:DA60)+SUMIF(CZ3:CZ60,B6,DB3:DB60)</f>
        <v>2</v>
      </c>
      <c r="H6" s="21">
        <f t="shared" si="2"/>
        <v>998</v>
      </c>
      <c r="I6" s="21">
        <f t="shared" si="3"/>
        <v>2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>Wales</v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1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>
        <f t="shared" ref="BP6:BP7" si="9">IF(BI6&lt;&gt;"",BJ6*3+BK6*1,"")</f>
        <v>1</v>
      </c>
      <c r="BQ6" s="21">
        <f>IF(BI6&lt;&gt;"",VLOOKUP(BI6,B4:H40,7,FALSE),"")</f>
        <v>998</v>
      </c>
      <c r="BR6" s="21">
        <f>IF(BI6&lt;&gt;"",VLOOKUP(BI6,B4:H40,5,FALSE),"")</f>
        <v>0</v>
      </c>
      <c r="BS6" s="21">
        <f>IF(BI6&lt;&gt;"",VLOOKUP(BI6,B4:J40,9,FALSE),"")</f>
        <v>37</v>
      </c>
      <c r="BT6" s="21">
        <f t="shared" ref="BT6:BT7" si="10">BP6</f>
        <v>1</v>
      </c>
      <c r="BU6" s="21">
        <f>IF(BI6&lt;&gt;"",RANK(BT6,BT4:BT8),"")</f>
        <v>1</v>
      </c>
      <c r="BV6" s="21">
        <f>IF(BI6&lt;&gt;"",SUMPRODUCT((BT4:BT8=BT6)*(BO4:BO8&gt;BO6)),"")</f>
        <v>0</v>
      </c>
      <c r="BW6" s="21">
        <f>IF(BI6&lt;&gt;"",SUMPRODUCT((BT4:BT8=BT6)*(BO4:BO8=BO6)*(BM4:BM8&gt;BM6)),"")</f>
        <v>0</v>
      </c>
      <c r="BX6" s="21">
        <f>IF(BI6&lt;&gt;"",SUMPRODUCT((BT4:BT8=BT6)*(BO4:BO8=BO6)*(BM4:BM8=BM6)*(BQ4:BQ8&gt;BQ6)),"")</f>
        <v>1</v>
      </c>
      <c r="BY6" s="21">
        <f>IF(BI6&lt;&gt;"",SUMPRODUCT((BT4:BT8=BT6)*(BO4:BO8=BO6)*(BM4:BM8=BM6)*(BQ4:BQ8=BQ6)*(BR4:BR8&gt;BR6)),"")</f>
        <v>0</v>
      </c>
      <c r="BZ6" s="21">
        <f>IF(BI6&lt;&gt;"",SUMPRODUCT((BT4:BT8=BT6)*(BO4:BO8=BO6)*(BM4:BM8=BM6)*(BQ4:BQ8=BQ6)*(BR4:BR8=BR6)*(BS4:BS8&gt;BS6)),"")</f>
        <v>0</v>
      </c>
      <c r="CA6" s="21">
        <f>IF(BI6&lt;&gt;"",SUM(BU6:BZ6)+2,"")</f>
        <v>4</v>
      </c>
      <c r="CB6" s="21" t="str">
        <f>IF(BI6&lt;&gt;"",INDEX(BI6:BI8,MATCH(3,CA6:CA8,0),0),"")</f>
        <v>Switzerland</v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2</v>
      </c>
      <c r="DM6" s="193">
        <f>Matches!Z28</f>
        <v>6</v>
      </c>
      <c r="DN6" s="193">
        <f>Matches!AA28</f>
        <v>-4</v>
      </c>
      <c r="DO6" s="193">
        <f>Matches!AB28</f>
        <v>1</v>
      </c>
      <c r="DP6" s="21">
        <f>VLOOKUP(DH6,B4:J40,9,FALSE)</f>
        <v>27</v>
      </c>
      <c r="DQ6" s="21">
        <f>RANK(DO6,DO3:DO8)</f>
        <v>6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2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2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3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>Switzerland</v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1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>
        <f t="shared" si="9"/>
        <v>1</v>
      </c>
      <c r="BQ7" s="21">
        <f>IF(BI7&lt;&gt;"",VLOOKUP(BI7,B4:H40,7,FALSE),"")</f>
        <v>999</v>
      </c>
      <c r="BR7" s="21">
        <f>IF(BI7&lt;&gt;"",VLOOKUP(BI7,B4:H40,5,FALSE),"")</f>
        <v>4</v>
      </c>
      <c r="BS7" s="21">
        <f>IF(BI7&lt;&gt;"",VLOOKUP(BI7,B4:J40,9,FALSE),"")</f>
        <v>47</v>
      </c>
      <c r="BT7" s="21">
        <f t="shared" si="10"/>
        <v>1</v>
      </c>
      <c r="BU7" s="21">
        <f>IF(BI7&lt;&gt;"",RANK(BT7,BT4:BT8),"")</f>
        <v>1</v>
      </c>
      <c r="BV7" s="21">
        <f>IF(BI7&lt;&gt;"",SUMPRODUCT((BT4:BT8=BT7)*(BO4:BO8&gt;BO7)),"")</f>
        <v>0</v>
      </c>
      <c r="BW7" s="21">
        <f>IF(BI7&lt;&gt;"",SUMPRODUCT((BT4:BT8=BT7)*(BO4:BO8=BO7)*(BM4:BM8&gt;BM7)),"")</f>
        <v>0</v>
      </c>
      <c r="BX7" s="21">
        <f>IF(BI7&lt;&gt;"",SUMPRODUCT((BT4:BT8=BT7)*(BO4:BO8=BO7)*(BM4:BM8=BM7)*(BQ4:BQ8&gt;BQ7)),"")</f>
        <v>0</v>
      </c>
      <c r="BY7" s="21">
        <f>IF(BI7&lt;&gt;"",SUMPRODUCT((BT4:BT8=BT7)*(BO4:BO8=BO7)*(BM4:BM8=BM7)*(BQ4:BQ8=BQ7)*(BR4:BR8&gt;BR7)),"")</f>
        <v>0</v>
      </c>
      <c r="BZ7" s="21">
        <f>IF(BI7&lt;&gt;"",SUMPRODUCT((BT4:BT8=BT7)*(BO4:BO8=BO7)*(BM4:BM8=BM7)*(BQ4:BQ8=BQ7)*(BR4:BR8=BR7)*(BS4:BS8&gt;BS7)),"")</f>
        <v>0</v>
      </c>
      <c r="CA7" s="21">
        <f>IF(BI7&lt;&gt;"",SUM(BU7:BZ7)+2,"")</f>
        <v>3</v>
      </c>
      <c r="CB7" s="21" t="str">
        <f>IF(BI7&lt;&gt;"",INDEX(BI6:BI8,MATCH(4,CA6:CA8,0),0),"")</f>
        <v>Wales</v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3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4</v>
      </c>
      <c r="DM7" s="193">
        <f>Matches!Z33</f>
        <v>5</v>
      </c>
      <c r="DN7" s="193">
        <f>Matches!AA33</f>
        <v>-1</v>
      </c>
      <c r="DO7" s="193">
        <f>Matches!AB33</f>
        <v>3</v>
      </c>
      <c r="DP7" s="21">
        <f>VLOOKUP(DH7,B4:J40,9,FALSE)</f>
        <v>39</v>
      </c>
      <c r="DQ7" s="21">
        <f>RANK(DO7,DO3:DO8)</f>
        <v>2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2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6</v>
      </c>
      <c r="DM8" s="193">
        <f>Matches!Z38</f>
        <v>5</v>
      </c>
      <c r="DN8" s="193">
        <f>Matches!AA38</f>
        <v>1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2</v>
      </c>
      <c r="H11" s="21">
        <f t="shared" ref="H11:H14" si="13">F11-G11+1000</f>
        <v>1005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3</v>
      </c>
      <c r="G12" s="21">
        <f>SUMIF(DC3:DC60,B12,DA3:DA60)+SUMIF(CZ3:CZ60,B12,DB3:DB60)</f>
        <v>5</v>
      </c>
      <c r="H12" s="21">
        <f t="shared" si="13"/>
        <v>998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E</v>
      </c>
      <c r="DS12" s="199" t="str">
        <f>Matches!AC45</f>
        <v>C</v>
      </c>
      <c r="DT12" s="199" t="str">
        <f>Matches!AC46</f>
        <v>B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2</v>
      </c>
      <c r="H13" s="21">
        <f t="shared" si="13"/>
        <v>1002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3</v>
      </c>
      <c r="DT13" s="199">
        <f>IFERROR(MATCH(DT12,DH13:DK13,0),0)</f>
        <v>2</v>
      </c>
      <c r="DU13" s="199">
        <f t="shared" ref="DU13:DU27" si="22">SUM(DQ13:DT13)</f>
        <v>5</v>
      </c>
      <c r="DV13" s="198"/>
      <c r="DW13" s="198" t="str">
        <f>INDEX(DH3:DH8,MATCH(1,DU3:DU8,0),0)</f>
        <v>Portugal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6</v>
      </c>
      <c r="H14" s="21">
        <f t="shared" si="13"/>
        <v>995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4</v>
      </c>
      <c r="DB14" s="21">
        <f>IF(AND(Matches!G22&lt;&gt;"",Matches!F22&lt;&gt;""),Matches!G22,0)</f>
        <v>2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4</v>
      </c>
      <c r="DS14" s="199">
        <f>IFERROR(MATCH(DS12,DH14:DK14,0),0)</f>
        <v>3</v>
      </c>
      <c r="DT14" s="199">
        <f>IFERROR(MATCH(DT12,DH14:DK14,0),0)</f>
        <v>2</v>
      </c>
      <c r="DU14" s="199">
        <f t="shared" si="22"/>
        <v>9</v>
      </c>
      <c r="DV14" s="198"/>
      <c r="DW14" s="198" t="str">
        <f>INDEX(DH3:DH8,MATCH(2,DU3:DU8,0),0)</f>
        <v>Sweden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0</v>
      </c>
      <c r="DS15" s="199">
        <f>IFERROR(MATCH(DS12,DH15:DK15,0),0)</f>
        <v>3</v>
      </c>
      <c r="DT15" s="199">
        <f>IFERROR(MATCH(DT12,DH15:DK15,0),0)</f>
        <v>2</v>
      </c>
      <c r="DU15" s="199">
        <f t="shared" si="22"/>
        <v>9</v>
      </c>
      <c r="DV15" s="198"/>
      <c r="DW15" s="198" t="str">
        <f>INDEX(DH3:DH8,MATCH(3,DU3:DU8,0),0)</f>
        <v>Ukraine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4</v>
      </c>
      <c r="DS16" s="199">
        <f>IFERROR(MATCH(DS12,DH16:DK16,0),0)</f>
        <v>0</v>
      </c>
      <c r="DT16" s="199">
        <f>IFERROR(MATCH(DT12,DH16:DK16,0),0)</f>
        <v>2</v>
      </c>
      <c r="DU16" s="199">
        <f t="shared" si="22"/>
        <v>6</v>
      </c>
      <c r="DV16" s="198"/>
      <c r="DW16" s="198" t="str">
        <f>INDEX(DH3:DH8,MATCH(4,DU3:DU8,0),0)</f>
        <v>Russia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2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0</v>
      </c>
      <c r="DT17" s="199">
        <f>IFERROR(MATCH(DT12,DH17:DK17,0),0)</f>
        <v>2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7</v>
      </c>
      <c r="G18" s="21">
        <f>SUMIF(DC3:DC60,B18,DA3:DA60)+SUMIF(CZ3:CZ60,B18,DB3:DB60)</f>
        <v>0</v>
      </c>
      <c r="H18" s="21">
        <f t="shared" ref="H18:H21" si="25">F18-G18+1000</f>
        <v>1007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3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3</v>
      </c>
      <c r="DS18" s="199">
        <f>IFERROR(MATCH(DS12,DH18:DK18,0),0)</f>
        <v>0</v>
      </c>
      <c r="DT18" s="199">
        <f>IFERROR(MATCH(DT12,DH18:DK18,0),0)</f>
        <v>2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6</v>
      </c>
      <c r="H19" s="21">
        <f t="shared" si="25"/>
        <v>998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4</v>
      </c>
      <c r="DS19" s="199">
        <f>IFERROR(MATCH(DS12,DH19:DK19,0),0)</f>
        <v>2</v>
      </c>
      <c r="DT19" s="199">
        <f>IFERROR(MATCH(DT12,DH19:DK19,0),0)</f>
        <v>0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0</v>
      </c>
      <c r="DS20" s="199">
        <f>IFERROR(MATCH(DS12,DH20:DK20,0),0)</f>
        <v>2</v>
      </c>
      <c r="DT20" s="199">
        <f>IFERROR(MATCH(DT12,DH20:DK20,0),0)</f>
        <v>0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Ukraine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7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3</v>
      </c>
      <c r="DS21" s="199">
        <f>IFERROR(MATCH(DS12,DH21:DK21,0),0)</f>
        <v>2</v>
      </c>
      <c r="DT21" s="199">
        <f>IFERROR(MATCH(DT12,DH21:DK21,0),0)</f>
        <v>0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3</v>
      </c>
      <c r="DS22" s="199">
        <f>IFERROR(MATCH(DS12,DH22:DK22,0),0)</f>
        <v>0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2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4</v>
      </c>
      <c r="DS23" s="199">
        <f>IFERROR(MATCH(DS12,DH23:DK23,0),0)</f>
        <v>2</v>
      </c>
      <c r="DT23" s="199">
        <f>IFERROR(MATCH(DT12,DH23:DK23,0),0)</f>
        <v>1</v>
      </c>
      <c r="DU23" s="199">
        <f t="shared" si="22"/>
        <v>7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5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0</v>
      </c>
      <c r="DS24" s="199">
        <f>IFERROR(MATCH(DS12,DH24:DK24,0),0)</f>
        <v>2</v>
      </c>
      <c r="DT24" s="199">
        <f>IFERROR(MATCH(DT12,DH24:DK24,0),0)</f>
        <v>1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2</v>
      </c>
      <c r="G25" s="21">
        <f>SUMIF(DC3:DC60,B25,DA3:DA60)+SUMIF(CZ3:CZ60,B25,DB3:DB60)</f>
        <v>6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3</v>
      </c>
      <c r="DS25" s="199">
        <f>IFERROR(MATCH(DS12,DH25:DK25,0),0)</f>
        <v>2</v>
      </c>
      <c r="DT25" s="199">
        <f>IFERROR(MATCH(DT12,DH25:DK25,0),0)</f>
        <v>1</v>
      </c>
      <c r="DU25" s="199">
        <f t="shared" si="22"/>
        <v>10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1</v>
      </c>
      <c r="G26" s="21">
        <f>SUMIF(DC3:DC60,B26,DA3:DA60)+SUMIF(CZ3:CZ60,B26,DB3:DB60)</f>
        <v>8</v>
      </c>
      <c r="H26" s="21">
        <f t="shared" si="36"/>
        <v>993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3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3</v>
      </c>
      <c r="DS26" s="199">
        <f>IFERROR(MATCH(DS12,DH26:DK26,0),0)</f>
        <v>0</v>
      </c>
      <c r="DT26" s="199">
        <f>IFERROR(MATCH(DT12,DH26:DK26,0),0)</f>
        <v>1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9</v>
      </c>
      <c r="G27" s="21">
        <f>SUMIF(DC3:DC60,B27,DA3:DA60)+SUMIF(CZ3:CZ60,B27,DB3:DB60)</f>
        <v>1</v>
      </c>
      <c r="H27" s="21">
        <f t="shared" si="36"/>
        <v>1008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996</v>
      </c>
      <c r="BR27" s="21">
        <f>IF(BI27&lt;&gt;"",VLOOKUP(BI27,B4:H40,5,FALSE),"")</f>
        <v>2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0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3</v>
      </c>
      <c r="CB27" s="21" t="str">
        <f>IF(BI27&lt;&gt;"",INDEX(BI27:BI29,MATCH(3,CA27:CA29,0),0),"")</f>
        <v>Scotland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2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3</v>
      </c>
      <c r="DS27" s="199">
        <f>IFERROR(MATCH(DS12,DH27:DK27,0),0)</f>
        <v>1</v>
      </c>
      <c r="DT27" s="199">
        <f>IFERROR(MATCH(DT12,DH27:DK27,0),0)</f>
        <v>0</v>
      </c>
      <c r="DU27" s="199">
        <f t="shared" si="22"/>
        <v>8</v>
      </c>
      <c r="DV27" s="21"/>
      <c r="DW27" s="21" t="str">
        <f>VLOOKUP(2,A18:B21,2,FALSE)</f>
        <v>Austria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7</v>
      </c>
      <c r="G28" s="21">
        <f>SUMIF(DC3:DC60,B28,DA3:DA60)+SUMIF(CZ3:CZ60,B28,DB3:DB60)</f>
        <v>4</v>
      </c>
      <c r="H28" s="21">
        <f t="shared" si="36"/>
        <v>1003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993</v>
      </c>
      <c r="BR28" s="21">
        <f>IF(BI28&lt;&gt;"",VLOOKUP(BI28,B4:H40,5,FALSE),"")</f>
        <v>1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1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4</v>
      </c>
      <c r="CB28" s="21" t="str">
        <f>IF(BI28&lt;&gt;"",INDEX(BI27:BI29,MATCH(4,CA27:CA29,0),0),"")</f>
        <v>Czech Republic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0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D</v>
      </c>
      <c r="DE28" s="21" t="str">
        <f t="shared" si="0"/>
        <v>D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2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8</v>
      </c>
      <c r="G31" s="21">
        <f>SUMIF(DC3:DC60,B31,DA3:DA60)+SUMIF(CZ3:CZ60,B31,DB3:DB60)</f>
        <v>2</v>
      </c>
      <c r="H31" s="21">
        <f t="shared" ref="H31:H34" si="47">F31-G31+1000</f>
        <v>1006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0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0</v>
      </c>
      <c r="E32" s="21">
        <f>SUMPRODUCT((CZ3:CZ42=B32)*(DD3:DD42="L"))+SUMPRODUCT((DC3:DC42=B32)*(DE3:DE42="L"))</f>
        <v>2</v>
      </c>
      <c r="F32" s="21">
        <f>SUMIF(CZ3:CZ60,B32,DA3:DA60)+SUMIF(DC3:DC60,B32,DB3:DB60)</f>
        <v>4</v>
      </c>
      <c r="G32" s="21">
        <f>SUMIF(DC3:DC60,B32,DA3:DA60)+SUMIF(CZ3:CZ60,B32,DB3:DB60)</f>
        <v>5</v>
      </c>
      <c r="H32" s="21">
        <f t="shared" si="47"/>
        <v>999</v>
      </c>
      <c r="I32" s="21">
        <f t="shared" si="48"/>
        <v>3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0</v>
      </c>
      <c r="E33" s="21">
        <f>SUMPRODUCT((CZ3:CZ42=B33)*(DD3:DD42="L"))+SUMPRODUCT((DC3:DC42=B33)*(DE3:DE42="L"))</f>
        <v>1</v>
      </c>
      <c r="F33" s="21">
        <f>SUMIF(CZ3:CZ60,B33,DA3:DA60)+SUMIF(DC3:DC60,B33,DB3:DB60)</f>
        <v>5</v>
      </c>
      <c r="G33" s="21">
        <f>SUMIF(DC3:DC60,B33,DA3:DA60)+SUMIF(CZ3:CZ60,B33,DB3:DB60)</f>
        <v>4</v>
      </c>
      <c r="H33" s="21">
        <f t="shared" si="47"/>
        <v>1001</v>
      </c>
      <c r="I33" s="21">
        <f t="shared" si="48"/>
        <v>6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7</v>
      </c>
      <c r="H34" s="21">
        <f t="shared" si="47"/>
        <v>994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4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11</v>
      </c>
      <c r="G37" s="21">
        <f>SUMIF(DC3:DC60,B37,DA3:DA60)+SUMIF(CZ3:CZ60,B37,DB3:DB60)</f>
        <v>3</v>
      </c>
      <c r="H37" s="21">
        <f t="shared" ref="H37:H40" si="58">F37-G37+1000</f>
        <v>1008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7</v>
      </c>
      <c r="G38" s="21">
        <f>SUMIF(DC3:DC60,B38,DA3:DA60)+SUMIF(CZ3:CZ60,B38,DB3:DB60)</f>
        <v>6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1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2</v>
      </c>
      <c r="AU38" s="21">
        <f>AS38-AT38+1000</f>
        <v>1000</v>
      </c>
      <c r="AV38" s="21">
        <f t="shared" ref="AV38:AV40" si="63">IF(AO38&lt;&gt;"",AP38*3+AQ38*1,"")</f>
        <v>1</v>
      </c>
      <c r="AW38" s="21">
        <f>IF(AO38&lt;&gt;"",VLOOKUP(AO38,B4:H40,7,FALSE),"")</f>
        <v>1001</v>
      </c>
      <c r="AX38" s="21">
        <f>IF(AO38&lt;&gt;"",VLOOKUP(AO38,B4:H40,5,FALSE),"")</f>
        <v>6</v>
      </c>
      <c r="AY38" s="21">
        <f>IF(AO38&lt;&gt;"",VLOOKUP(AO38,B4:J40,9,FALSE),"")</f>
        <v>43</v>
      </c>
      <c r="AZ38" s="21">
        <f t="shared" ref="AZ38:AZ40" si="64">AV38</f>
        <v>1</v>
      </c>
      <c r="BA38" s="21">
        <f>IF(AO38&lt;&gt;"",RANK(AZ38,AZ37:AZ40),"")</f>
        <v>1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1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11</v>
      </c>
      <c r="H39" s="21">
        <f t="shared" si="58"/>
        <v>990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1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2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1000</v>
      </c>
      <c r="AV39" s="21">
        <f t="shared" si="63"/>
        <v>1</v>
      </c>
      <c r="AW39" s="21">
        <f>IF(AO39&lt;&gt;"",VLOOKUP(AO39,B4:H40,7,FALSE),"")</f>
        <v>1001</v>
      </c>
      <c r="AX39" s="21">
        <f>IF(AO39&lt;&gt;"",VLOOKUP(AO39,B4:H40,5,FALSE),"")</f>
        <v>7</v>
      </c>
      <c r="AY39" s="21">
        <f>IF(AO39&lt;&gt;"",VLOOKUP(AO39,B4:J40,9,FALSE),"")</f>
        <v>52</v>
      </c>
      <c r="AZ39" s="21">
        <f t="shared" si="64"/>
        <v>1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6</v>
      </c>
      <c r="G40" s="21">
        <f>SUMIF(DC3:DC60,B40,DA3:DA60)+SUMIF(CZ3:CZ60,B40,DB3:DB60)</f>
        <v>5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>
        <f>IF(AO38&lt;&gt;"",SUMPRODUCT((AV37:AV40=AV38)*(AU37:AU40=AU38)*(AS37:AS40=AS38)*(AT37:AT40=AT38)),"")</f>
        <v>2</v>
      </c>
      <c r="AO78" s="194" t="str">
        <f t="shared" ref="AO78:AO80" si="109">IF(AND(AN78&lt;&gt;"",AN78&gt;1),AO38,"")</f>
        <v>Portugal</v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1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2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2</v>
      </c>
      <c r="AU78" s="194">
        <f>AS78-AT78+1000</f>
        <v>1000</v>
      </c>
      <c r="AV78" s="194">
        <f t="shared" ref="AV78:AV80" si="110">IF(AO78&lt;&gt;"",AP78*3+AQ78*1,"")</f>
        <v>1</v>
      </c>
      <c r="AW78" s="194">
        <f>IF(AO78&lt;&gt;"",VLOOKUP(AO78,B4:H40,7,FALSE),"")</f>
        <v>1001</v>
      </c>
      <c r="AX78" s="194">
        <f>IF(AO78&lt;&gt;"",VLOOKUP(AO78,B4:H40,5,FALSE),"")</f>
        <v>6</v>
      </c>
      <c r="AY78" s="194">
        <f>IF(AO78&lt;&gt;"",VLOOKUP(AO78,B4:J40,9,FALSE),"")</f>
        <v>43</v>
      </c>
      <c r="AZ78" s="194">
        <f t="shared" ref="AZ78:AZ80" si="111">AV78</f>
        <v>1</v>
      </c>
      <c r="BA78" s="194">
        <f>IF(AO78&lt;&gt;"",RANK(AZ78,AZ77:AZ80),"")</f>
        <v>1</v>
      </c>
      <c r="BB78" s="194">
        <f>IF(AO78&lt;&gt;"",SUMPRODUCT((AZ77:AZ80=AZ78)*(AU77:AU80&gt;AU78)),"")</f>
        <v>0</v>
      </c>
      <c r="BC78" s="194">
        <f>IF(AO78&lt;&gt;"",SUMPRODUCT((AZ77:AZ80=AZ78)*(AU77:AU80=AU78)*(AS77:AS80&gt;AS78)),"")</f>
        <v>0</v>
      </c>
      <c r="BD78" s="194">
        <f>IF(AO78&lt;&gt;"",SUMPRODUCT((AZ77:AZ80=AZ78)*(AU77:AU80=AU78)*(AS77:AS80=AS78)*(AW77:AW80&gt;AW78)),"")</f>
        <v>0</v>
      </c>
      <c r="BE78" s="194">
        <f>IF(AO78&lt;&gt;"",SUMPRODUCT((AZ77:AZ80=AZ78)*(AU77:AU80=AU78)*(AS77:AS80=AS78)*(AW77:AW80=AW78)*(AX77:AX80&gt;AX78)),"")</f>
        <v>1</v>
      </c>
      <c r="BF78" s="194">
        <f>IF(AO78&lt;&gt;"",SUMPRODUCT((AZ77:AZ80=AZ78)*(AU77:AU80=AU78)*(AS77:AS80=AS78)*(AW77:AW80=AW78)*(AX77:AX80=AX78)*(AY77:AY80&gt;AY78)),"")</f>
        <v>0</v>
      </c>
      <c r="BG78" s="194">
        <f>IF(AO78&lt;&gt;"",SUM(BA78:BF78)+1,"")</f>
        <v>3</v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>
        <f>IF(AO39&lt;&gt;"",SUMPRODUCT((AV37:AV40=AV39)*(AU37:AU40=AU39)*(AS37:AS40=AS39)*(AT37:AT40=AT39)),"")</f>
        <v>2</v>
      </c>
      <c r="AO79" s="194" t="str">
        <f t="shared" si="109"/>
        <v>Germany</v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1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2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2</v>
      </c>
      <c r="AU79" s="194">
        <f>AS79-AT79+1000</f>
        <v>1000</v>
      </c>
      <c r="AV79" s="194">
        <f t="shared" si="110"/>
        <v>1</v>
      </c>
      <c r="AW79" s="194">
        <f>IF(AO79&lt;&gt;"",VLOOKUP(AO79,B4:H40,7,FALSE),"")</f>
        <v>1001</v>
      </c>
      <c r="AX79" s="194">
        <f>IF(AO79&lt;&gt;"",VLOOKUP(AO79,B4:H40,5,FALSE),"")</f>
        <v>7</v>
      </c>
      <c r="AY79" s="194">
        <f>IF(AO79&lt;&gt;"",VLOOKUP(AO79,B4:J40,9,FALSE),"")</f>
        <v>52</v>
      </c>
      <c r="AZ79" s="194">
        <f t="shared" si="111"/>
        <v>1</v>
      </c>
      <c r="BA79" s="194">
        <f>IF(AO79&lt;&gt;"",RANK(AZ79,AZ77:AZ80),"")</f>
        <v>1</v>
      </c>
      <c r="BB79" s="194">
        <f>IF(AO79&lt;&gt;"",SUMPRODUCT((AZ77:AZ80=AZ79)*(AU77:AU80&gt;AU79)),"")</f>
        <v>0</v>
      </c>
      <c r="BC79" s="194">
        <f>IF(AO79&lt;&gt;"",SUMPRODUCT((AZ77:AZ80=AZ79)*(AU77:AU80=AU79)*(AS77:AS80&gt;AS79)),"")</f>
        <v>0</v>
      </c>
      <c r="BD79" s="194">
        <f>IF(AO79&lt;&gt;"",SUMPRODUCT((AZ77:AZ80=AZ79)*(AU77:AU80=AU79)*(AS77:AS80=AS79)*(AW77:AW80&gt;AW79)),"")</f>
        <v>0</v>
      </c>
      <c r="BE79" s="194">
        <f>IF(AO79&lt;&gt;"",SUMPRODUCT((AZ77:AZ80=AZ79)*(AU77:AU80=AU79)*(AS77:AS80=AS79)*(AW77:AW80=AW79)*(AX77:AX80&gt;AX79)),"")</f>
        <v>0</v>
      </c>
      <c r="BF79" s="194">
        <f>IF(AO79&lt;&gt;"",SUMPRODUCT((AZ77:AZ80=AZ79)*(AU77:AU80=AU79)*(AS77:AS80=AS79)*(AW77:AW80=AW79)*(AX77:AX80=AX79)*(AY77:AY80&gt;AY79)),"")</f>
        <v>0</v>
      </c>
      <c r="BG79" s="194">
        <f t="shared" ref="BG79:BG80" si="112">IF(AO79&lt;&gt;"",SUM(BA79:BF79)+1,"")</f>
        <v>2</v>
      </c>
    </row>
    <row r="80" spans="9:59" x14ac:dyDescent="0.15">
      <c r="I80" s="194">
        <f>SUMPRODUCT((I37:I40=I40)*(H37:H40=H40)*(F37:F40&gt;F40))+1</f>
        <v>2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PORTUGAL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ENGLAND</v>
      </c>
    </row>
    <row r="91" spans="3:3" x14ac:dyDescent="0.15">
      <c r="C91" s="194" t="str">
        <f>Matches!B52</f>
        <v>BELGIUM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2021-06-10T15:18:59Z</dcterms:modified>
</cp:coreProperties>
</file>