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Downloads/"/>
    </mc:Choice>
  </mc:AlternateContent>
  <xr:revisionPtr revIDLastSave="0" documentId="8_{B9A43A79-D693-584E-843C-500F24B46987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500" windowWidth="14400" windowHeight="175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2" i="3" l="1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BP6" i="3" l="1"/>
  <c r="BT6" i="3" s="1"/>
  <c r="AV33" i="3"/>
  <c r="AV34" i="3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G19" i="3"/>
  <c r="T59" i="3"/>
  <c r="U59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K21" i="3" l="1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B13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G28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V60" i="3" l="1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AB59" i="3" s="1"/>
  <c r="AF59" i="3" s="1"/>
  <c r="Y60" i="3"/>
  <c r="Z61" i="3"/>
  <c r="AA61" i="3" s="1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A58" i="3" l="1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BG74" i="3" l="1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K66" i="3" l="1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P11" i="2" s="1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V11" i="2" l="1"/>
  <c r="A40" i="4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U11" i="2"/>
  <c r="AB11" i="2" s="1"/>
  <c r="V14" i="2"/>
  <c r="W11" i="2"/>
  <c r="X11" i="2"/>
  <c r="Z11" i="2"/>
  <c r="DH3" i="3" l="1"/>
  <c r="DP3" i="3" s="1"/>
  <c r="U13" i="2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B14" i="2"/>
  <c r="T11" i="2"/>
  <c r="DI3" i="3"/>
  <c r="AA11" i="2"/>
  <c r="T14" i="2"/>
  <c r="DL3" i="3" l="1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<sst xmlns="http://schemas.openxmlformats.org/spreadsheetml/2006/main" count="590" uniqueCount="144">
  <si>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</si>
  <si>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</si>
  <si>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</si>
  <si>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</si>
  <si>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</si>
  <si>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</si>
  <si>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</si>
  <si>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</si>
  <si>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</si>
  <si>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</si>
  <si>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</si>
  <si>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</si>
  <si>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</si>
  <si>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</si>
  <si>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</si>
  <si>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</si>
  <si>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</si>
  <si>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</si>
  <si>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</si>
  <si>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</si>
  <si>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</si>
  <si>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</si>
  <si>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</si>
  <si>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</si>
  <si>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</si>
  <si>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</si>
  <si>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</si>
  <si>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</si>
  <si>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</si>
  <si>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</si>
  <si>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</si>
  <si>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</si>
  <si>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</si>
  <si>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</si>
  <si>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</si>
  <si>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</si>
  <si>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</si>
  <si>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</si>
  <si>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</si>
  <si>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</si>
  <si>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</si>
  <si>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</si>
  <si>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</si>
  <si>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</si>
  <si>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</si>
  <si>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</si>
  <si>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</si>
  <si>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</si>
  <si>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</si>
  <si>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</si>
  <si>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</si>
  <si>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</si>
  <si>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</si>
  <si>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</si>
  <si>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</si>
  <si>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</si>
  <si>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</si>
  <si>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</si>
  <si>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</si>
  <si>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</si>
  <si>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</si>
  <si>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</si>
  <si>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</si>
  <si>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</si>
  <si>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</si>
  <si>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</si>
  <si>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</si>
  <si>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</si>
  <si>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</si>
  <si>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</si>
  <si>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</si>
  <si>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</si>
  <si>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</si>
  <si>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</si>
  <si>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</si>
  <si>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</si>
  <si>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</si>
  <si>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</si>
  <si>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</si>
  <si>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</si>
  <si>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</si>
  <si>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</si>
  <si>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</si>
  <si>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</si>
  <si>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</si>
  <si>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</si>
  <si>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</si>
  <si>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</si>
  <si>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</si>
  <si>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</si>
  <si>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</si>
  <si>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</si>
  <si>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</si>
  <si>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</si>
  <si>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</si>
  <si>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</si>
  <si>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</si>
  <si>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</si>
  <si>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</si>
  <si>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</si>
  <si>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</si>
  <si>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</si>
  <si>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</si>
  <si>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</si>
  <si>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</si>
  <si>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</si>
  <si>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</si>
  <si>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</si>
  <si>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</si>
  <si>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</si>
  <si>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</si>
  <si>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</si>
  <si>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</si>
  <si>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</si>
  <si>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</si>
  <si>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</si>
  <si>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</si>
  <si>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</si>
  <si>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</si>
  <si>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</si>
  <si>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</si>
  <si>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</si>
  <si>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</si>
  <si>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</si>
  <si>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</si>
  <si>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</si>
  <si>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</si>
  <si>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</si>
  <si>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</si>
  <si>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</si>
  <si>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</si>
  <si>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</si>
  <si>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</si>
  <si>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</si>
  <si>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</si>
  <si>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</si>
  <si>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</si>
  <si>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</si>
  <si>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</si>
  <si>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</si>
  <si>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</si>
  <si>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Kane</t>
  </si>
  <si>
    <t>Mount</t>
  </si>
  <si>
    <t>Michael Tonna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</si>
</sst>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topLeftCell="B1" zoomScaleNormal="100" workbookViewId="0">
      <pane ySplit="9" topLeftCell="A16" activePane="bottomLeft" state="frozen"/>
      <selection pane="bottomLeft" activeCell="B49" sqref="B49:M49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143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0</v>
      </c>
      <c r="G11" s="184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7</v>
      </c>
      <c r="Y11" s="45" t="s">
        <v>45</v>
      </c>
      <c r="Z11" s="44">
        <f>VLOOKUP(P11,'Dummy Table'!B4:G40,6,FALSE)</f>
        <v>0</v>
      </c>
      <c r="AA11" s="44">
        <f>X11-Z11</f>
        <v>7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0</v>
      </c>
      <c r="G12" s="185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>Switzerland</v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2</v>
      </c>
      <c r="V12" s="53">
        <f>VLOOKUP(P12,'Dummy Table'!B4:D40,3,FALSE)</f>
        <v>0</v>
      </c>
      <c r="W12" s="53">
        <f>VLOOKUP(P12,'Dummy Table'!B4:E40,4,FALSE)</f>
        <v>1</v>
      </c>
      <c r="X12" s="53">
        <f>VLOOKUP(P12,'Dummy Table'!B4:F40,5,FALSE)</f>
        <v>4</v>
      </c>
      <c r="Y12" s="53" t="s">
        <v>45</v>
      </c>
      <c r="Z12" s="53">
        <f>VLOOKUP(P12,'Dummy Table'!B4:G40,6,FALSE)</f>
        <v>3</v>
      </c>
      <c r="AA12" s="53">
        <f>X12-Z12</f>
        <v>1</v>
      </c>
      <c r="AB12" s="53">
        <f>U12*3+V12*1</f>
        <v>6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69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0</v>
      </c>
      <c r="W13" s="54">
        <f>VLOOKUP(P13,'Dummy Table'!B4:E40,4,FALSE)</f>
        <v>2</v>
      </c>
      <c r="X13" s="54">
        <f>VLOOKUP(P13,'Dummy Table'!B4:F40,5,FALSE)</f>
        <v>2</v>
      </c>
      <c r="Y13" s="54" t="s">
        <v>45</v>
      </c>
      <c r="Z13" s="54">
        <f>VLOOKUP(P13,'Dummy Table'!B4:G40,6,FALSE)</f>
        <v>4</v>
      </c>
      <c r="AA13" s="54">
        <f>X13-Z13</f>
        <v>-2</v>
      </c>
      <c r="AB13" s="54">
        <f>U13*3+V13*1</f>
        <v>3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2</v>
      </c>
      <c r="G14" s="185">
        <v>1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Wales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0</v>
      </c>
      <c r="Y14" s="55" t="s">
        <v>45</v>
      </c>
      <c r="Z14" s="55">
        <f>VLOOKUP(P14,'Dummy Table'!B4:G40,6,FALSE)</f>
        <v>6</v>
      </c>
      <c r="AA14" s="55">
        <f>X14-Z14</f>
        <v>-6</v>
      </c>
      <c r="AB14" s="55">
        <f>U14*3+V14*1</f>
        <v>0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2</v>
      </c>
      <c r="G15" s="185">
        <v>1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0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6</v>
      </c>
      <c r="Y16" s="57" t="s">
        <v>45</v>
      </c>
      <c r="Z16" s="56">
        <f>VLOOKUP(P16,'Dummy Table'!B4:G40,6,FALSE)</f>
        <v>1</v>
      </c>
      <c r="AA16" s="56">
        <f>X16-Z16</f>
        <v>5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1</v>
      </c>
      <c r="G17" s="185">
        <v>2</v>
      </c>
      <c r="H17" s="50" t="s">
        <v>25</v>
      </c>
      <c r="I17" s="51"/>
      <c r="J17" s="51"/>
      <c r="K17" s="51"/>
      <c r="L17" s="269"/>
      <c r="M17" s="52" t="str">
        <f t="shared" si="0"/>
        <v>Ukraine</v>
      </c>
      <c r="N17" s="31"/>
      <c r="O17" s="123">
        <v>2</v>
      </c>
      <c r="P17" s="245" t="str">
        <f>VLOOKUP(2,'Dummy Table'!A11:B15,2,FALSE)</f>
        <v>Denmark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2</v>
      </c>
      <c r="V17" s="58">
        <f>VLOOKUP(P17,'Dummy Table'!B4:D40,3,FALSE)</f>
        <v>0</v>
      </c>
      <c r="W17" s="58">
        <f>VLOOKUP(P17,'Dummy Table'!B4:E40,4,FALSE)</f>
        <v>1</v>
      </c>
      <c r="X17" s="58">
        <f>VLOOKUP(P17,'Dummy Table'!B4:F40,5,FALSE)</f>
        <v>4</v>
      </c>
      <c r="Y17" s="58" t="s">
        <v>45</v>
      </c>
      <c r="Z17" s="58">
        <f>VLOOKUP(P17,'Dummy Table'!B4:G40,6,FALSE)</f>
        <v>2</v>
      </c>
      <c r="AA17" s="58">
        <f>X17-Z17</f>
        <v>2</v>
      </c>
      <c r="AB17" s="58">
        <f>U17*3+V17*1</f>
        <v>6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0</v>
      </c>
      <c r="H18" s="50" t="s">
        <v>6</v>
      </c>
      <c r="I18" s="51"/>
      <c r="J18" s="51"/>
      <c r="K18" s="51"/>
      <c r="L18" s="269"/>
      <c r="M18" s="52" t="str">
        <f t="shared" si="0"/>
        <v>Scotland</v>
      </c>
      <c r="N18" s="31"/>
      <c r="O18" s="124">
        <v>3</v>
      </c>
      <c r="P18" s="246" t="str">
        <f>VLOOKUP(3,'Dummy Table'!A11:B15,2,FALSE)</f>
        <v>Russia</v>
      </c>
      <c r="Q18" s="246"/>
      <c r="R18" s="246"/>
      <c r="S18" s="246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5</v>
      </c>
      <c r="Y18" s="59" t="s">
        <v>45</v>
      </c>
      <c r="Z18" s="59">
        <f>VLOOKUP(P18,'Dummy Table'!B4:G40,6,FALSE)</f>
        <v>4</v>
      </c>
      <c r="AA18" s="59">
        <f>X18-Z18</f>
        <v>1</v>
      </c>
      <c r="AB18" s="59">
        <f>U18*3+V18*1</f>
        <v>3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0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0</v>
      </c>
      <c r="Y19" s="55" t="s">
        <v>45</v>
      </c>
      <c r="Z19" s="55">
        <f>VLOOKUP(P19,'Dummy Table'!B4:G40,6,FALSE)</f>
        <v>8</v>
      </c>
      <c r="AA19" s="55">
        <f>X19-Z19</f>
        <v>-8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1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2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Ukraine</v>
      </c>
      <c r="Q21" s="253"/>
      <c r="R21" s="253"/>
      <c r="S21" s="25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5</v>
      </c>
      <c r="Y21" s="61" t="s">
        <v>45</v>
      </c>
      <c r="Z21" s="60">
        <f>VLOOKUP(P21,'Dummy Table'!B4:G40,6,FALSE)</f>
        <v>1</v>
      </c>
      <c r="AA21" s="60">
        <f>X21-Z21</f>
        <v>4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1</v>
      </c>
      <c r="G22" s="186">
        <v>1</v>
      </c>
      <c r="H22" s="66" t="s">
        <v>11</v>
      </c>
      <c r="I22" s="67"/>
      <c r="J22" s="67"/>
      <c r="K22" s="68"/>
      <c r="L22" s="270"/>
      <c r="M22" s="69" t="str">
        <f t="shared" si="0"/>
        <v/>
      </c>
      <c r="N22" s="31"/>
      <c r="O22" s="125">
        <v>2</v>
      </c>
      <c r="P22" s="274" t="str">
        <f>VLOOKUP(2,'Dummy Table'!A18:B22,2,FALSE)</f>
        <v>Netherlands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3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>Russia</v>
      </c>
      <c r="N23" s="31"/>
      <c r="O23" s="126">
        <v>3</v>
      </c>
      <c r="P23" s="252" t="str">
        <f>VLOOKUP(3,'Dummy Table'!A18:B22,2,FALSE)</f>
        <v>Austria</v>
      </c>
      <c r="Q23" s="252"/>
      <c r="R23" s="252"/>
      <c r="S23" s="25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1</v>
      </c>
      <c r="Y23" s="78" t="s">
        <v>45</v>
      </c>
      <c r="Z23" s="78">
        <f>VLOOKUP(P23,'Dummy Table'!B4:G40,6,FALSE)</f>
        <v>3</v>
      </c>
      <c r="AA23" s="78">
        <f>X23-Z23</f>
        <v>-2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0</v>
      </c>
      <c r="H24" s="83" t="s">
        <v>26</v>
      </c>
      <c r="I24" s="84"/>
      <c r="J24" s="84"/>
      <c r="K24" s="84"/>
      <c r="L24" s="249"/>
      <c r="M24" s="85" t="str">
        <f t="shared" si="0"/>
        <v>Turkey</v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1</v>
      </c>
      <c r="Y24" s="55" t="s">
        <v>45</v>
      </c>
      <c r="Z24" s="55">
        <f>VLOOKUP(P24,'Dummy Table'!B4:G40,6,FALSE)</f>
        <v>4</v>
      </c>
      <c r="AA24" s="55">
        <f>X24-Z24</f>
        <v>-3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0</v>
      </c>
      <c r="H25" s="83" t="s">
        <v>23</v>
      </c>
      <c r="I25" s="84"/>
      <c r="J25" s="84"/>
      <c r="K25" s="84"/>
      <c r="L25" s="249"/>
      <c r="M25" s="85" t="str">
        <f t="shared" si="0"/>
        <v>Italy</v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1</v>
      </c>
      <c r="G26" s="185">
        <v>0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6</v>
      </c>
      <c r="Y26" s="87" t="s">
        <v>45</v>
      </c>
      <c r="Z26" s="86">
        <f>VLOOKUP(P26,'Dummy Table'!B4:G40,6,FALSE)</f>
        <v>1</v>
      </c>
      <c r="AA26" s="86">
        <f>X26-Z26</f>
        <v>5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0</v>
      </c>
      <c r="G27" s="185">
        <v>1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1</v>
      </c>
      <c r="G28" s="185">
        <v>0</v>
      </c>
      <c r="H28" s="83" t="s">
        <v>2</v>
      </c>
      <c r="I28" s="84"/>
      <c r="J28" s="84"/>
      <c r="K28" s="84"/>
      <c r="L28" s="249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Scotland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2</v>
      </c>
      <c r="Y28" s="89" t="s">
        <v>45</v>
      </c>
      <c r="Z28" s="89">
        <f>VLOOKUP(P28,'Dummy Table'!B4:G40,6,FALSE)</f>
        <v>2</v>
      </c>
      <c r="AA28" s="89">
        <f>X28-Z28</f>
        <v>0</v>
      </c>
      <c r="AB28" s="89">
        <f>U28*3+V28*1</f>
        <v>4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0</v>
      </c>
      <c r="H29" s="83" t="s">
        <v>20</v>
      </c>
      <c r="I29" s="84"/>
      <c r="J29" s="84"/>
      <c r="K29" s="84"/>
      <c r="L29" s="249"/>
      <c r="M29" s="85" t="str">
        <f t="shared" si="0"/>
        <v>Sweden</v>
      </c>
      <c r="N29" s="31"/>
      <c r="O29" s="122">
        <v>4</v>
      </c>
      <c r="P29" s="247" t="str">
        <f>VLOOKUP(4,'Dummy Table'!A25:B29,2,FALSE)</f>
        <v>Czech Republic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0</v>
      </c>
      <c r="Y29" s="55" t="s">
        <v>45</v>
      </c>
      <c r="Z29" s="55">
        <f>VLOOKUP(P29,'Dummy Table'!B4:G40,6,FALSE)</f>
        <v>6</v>
      </c>
      <c r="AA29" s="55">
        <f>X29-Z29</f>
        <v>-6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0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1</v>
      </c>
      <c r="G31" s="185">
        <v>0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6</v>
      </c>
      <c r="Y31" s="91" t="s">
        <v>45</v>
      </c>
      <c r="Z31" s="90">
        <f>VLOOKUP(P31,'Dummy Table'!B4:G40,6,FALSE)</f>
        <v>2</v>
      </c>
      <c r="AA31" s="90">
        <f>X31-Z31</f>
        <v>4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4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Poland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1</v>
      </c>
      <c r="W32" s="92">
        <f>VLOOKUP(P32,'Dummy Table'!B4:E40,4,FALSE)</f>
        <v>1</v>
      </c>
      <c r="X32" s="92">
        <f>VLOOKUP(P32,'Dummy Table'!B4:F40,5,FALSE)</f>
        <v>4</v>
      </c>
      <c r="Y32" s="92" t="s">
        <v>45</v>
      </c>
      <c r="Z32" s="92">
        <f>VLOOKUP(P32,'Dummy Table'!B4:G40,6,FALSE)</f>
        <v>3</v>
      </c>
      <c r="AA32" s="92">
        <f>X32-Z32</f>
        <v>1</v>
      </c>
      <c r="AB32" s="92">
        <f>U32*3+V32*1</f>
        <v>4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2</v>
      </c>
      <c r="H33" s="83" t="s">
        <v>11</v>
      </c>
      <c r="I33" s="84"/>
      <c r="J33" s="84"/>
      <c r="K33" s="84"/>
      <c r="L33" s="249"/>
      <c r="M33" s="85" t="str">
        <f t="shared" si="0"/>
        <v>Germany</v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3</v>
      </c>
      <c r="Y33" s="93" t="s">
        <v>45</v>
      </c>
      <c r="Z33" s="93">
        <f>VLOOKUP(P33,'Dummy Table'!B4:G40,6,FALSE)</f>
        <v>3</v>
      </c>
      <c r="AA33" s="93">
        <f>X33-Z33</f>
        <v>0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1</v>
      </c>
      <c r="H34" s="98" t="s">
        <v>16</v>
      </c>
      <c r="I34" s="99"/>
      <c r="J34" s="99"/>
      <c r="K34" s="100"/>
      <c r="L34" s="250"/>
      <c r="M34" s="101" t="str">
        <f t="shared" si="0"/>
        <v>Spain</v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0</v>
      </c>
      <c r="Y34" s="55" t="s">
        <v>45</v>
      </c>
      <c r="Z34" s="55">
        <f>VLOOKUP(P34,'Dummy Table'!B4:G40,6,FALSE)</f>
        <v>5</v>
      </c>
      <c r="AA34" s="55">
        <f>X34-Z34</f>
        <v>-5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2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3</v>
      </c>
      <c r="G36" s="185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Germany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7</v>
      </c>
      <c r="Y36" s="104" t="s">
        <v>45</v>
      </c>
      <c r="Z36" s="103">
        <f>VLOOKUP(P36,'Dummy Table'!B4:G40,6,FALSE)</f>
        <v>2</v>
      </c>
      <c r="AA36" s="103">
        <f>X36-Z36</f>
        <v>5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1</v>
      </c>
      <c r="G37" s="185">
        <v>2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France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1</v>
      </c>
      <c r="W37" s="105">
        <f>VLOOKUP(P37,'Dummy Table'!B4:E40,4,FALSE)</f>
        <v>0</v>
      </c>
      <c r="X37" s="105">
        <f>VLOOKUP(P37,'Dummy Table'!B4:F40,5,FALSE)</f>
        <v>7</v>
      </c>
      <c r="Y37" s="105" t="s">
        <v>45</v>
      </c>
      <c r="Z37" s="105">
        <f>VLOOKUP(P37,'Dummy Table'!B4:G40,6,FALSE)</f>
        <v>2</v>
      </c>
      <c r="AA37" s="105">
        <f>X37-Z37</f>
        <v>5</v>
      </c>
      <c r="AB37" s="105">
        <f>U37*3+V37*1</f>
        <v>7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2</v>
      </c>
      <c r="G38" s="185">
        <v>0</v>
      </c>
      <c r="H38" s="50" t="s">
        <v>2</v>
      </c>
      <c r="I38" s="51"/>
      <c r="J38" s="51"/>
      <c r="K38" s="51"/>
      <c r="L38" s="269"/>
      <c r="M38" s="52" t="str">
        <f t="shared" si="0"/>
        <v>Ukraine</v>
      </c>
      <c r="N38" s="31"/>
      <c r="O38" s="132">
        <v>3</v>
      </c>
      <c r="P38" s="279" t="str">
        <f>VLOOKUP(3,'Dummy Table'!A37:B41,2,FALSE)</f>
        <v>Portugal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4</v>
      </c>
      <c r="Y38" s="106" t="s">
        <v>45</v>
      </c>
      <c r="Z38" s="106">
        <f>VLOOKUP(P38,'Dummy Table'!B4:G40,6,FALSE)</f>
        <v>4</v>
      </c>
      <c r="AA38" s="106">
        <f>X38-Z38</f>
        <v>0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2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0</v>
      </c>
      <c r="Y39" s="55" t="s">
        <v>45</v>
      </c>
      <c r="Z39" s="55">
        <f>VLOOKUP(P39,'Dummy Table'!B4:G40,6,FALSE)</f>
        <v>10</v>
      </c>
      <c r="AA39" s="55">
        <f>X39-Z39</f>
        <v>-10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3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1</v>
      </c>
      <c r="G41" s="185">
        <v>1</v>
      </c>
      <c r="H41" s="50" t="s">
        <v>19</v>
      </c>
      <c r="I41" s="51"/>
      <c r="J41" s="51"/>
      <c r="K41" s="51"/>
      <c r="L41" s="269"/>
      <c r="M41" s="52" t="str">
        <f t="shared" si="0"/>
        <v/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3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69"/>
      <c r="M43" s="52" t="str">
        <f t="shared" si="0"/>
        <v/>
      </c>
      <c r="N43" s="31"/>
      <c r="O43" s="139">
        <v>1</v>
      </c>
      <c r="P43" s="280" t="str">
        <f>INDEX('Dummy Table'!DH3:DH8,MATCH(Matches!O43,'Dummy Table'!DU3:DU8,0),0)</f>
        <v>Sweden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3</v>
      </c>
      <c r="Y43" s="111" t="s">
        <v>45</v>
      </c>
      <c r="Z43" s="111">
        <f>VLOOKUP(P43,P11:AB39,11,FALSE)</f>
        <v>3</v>
      </c>
      <c r="AA43" s="111">
        <f>VLOOKUP(P43,P11:AB39,12,FALSE)</f>
        <v>0</v>
      </c>
      <c r="AB43" s="111">
        <f>VLOOKUP(P43,P11:AB39,13,FALSE)</f>
        <v>4</v>
      </c>
      <c r="AC43" s="140" t="str">
        <f>INDEX('Dummy Table'!DV3:DV8,MATCH(Matches!O43,'Dummy Table'!DU3:DU8,0),0)</f>
        <v>E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2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Scotland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2</v>
      </c>
      <c r="Y44" s="111" t="s">
        <v>45</v>
      </c>
      <c r="Z44" s="111">
        <f>VLOOKUP(P44,P11:AB39,11,FALSE)</f>
        <v>2</v>
      </c>
      <c r="AA44" s="111">
        <f>VLOOKUP(P44,P11:AB39,12,FALSE)</f>
        <v>0</v>
      </c>
      <c r="AB44" s="111">
        <f>VLOOKUP(P44,P11:AB39,13,FALSE)</f>
        <v>4</v>
      </c>
      <c r="AC44" s="140" t="str">
        <f>INDEX('Dummy Table'!DV3:DV8,MATCH(Matches!O44,'Dummy Table'!DU3:DU8,0),0)</f>
        <v>D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69"/>
      <c r="M45" s="52" t="str">
        <f t="shared" si="0"/>
        <v>France</v>
      </c>
      <c r="N45" s="31"/>
      <c r="O45" s="139">
        <v>3</v>
      </c>
      <c r="P45" s="280" t="str">
        <f>INDEX('Dummy Table'!DH3:DH8,MATCH(Matches!O45,'Dummy Table'!DU3:DU8,0),0)</f>
        <v>Russia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5</v>
      </c>
      <c r="Y45" s="111" t="s">
        <v>45</v>
      </c>
      <c r="Z45" s="111">
        <f>VLOOKUP(P45,P11:AB39,11,FALSE)</f>
        <v>4</v>
      </c>
      <c r="AA45" s="111">
        <f>VLOOKUP(P45,P11:AB39,12,FALSE)</f>
        <v>1</v>
      </c>
      <c r="AB45" s="111">
        <f>VLOOKUP(P45,P11:AB39,13,FALSE)</f>
        <v>3</v>
      </c>
      <c r="AC45" s="140" t="str">
        <f>INDEX('Dummy Table'!DV3:DV8,MATCH(Matches!O45,'Dummy Table'!DU3:DU8,0),0)</f>
        <v>B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4</v>
      </c>
      <c r="G46" s="186">
        <v>0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Portugal</v>
      </c>
      <c r="Q46" s="280"/>
      <c r="R46" s="280"/>
      <c r="S46" s="280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4</v>
      </c>
      <c r="AA46" s="111">
        <f>VLOOKUP(P46,P11:AB39,12,FALSE)</f>
        <v>0</v>
      </c>
      <c r="AB46" s="111">
        <f>VLOOKUP(P46,P11:AB39,13,FALSE)</f>
        <v>3</v>
      </c>
      <c r="AC46" s="140" t="str">
        <f>INDEX('Dummy Table'!DV3:DV8,MATCH(Matches!O46,'Dummy Table'!DU3:DU8,0),0)</f>
        <v>F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81" t="str">
        <f>INDEX('Dummy Table'!DH3:DH8,MATCH(Matches!O47,'Dummy Table'!DU3:DU8,0),0)</f>
        <v>Switzerland</v>
      </c>
      <c r="Q47" s="281"/>
      <c r="R47" s="281"/>
      <c r="S47" s="281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2</v>
      </c>
      <c r="Y47" s="112" t="s">
        <v>45</v>
      </c>
      <c r="Z47" s="112">
        <f>VLOOKUP(P47,P11:AB39,11,FALSE)</f>
        <v>4</v>
      </c>
      <c r="AA47" s="112">
        <f>VLOOKUP(P47,P11:AB39,12,FALSE)</f>
        <v>-2</v>
      </c>
      <c r="AB47" s="112">
        <f>VLOOKUP(P47,P11:AB39,13,FALSE)</f>
        <v>3</v>
      </c>
      <c r="AC47" s="142" t="str">
        <f>INDEX('Dummy Table'!DV3:DV8,MATCH(Matches!O47,'Dummy Table'!DU3:DU8,0),0)</f>
        <v>A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Austria</v>
      </c>
      <c r="Q48" s="282"/>
      <c r="R48" s="282"/>
      <c r="S48" s="282"/>
      <c r="T48" s="144">
        <f>VLOOKUP(P48,P11:AB39,5,FALSE)</f>
        <v>3</v>
      </c>
      <c r="U48" s="144">
        <f>VLOOKUP(P48,P11:AB39,6,FALSE)</f>
        <v>1</v>
      </c>
      <c r="V48" s="144">
        <f>VLOOKUP(P48,P11:AB39,7,FALSE)</f>
        <v>0</v>
      </c>
      <c r="W48" s="144">
        <f>VLOOKUP(P48,P11:AB39,8,FALSE)</f>
        <v>2</v>
      </c>
      <c r="X48" s="144">
        <f>VLOOKUP(P48,P11:AB39,9,FALSE)</f>
        <v>1</v>
      </c>
      <c r="Y48" s="144" t="s">
        <v>45</v>
      </c>
      <c r="Z48" s="144">
        <f>VLOOKUP(P48,P11:AB39,11,FALSE)</f>
        <v>3</v>
      </c>
      <c r="AA48" s="144">
        <f>VLOOKUP(P48,P11:AB39,12,FALSE)</f>
        <v>-2</v>
      </c>
      <c r="AB48" s="144">
        <f>VLOOKUP(P48,P11:AB39,13,FALSE)</f>
        <v>3</v>
      </c>
      <c r="AC48" s="145" t="str">
        <f>INDEX('Dummy Table'!DV3:DV8,MATCH(Matches!O48,'Dummy Table'!DU3:DU8,0),0)</f>
        <v>C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13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4" t="s">
        <v>10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">
      <c r="B51" s="234" t="s">
        <v>24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25">
      <c r="B52" s="214" t="s">
        <v>11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13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25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13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141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142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Michael Tonna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0-2</v>
      </c>
    </row>
    <row r="4" spans="1:1" x14ac:dyDescent="0.2">
      <c r="A4" s="190" t="str">
        <f>TEXT(Matches!F12,"#0")&amp;"-"&amp;TEXT(Matches!G12,"#0")</f>
        <v>0-1</v>
      </c>
    </row>
    <row r="5" spans="1:1" x14ac:dyDescent="0.2">
      <c r="A5" s="190" t="str">
        <f>TEXT(Matches!F13,"#0")&amp;"-"&amp;TEXT(Matches!G13,"#0")</f>
        <v>2-0</v>
      </c>
    </row>
    <row r="6" spans="1:1" x14ac:dyDescent="0.2">
      <c r="A6" s="190" t="str">
        <f>TEXT(Matches!F14,"#0")&amp;"-"&amp;TEXT(Matches!G14,"#0")</f>
        <v>2-1</v>
      </c>
    </row>
    <row r="7" spans="1:1" x14ac:dyDescent="0.2">
      <c r="A7" s="190" t="str">
        <f>TEXT(Matches!F15,"#0")&amp;"-"&amp;TEXT(Matches!G15,"#0")</f>
        <v>2-1</v>
      </c>
    </row>
    <row r="8" spans="1:1" x14ac:dyDescent="0.2">
      <c r="A8" s="190" t="str">
        <f>TEXT(Matches!F16,"#0")&amp;"-"&amp;TEXT(Matches!G16,"#0")</f>
        <v>1-0</v>
      </c>
    </row>
    <row r="9" spans="1:1" x14ac:dyDescent="0.2">
      <c r="A9" s="190" t="str">
        <f>TEXT(Matches!F17,"#0")&amp;"-"&amp;TEXT(Matches!G17,"#0")</f>
        <v>1-2</v>
      </c>
    </row>
    <row r="10" spans="1:1" x14ac:dyDescent="0.2">
      <c r="A10" s="190" t="str">
        <f>TEXT(Matches!F18,"#0")&amp;"-"&amp;TEXT(Matches!G18,"#0")</f>
        <v>1-0</v>
      </c>
    </row>
    <row r="11" spans="1:1" x14ac:dyDescent="0.2">
      <c r="A11" s="190" t="str">
        <f>TEXT(Matches!F19,"#0")&amp;"-"&amp;TEXT(Matches!G19,"#0")</f>
        <v>2-0</v>
      </c>
    </row>
    <row r="12" spans="1:1" x14ac:dyDescent="0.2">
      <c r="A12" s="190" t="str">
        <f>TEXT(Matches!F20,"#0")&amp;"-"&amp;TEXT(Matches!G20,"#0")</f>
        <v>2-1</v>
      </c>
    </row>
    <row r="13" spans="1:1" x14ac:dyDescent="0.2">
      <c r="A13" s="190" t="str">
        <f>TEXT(Matches!F21,"#0")&amp;"-"&amp;TEXT(Matches!G21,"#0")</f>
        <v>0-2</v>
      </c>
    </row>
    <row r="14" spans="1:1" x14ac:dyDescent="0.2">
      <c r="A14" s="190" t="str">
        <f>TEXT(Matches!F22,"#0")&amp;"-"&amp;TEXT(Matches!G22,"#0")</f>
        <v>1-1</v>
      </c>
    </row>
    <row r="15" spans="1:1" x14ac:dyDescent="0.2">
      <c r="A15" s="190" t="str">
        <f>TEXT(Matches!F23,"#0")&amp;"-"&amp;TEXT(Matches!G23,"#0")</f>
        <v>0-3</v>
      </c>
    </row>
    <row r="16" spans="1:1" x14ac:dyDescent="0.2">
      <c r="A16" s="190" t="str">
        <f>TEXT(Matches!F24,"#0")&amp;"-"&amp;TEXT(Matches!G24,"#0")</f>
        <v>2-0</v>
      </c>
    </row>
    <row r="17" spans="1:1" x14ac:dyDescent="0.2">
      <c r="A17" s="190" t="str">
        <f>TEXT(Matches!F25,"#0")&amp;"-"&amp;TEXT(Matches!G25,"#0")</f>
        <v>2-0</v>
      </c>
    </row>
    <row r="18" spans="1:1" x14ac:dyDescent="0.2">
      <c r="A18" s="190" t="str">
        <f>TEXT(Matches!F26,"#0")&amp;"-"&amp;TEXT(Matches!G26,"#0")</f>
        <v>1-0</v>
      </c>
    </row>
    <row r="19" spans="1:1" x14ac:dyDescent="0.2">
      <c r="A19" s="190" t="str">
        <f>TEXT(Matches!F27,"#0")&amp;"-"&amp;TEXT(Matches!G27,"#0")</f>
        <v>0-1</v>
      </c>
    </row>
    <row r="20" spans="1:1" x14ac:dyDescent="0.2">
      <c r="A20" s="190" t="str">
        <f>TEXT(Matches!F28,"#0")&amp;"-"&amp;TEXT(Matches!G28,"#0")</f>
        <v>1-0</v>
      </c>
    </row>
    <row r="21" spans="1:1" x14ac:dyDescent="0.2">
      <c r="A21" s="190" t="str">
        <f>TEXT(Matches!F29,"#0")&amp;"-"&amp;TEXT(Matches!G29,"#0")</f>
        <v>1-0</v>
      </c>
    </row>
    <row r="22" spans="1:1" x14ac:dyDescent="0.2">
      <c r="A22" s="190" t="str">
        <f>TEXT(Matches!F30,"#0")&amp;"-"&amp;TEXT(Matches!G30,"#0")</f>
        <v>2-0</v>
      </c>
    </row>
    <row r="23" spans="1:1" x14ac:dyDescent="0.2">
      <c r="A23" s="190" t="str">
        <f>TEXT(Matches!F31,"#0")&amp;"-"&amp;TEXT(Matches!G31,"#0")</f>
        <v>1-0</v>
      </c>
    </row>
    <row r="24" spans="1:1" x14ac:dyDescent="0.2">
      <c r="A24" s="190" t="str">
        <f>TEXT(Matches!F32,"#0")&amp;"-"&amp;TEXT(Matches!G32,"#0")</f>
        <v>0-4</v>
      </c>
    </row>
    <row r="25" spans="1:1" x14ac:dyDescent="0.2">
      <c r="A25" s="190" t="str">
        <f>TEXT(Matches!F33,"#0")&amp;"-"&amp;TEXT(Matches!G33,"#0")</f>
        <v>1-2</v>
      </c>
    </row>
    <row r="26" spans="1:1" x14ac:dyDescent="0.2">
      <c r="A26" s="190" t="str">
        <f>TEXT(Matches!F34,"#0")&amp;"-"&amp;TEXT(Matches!G34,"#0")</f>
        <v>2-1</v>
      </c>
    </row>
    <row r="27" spans="1:1" x14ac:dyDescent="0.2">
      <c r="A27" s="190" t="str">
        <f>TEXT(Matches!F35,"#0")&amp;"-"&amp;TEXT(Matches!G35,"#0")</f>
        <v>1-2</v>
      </c>
    </row>
    <row r="28" spans="1:1" x14ac:dyDescent="0.2">
      <c r="A28" s="190" t="str">
        <f>TEXT(Matches!F36,"#0")&amp;"-"&amp;TEXT(Matches!G36,"#0")</f>
        <v>3-0</v>
      </c>
    </row>
    <row r="29" spans="1:1" x14ac:dyDescent="0.2">
      <c r="A29" s="190" t="str">
        <f>TEXT(Matches!F37,"#0")&amp;"-"&amp;TEXT(Matches!G37,"#0")</f>
        <v>1-2</v>
      </c>
    </row>
    <row r="30" spans="1:1" x14ac:dyDescent="0.2">
      <c r="A30" s="190" t="str">
        <f>TEXT(Matches!F38,"#0")&amp;"-"&amp;TEXT(Matches!G38,"#0")</f>
        <v>2-0</v>
      </c>
    </row>
    <row r="31" spans="1:1" x14ac:dyDescent="0.2">
      <c r="A31" s="190" t="str">
        <f>TEXT(Matches!F39,"#0")&amp;"-"&amp;TEXT(Matches!G39,"#0")</f>
        <v>1-2</v>
      </c>
    </row>
    <row r="32" spans="1:1" x14ac:dyDescent="0.2">
      <c r="A32" s="190" t="str">
        <f>TEXT(Matches!F40,"#0")&amp;"-"&amp;TEXT(Matches!G40,"#0")</f>
        <v>0-3</v>
      </c>
    </row>
    <row r="33" spans="1:1" x14ac:dyDescent="0.2">
      <c r="A33" s="190" t="str">
        <f>TEXT(Matches!F41,"#0")&amp;"-"&amp;TEXT(Matches!G41,"#0")</f>
        <v>1-1</v>
      </c>
    </row>
    <row r="34" spans="1:1" x14ac:dyDescent="0.2">
      <c r="A34" s="190" t="str">
        <f>TEXT(Matches!F42,"#0")&amp;"-"&amp;TEXT(Matches!G42,"#0")</f>
        <v>0-3</v>
      </c>
    </row>
    <row r="35" spans="1:1" x14ac:dyDescent="0.2">
      <c r="A35" s="190" t="str">
        <f>TEXT(Matches!F43,"#0")&amp;"-"&amp;TEXT(Matches!G43,"#0")</f>
        <v>1-1</v>
      </c>
    </row>
    <row r="36" spans="1:1" x14ac:dyDescent="0.2">
      <c r="A36" s="190" t="str">
        <f>TEXT(Matches!F44,"#0")&amp;"-"&amp;TEXT(Matches!G44,"#0")</f>
        <v>0-2</v>
      </c>
    </row>
    <row r="37" spans="1:1" x14ac:dyDescent="0.2">
      <c r="A37" s="190" t="str">
        <f>TEXT(Matches!F45,"#0")&amp;"-"&amp;TEXT(Matches!G45,"#0")</f>
        <v>1-2</v>
      </c>
    </row>
    <row r="38" spans="1:1" x14ac:dyDescent="0.2">
      <c r="A38" s="190" t="str">
        <f>TEXT(Matches!F46,"#0")&amp;"-"&amp;TEXT(Matches!G46,"#0")</f>
        <v>4-0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Turkey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Ukraine</v>
      </c>
    </row>
    <row r="45" spans="1:1" x14ac:dyDescent="0.2">
      <c r="A45" s="190" t="str">
        <f>Matches!P22</f>
        <v>Netherlands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Germany</v>
      </c>
    </row>
    <row r="51" spans="1:1" x14ac:dyDescent="0.2">
      <c r="A51" s="190" t="str">
        <f>Matches!P37</f>
        <v>France</v>
      </c>
    </row>
    <row r="52" spans="1:1" x14ac:dyDescent="0.2">
      <c r="A52" s="190" t="str">
        <f>Matches!P43</f>
        <v>Sweden</v>
      </c>
    </row>
    <row r="53" spans="1:1" x14ac:dyDescent="0.2">
      <c r="A53" s="190" t="str">
        <f>Matches!P44</f>
        <v>Scotland</v>
      </c>
    </row>
    <row r="54" spans="1:1" x14ac:dyDescent="0.2">
      <c r="A54" s="190" t="str">
        <f>Matches!P45</f>
        <v>Russia</v>
      </c>
    </row>
    <row r="55" spans="1:1" x14ac:dyDescent="0.2">
      <c r="A55" s="190" t="str">
        <f>Matches!P46</f>
        <v>Portugal</v>
      </c>
    </row>
    <row r="56" spans="1:1" x14ac:dyDescent="0.2">
      <c r="A56" s="191" t="s">
        <v>55</v>
      </c>
    </row>
    <row r="57" spans="1:1" x14ac:dyDescent="0.2">
      <c r="A57" s="190" t="str">
        <f>Matches!B49</f>
        <v>Italy</v>
      </c>
    </row>
    <row r="58" spans="1:1" x14ac:dyDescent="0.2">
      <c r="A58" s="190" t="str">
        <f>Matches!B50</f>
        <v>France</v>
      </c>
    </row>
    <row r="59" spans="1:1" x14ac:dyDescent="0.2">
      <c r="A59" s="190" t="str">
        <f>Matches!B51</f>
        <v>Turkey</v>
      </c>
    </row>
    <row r="60" spans="1:1" x14ac:dyDescent="0.2">
      <c r="A60" s="190" t="str">
        <f>Matches!B52</f>
        <v>Germany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Italy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Italy</v>
      </c>
    </row>
    <row r="68" spans="1:1" x14ac:dyDescent="0.2">
      <c r="A68" s="190" t="str">
        <f>Matches!M63</f>
        <v>Kane</v>
      </c>
    </row>
    <row r="69" spans="1:1" x14ac:dyDescent="0.2">
      <c r="A69" s="190" t="str">
        <f>Matches!M64</f>
        <v>Mount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193">
        <f>Matches!U13</f>
        <v>1</v>
      </c>
      <c r="DJ3" s="193">
        <f>Matches!V13</f>
        <v>0</v>
      </c>
      <c r="DK3" s="193">
        <f>Matches!W13</f>
        <v>2</v>
      </c>
      <c r="DL3" s="193">
        <f>Matches!X13</f>
        <v>2</v>
      </c>
      <c r="DM3" s="193">
        <f>Matches!Z13</f>
        <v>4</v>
      </c>
      <c r="DN3" s="193">
        <f>Matches!AA13</f>
        <v>-2</v>
      </c>
      <c r="DO3" s="193">
        <f>Matches!AB13</f>
        <v>3</v>
      </c>
      <c r="DP3" s="21">
        <f>VLOOKUP(DH3,B4:J40,9,FALSE)</f>
        <v>47</v>
      </c>
      <c r="DQ3" s="21">
        <f>RANK(DO3,DO3:DO8)</f>
        <v>3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5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2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1</v>
      </c>
      <c r="F4" s="21">
        <f>SUMIF(CZ3:CZ60,B4,DA3:DA60)+SUMIF(DC3:DC60,B4,DB3:DB60)</f>
        <v>4</v>
      </c>
      <c r="G4" s="21">
        <f>SUMIF(DC3:DC60,B4,DA3:DA60)+SUMIF(CZ3:CZ60,B4,DB3:DB60)</f>
        <v>3</v>
      </c>
      <c r="H4" s="21">
        <f>F4-G4+1000</f>
        <v>1001</v>
      </c>
      <c r="I4" s="21">
        <f>C4*3+D4*1</f>
        <v>6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0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L</v>
      </c>
      <c r="DE4" s="21" t="str">
        <f t="shared" ref="DE4:DE38" si="0">IF(DD4&lt;&gt;"",IF(DD4="W","L",IF(DD4="L","W","D")),"")</f>
        <v>W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0</v>
      </c>
      <c r="DK4" s="193">
        <f>Matches!W18</f>
        <v>2</v>
      </c>
      <c r="DL4" s="193">
        <f>Matches!X18</f>
        <v>5</v>
      </c>
      <c r="DM4" s="193">
        <f>Matches!Z18</f>
        <v>4</v>
      </c>
      <c r="DN4" s="193">
        <f>Matches!AA18</f>
        <v>1</v>
      </c>
      <c r="DO4" s="193">
        <f>Matches!AB18</f>
        <v>3</v>
      </c>
      <c r="DP4" s="21">
        <f>VLOOKUP(DH4,B4:J40,9,FALSE)</f>
        <v>44</v>
      </c>
      <c r="DQ4" s="21">
        <f>RANK(DO4,DO3:DO8)</f>
        <v>3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3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7</v>
      </c>
      <c r="G5" s="21">
        <f>SUMIF(DC3:DC60,B5,DA3:DA60)+SUMIF(CZ3:CZ60,B5,DB3:DB60)</f>
        <v>0</v>
      </c>
      <c r="H5" s="21">
        <f t="shared" ref="H5:H7" si="2">F5-G5+1000</f>
        <v>1007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1</v>
      </c>
      <c r="DM5" s="193">
        <f>Matches!Z23</f>
        <v>3</v>
      </c>
      <c r="DN5" s="193">
        <f>Matches!AA23</f>
        <v>-2</v>
      </c>
      <c r="DO5" s="193">
        <f>Matches!AB23</f>
        <v>3</v>
      </c>
      <c r="DP5" s="21">
        <f>VLOOKUP(DH5,B4:J40,9,FALSE)</f>
        <v>40</v>
      </c>
      <c r="DQ5" s="21">
        <f>RANK(DO5,DO3:DO8)</f>
        <v>3</v>
      </c>
      <c r="DR5" s="21">
        <f>SUMPRODUCT((DQ3:DQ8=DQ5)*(DN3:DN8&gt;DN5))</f>
        <v>2</v>
      </c>
      <c r="DS5" s="21">
        <f>SUMPRODUCT((DQ3:DQ8=DQ5)*(DN3:DN8=DN5)*(DL3:DL8&gt;DL5))</f>
        <v>1</v>
      </c>
      <c r="DT5" s="21">
        <f>SUMPRODUCT((DQ3:DQ8=DQ5)*(DN3:DN8=DN5)*(DL3:DL8=DL5)*(DP3:DP8&gt;DP5))</f>
        <v>0</v>
      </c>
      <c r="DU5" s="21">
        <f t="shared" si="1"/>
        <v>6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0</v>
      </c>
      <c r="E6" s="21">
        <f>SUMPRODUCT((CZ3:CZ42=B6)*(DD3:DD42="L"))+SUMPRODUCT((DC3:DC42=B6)*(DE3:DE42="L"))</f>
        <v>3</v>
      </c>
      <c r="F6" s="21">
        <f>SUMIF(CZ3:CZ60,B6,DA3:DA60)+SUMIF(DC3:DC60,B6,DB3:DB60)</f>
        <v>0</v>
      </c>
      <c r="G6" s="21">
        <f>SUMIF(DC3:DC60,B6,DA3:DA60)+SUMIF(CZ3:CZ60,B6,DB3:DB60)</f>
        <v>6</v>
      </c>
      <c r="H6" s="21">
        <f t="shared" si="2"/>
        <v>994</v>
      </c>
      <c r="I6" s="21">
        <f t="shared" si="3"/>
        <v>0</v>
      </c>
      <c r="J6" s="21">
        <v>37</v>
      </c>
      <c r="K6" s="21">
        <f>IF(COUNTIF(I4:I8,4)&lt;&gt;4,RANK(I6,I4:I8),I46)</f>
        <v>4</v>
      </c>
      <c r="L6" s="21"/>
      <c r="M6" s="21">
        <f>SUMPRODUCT((K4:K7=K6)*(J4:J7&lt;J6))+K6</f>
        <v>4</v>
      </c>
      <c r="N6" s="21" t="str">
        <f>INDEX(B4:B8,MATCH(3,M4:M8,0),0)</f>
        <v>Switzerland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2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Scotland</v>
      </c>
      <c r="DI6" s="193">
        <f>Matches!U28</f>
        <v>1</v>
      </c>
      <c r="DJ6" s="193">
        <f>Matches!V28</f>
        <v>1</v>
      </c>
      <c r="DK6" s="193">
        <f>Matches!W28</f>
        <v>1</v>
      </c>
      <c r="DL6" s="193">
        <f>Matches!X28</f>
        <v>2</v>
      </c>
      <c r="DM6" s="193">
        <f>Matches!Z28</f>
        <v>2</v>
      </c>
      <c r="DN6" s="193">
        <f>Matches!AA28</f>
        <v>0</v>
      </c>
      <c r="DO6" s="193">
        <f>Matches!AB28</f>
        <v>4</v>
      </c>
      <c r="DP6" s="21">
        <f>VLOOKUP(DH6,B4:J40,9,FALSE)</f>
        <v>27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0</v>
      </c>
      <c r="E7" s="21">
        <f>SUMPRODUCT((CZ3:CZ42=B7)*(DD3:DD42="L"))+SUMPRODUCT((DC3:DC42=B7)*(DE3:DE42="L"))</f>
        <v>2</v>
      </c>
      <c r="F7" s="21">
        <f>SUMIF(CZ3:CZ60,B7,DA3:DA60)+SUMIF(DC3:DC60,B7,DB3:DB60)</f>
        <v>2</v>
      </c>
      <c r="G7" s="21">
        <f>SUMIF(DC3:DC60,B7,DA3:DA60)+SUMIF(CZ3:CZ60,B7,DB3:DB60)</f>
        <v>4</v>
      </c>
      <c r="H7" s="21">
        <f t="shared" si="2"/>
        <v>998</v>
      </c>
      <c r="I7" s="21">
        <f t="shared" si="3"/>
        <v>3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3</v>
      </c>
      <c r="N7" s="21" t="str">
        <f>INDEX(B4:B8,MATCH(4,M4:M8,0),0)</f>
        <v>Wales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2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3</v>
      </c>
      <c r="DM7" s="193">
        <f>Matches!Z33</f>
        <v>3</v>
      </c>
      <c r="DN7" s="193">
        <f>Matches!AA33</f>
        <v>0</v>
      </c>
      <c r="DO7" s="193">
        <f>Matches!AB33</f>
        <v>4</v>
      </c>
      <c r="DP7" s="21">
        <f>VLOOKUP(DH7,B4:J40,9,FALSE)</f>
        <v>39</v>
      </c>
      <c r="DQ7" s="21">
        <f>RANK(DO7,DO3:DO8)</f>
        <v>1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1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4</v>
      </c>
      <c r="DM8" s="193">
        <f>Matches!Z38</f>
        <v>4</v>
      </c>
      <c r="DN8" s="193">
        <f>Matches!AA38</f>
        <v>0</v>
      </c>
      <c r="DO8" s="193">
        <f>Matches!AB38</f>
        <v>3</v>
      </c>
      <c r="DP8" s="21">
        <f>VLOOKUP(DH8,B4:J40,9,FALSE)</f>
        <v>43</v>
      </c>
      <c r="DQ8" s="21">
        <f>RANK(DO8,DO3:DO8)</f>
        <v>3</v>
      </c>
      <c r="DR8" s="21">
        <f>SUMPRODUCT((DQ3:DQ8=DQ8)*(DN3:DN8&gt;DN8))</f>
        <v>1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4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1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L</v>
      </c>
      <c r="DE9" s="21" t="str">
        <f t="shared" si="0"/>
        <v>W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0</v>
      </c>
      <c r="DC10" s="21" t="str">
        <f>Matches!H18</f>
        <v>Czech Republic</v>
      </c>
      <c r="DD10" s="21" t="str">
        <f>IF(AND(Matches!F18&lt;&gt;"",Matches!G18&lt;&gt;""),IF(DA10&gt;DB10,"W",IF(DA10=DB10,"D","L")),"")</f>
        <v>W</v>
      </c>
      <c r="DE10" s="21" t="str">
        <f t="shared" si="0"/>
        <v>L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6</v>
      </c>
      <c r="G11" s="21">
        <f>SUMIF(DC3:DC60,B11,DA3:DA60)+SUMIF(CZ3:CZ60,B11,DB3:DB60)</f>
        <v>1</v>
      </c>
      <c r="H11" s="21">
        <f t="shared" ref="H11:H14" si="13">F11-G11+1000</f>
        <v>1005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5</v>
      </c>
      <c r="G12" s="21">
        <f>SUMIF(DC3:DC60,B12,DA3:DA60)+SUMIF(CZ3:CZ60,B12,DB3:DB60)</f>
        <v>4</v>
      </c>
      <c r="H12" s="21">
        <f t="shared" si="13"/>
        <v>1001</v>
      </c>
      <c r="I12" s="21">
        <f t="shared" si="14"/>
        <v>3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1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E</v>
      </c>
      <c r="DR12" s="199" t="str">
        <f>Matches!AC44</f>
        <v>D</v>
      </c>
      <c r="DS12" s="199" t="str">
        <f>Matches!AC45</f>
        <v>B</v>
      </c>
      <c r="DT12" s="199" t="str">
        <f>Matches!AC46</f>
        <v>F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2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1</v>
      </c>
      <c r="F13" s="21">
        <f>SUMIF(CZ3:CZ60,B13,DA3:DA60)+SUMIF(DC3:DC60,B13,DB3:DB60)</f>
        <v>4</v>
      </c>
      <c r="G13" s="21">
        <f>SUMIF(DC3:DC60,B13,DA3:DA60)+SUMIF(CZ3:CZ60,B13,DB3:DB60)</f>
        <v>2</v>
      </c>
      <c r="H13" s="21">
        <f t="shared" si="13"/>
        <v>1002</v>
      </c>
      <c r="I13" s="21">
        <f t="shared" si="14"/>
        <v>6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2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4</v>
      </c>
      <c r="DS13" s="199">
        <f>IFERROR(MATCH(DS12,DH13:DK13,0),0)</f>
        <v>2</v>
      </c>
      <c r="DT13" s="199">
        <f>IFERROR(MATCH(DT12,DH13:DK13,0),0)</f>
        <v>0</v>
      </c>
      <c r="DU13" s="199">
        <f t="shared" ref="DU13:DU27" si="22">SUM(DQ13:DT13)</f>
        <v>6</v>
      </c>
      <c r="DV13" s="198"/>
      <c r="DW13" s="198" t="str">
        <f>INDEX(DH3:DH8,MATCH(1,DU3:DU8,0),0)</f>
        <v>Sweden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0</v>
      </c>
      <c r="G14" s="21">
        <f>SUMIF(DC3:DC60,B14,DA3:DA60)+SUMIF(CZ3:CZ60,B14,DB3:DB60)</f>
        <v>8</v>
      </c>
      <c r="H14" s="21">
        <f t="shared" si="13"/>
        <v>992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D</v>
      </c>
      <c r="DE14" s="21" t="str">
        <f t="shared" si="0"/>
        <v>D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4</v>
      </c>
      <c r="DR14" s="199">
        <f>IFERROR(MATCH(DR12,DH14:DK14,0),0)</f>
        <v>0</v>
      </c>
      <c r="DS14" s="199">
        <f>IFERROR(MATCH(DS12,DH14:DK14,0),0)</f>
        <v>2</v>
      </c>
      <c r="DT14" s="199">
        <f>IFERROR(MATCH(DT12,DH14:DK14,0),0)</f>
        <v>0</v>
      </c>
      <c r="DU14" s="199">
        <f t="shared" si="22"/>
        <v>6</v>
      </c>
      <c r="DV14" s="198"/>
      <c r="DW14" s="198" t="str">
        <f>INDEX(DH3:DH8,MATCH(2,DU3:DU8,0),0)</f>
        <v>Scotland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3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0</v>
      </c>
      <c r="DR15" s="199">
        <f>IFERROR(MATCH(DR12,DH15:DK15,0),0)</f>
        <v>0</v>
      </c>
      <c r="DS15" s="199">
        <f>IFERROR(MATCH(DS12,DH15:DK15,0),0)</f>
        <v>2</v>
      </c>
      <c r="DT15" s="199">
        <f>IFERROR(MATCH(DT12,DH15:DK15,0),0)</f>
        <v>4</v>
      </c>
      <c r="DU15" s="199">
        <f t="shared" si="22"/>
        <v>6</v>
      </c>
      <c r="DV15" s="198"/>
      <c r="DW15" s="198" t="str">
        <f>INDEX(DH3:DH8,MATCH(3,DU3:DU8,0),0)</f>
        <v>Russia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0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4</v>
      </c>
      <c r="DR16" s="199">
        <f>IFERROR(MATCH(DR12,DH16:DK16,0),0)</f>
        <v>3</v>
      </c>
      <c r="DS16" s="199">
        <f>IFERROR(MATCH(DS12,DH16:DK16,0),0)</f>
        <v>2</v>
      </c>
      <c r="DT16" s="199">
        <f>IFERROR(MATCH(DT12,DH16:DK16,0),0)</f>
        <v>0</v>
      </c>
      <c r="DU16" s="199">
        <f t="shared" si="22"/>
        <v>9</v>
      </c>
      <c r="DV16" s="198"/>
      <c r="DW16" s="198" t="str">
        <f>INDEX(DH3:DH8,MATCH(4,DU3:DU8,0),0)</f>
        <v>Portugal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0</v>
      </c>
      <c r="DR17" s="199">
        <f>IFERROR(MATCH(DR12,DH17:DK17,0),0)</f>
        <v>3</v>
      </c>
      <c r="DS17" s="199">
        <f>IFERROR(MATCH(DS12,DH17:DK17,0),0)</f>
        <v>2</v>
      </c>
      <c r="DT17" s="199">
        <f>IFERROR(MATCH(DT12,DH17:DK17,0),0)</f>
        <v>4</v>
      </c>
      <c r="DU17" s="199">
        <f t="shared" si="22"/>
        <v>9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2</v>
      </c>
      <c r="B18" s="21" t="str">
        <f>Matches!AH18</f>
        <v>Netherlands</v>
      </c>
      <c r="C18" s="21">
        <f>SUMPRODUCT((CZ3:CZ42=B18)*(DD3:DD42="W"))+SUMPRODUCT((DC3:DC42=B18)*(DE3:DE42="W"))</f>
        <v>2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1</v>
      </c>
      <c r="F18" s="21">
        <f>SUMIF(CZ3:CZ60,B18,DA3:DA60)+SUMIF(DC3:DC60,B18,DB3:DB60)</f>
        <v>4</v>
      </c>
      <c r="G18" s="21">
        <f>SUMIF(DC3:DC60,B18,DA3:DA60)+SUMIF(CZ3:CZ60,B18,DB3:DB60)</f>
        <v>3</v>
      </c>
      <c r="H18" s="21">
        <f t="shared" ref="H18:H21" si="25">F18-G18+1000</f>
        <v>1001</v>
      </c>
      <c r="I18" s="21">
        <f t="shared" ref="I18:I21" si="26">C18*3+D18*1</f>
        <v>6</v>
      </c>
      <c r="J18" s="21">
        <v>45</v>
      </c>
      <c r="K18" s="21">
        <f>IF(COUNTIF(I18:I22,4)&lt;&gt;4,RANK(I18,I18:I22),I58)</f>
        <v>2</v>
      </c>
      <c r="L18" s="21"/>
      <c r="M18" s="21">
        <f>SUMPRODUCT((K18:K21=K18)*(J18:J21&lt;J18))+K18</f>
        <v>2</v>
      </c>
      <c r="N18" s="21" t="str">
        <f>INDEX(B18:B22,MATCH(1,M18:M22,0),0)</f>
        <v>Ukraine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Ukraine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1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3</v>
      </c>
      <c r="DR18" s="199">
        <f>IFERROR(MATCH(DR12,DH18:DK18,0),0)</f>
        <v>0</v>
      </c>
      <c r="DS18" s="199">
        <f>IFERROR(MATCH(DS12,DH18:DK18,0),0)</f>
        <v>2</v>
      </c>
      <c r="DT18" s="199">
        <f>IFERROR(MATCH(DT12,DH18:DK18,0),0)</f>
        <v>4</v>
      </c>
      <c r="DU18" s="199">
        <f t="shared" si="22"/>
        <v>9</v>
      </c>
      <c r="DV18" s="198" t="s">
        <v>90</v>
      </c>
      <c r="DW18" s="198" t="str">
        <f>INDEX(DH3:DH8,MATCH(INDEX(DL13:DL27,MATCH(10,DU13:DU27,0),0),DV3:DV8,0),0)</f>
        <v>Portugal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1</v>
      </c>
      <c r="B19" s="21" t="str">
        <f>Matches!AH19</f>
        <v>Ukraine</v>
      </c>
      <c r="C19" s="21">
        <f>SUMPRODUCT((CZ3:CZ42=B19)*(DD3:DD42="W"))+SUMPRODUCT((DC3:DC42=B19)*(DE3:DE42="W"))</f>
        <v>3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0</v>
      </c>
      <c r="F19" s="21">
        <f>SUMIF(CZ3:CZ60,B19,DA3:DA60)+SUMIF(DC3:DC60,B19,DB3:DB60)</f>
        <v>5</v>
      </c>
      <c r="G19" s="21">
        <f>SUMIF(DC3:DC60,B19,DA3:DA60)+SUMIF(CZ3:CZ60,B19,DB3:DB60)</f>
        <v>1</v>
      </c>
      <c r="H19" s="21">
        <f t="shared" si="25"/>
        <v>1004</v>
      </c>
      <c r="I19" s="21">
        <f t="shared" si="26"/>
        <v>9</v>
      </c>
      <c r="J19" s="21">
        <v>50</v>
      </c>
      <c r="K19" s="21">
        <f>IF(COUNTIF(I18:I22,4)&lt;&gt;4,RANK(I19,I18:I22),I59)</f>
        <v>1</v>
      </c>
      <c r="L19" s="21"/>
      <c r="M19" s="21">
        <f>SUMPRODUCT((K18:K21=K19)*(J18:J21&lt;J19))+K19</f>
        <v>1</v>
      </c>
      <c r="N19" s="21" t="str">
        <f>INDEX(B18:B22,MATCH(2,M18:M22,0),0)</f>
        <v>Netherlands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Netherlands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0</v>
      </c>
      <c r="DB19" s="21">
        <f>IF(AND(Matches!G27&lt;&gt;"",Matches!F27&lt;&gt;""),Matches!G27,0)</f>
        <v>1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4</v>
      </c>
      <c r="DR19" s="199">
        <f>IFERROR(MATCH(DR12,DH19:DK19,0),0)</f>
        <v>3</v>
      </c>
      <c r="DS19" s="199">
        <f>IFERROR(MATCH(DS12,DH19:DK19,0),0)</f>
        <v>0</v>
      </c>
      <c r="DT19" s="199">
        <f>IFERROR(MATCH(DT12,DH19:DK19,0),0)</f>
        <v>0</v>
      </c>
      <c r="DU19" s="199">
        <f t="shared" si="22"/>
        <v>7</v>
      </c>
      <c r="DV19" s="198" t="s">
        <v>85</v>
      </c>
      <c r="DW19" s="198" t="str">
        <f>INDEX(DH3:DH8,MATCH(INDEX(DM13:DM27,MATCH(10,DU13:DU27,0),0),DV3:DV8,0),0)</f>
        <v>Sweden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2</v>
      </c>
      <c r="F20" s="21">
        <f>SUMIF(CZ3:CZ60,B20,DA3:DA60)+SUMIF(DC3:DC60,B20,DB3:DB60)</f>
        <v>1</v>
      </c>
      <c r="G20" s="21">
        <f>SUMIF(DC3:DC60,B20,DA3:DA60)+SUMIF(CZ3:CZ60,B20,DB3:DB60)</f>
        <v>3</v>
      </c>
      <c r="H20" s="21">
        <f t="shared" si="25"/>
        <v>998</v>
      </c>
      <c r="I20" s="21">
        <f t="shared" si="26"/>
        <v>3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1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0</v>
      </c>
      <c r="DR20" s="199">
        <f>IFERROR(MATCH(DR12,DH20:DK20,0),0)</f>
        <v>3</v>
      </c>
      <c r="DS20" s="199">
        <f>IFERROR(MATCH(DS12,DH20:DK20,0),0)</f>
        <v>0</v>
      </c>
      <c r="DT20" s="199">
        <f>IFERROR(MATCH(DT12,DH20:DK20,0),0)</f>
        <v>4</v>
      </c>
      <c r="DU20" s="199">
        <f t="shared" si="22"/>
        <v>7</v>
      </c>
      <c r="DV20" s="198" t="s">
        <v>86</v>
      </c>
      <c r="DW20" s="198" t="str">
        <f>INDEX(DH3:DH8,MATCH(INDEX(DN13:DN27,MATCH(10,DU13:DU27,0),0),DV3:DV8,0),0)</f>
        <v>Scotland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1</v>
      </c>
      <c r="G21" s="21">
        <f>SUMIF(DC3:DC60,B21,DA3:DA60)+SUMIF(CZ3:CZ60,B21,DB3:DB60)</f>
        <v>4</v>
      </c>
      <c r="H21" s="21">
        <f t="shared" si="25"/>
        <v>997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3</v>
      </c>
      <c r="DR21" s="199">
        <f>IFERROR(MATCH(DR12,DH21:DK21,0),0)</f>
        <v>0</v>
      </c>
      <c r="DS21" s="199">
        <f>IFERROR(MATCH(DS12,DH21:DK21,0),0)</f>
        <v>0</v>
      </c>
      <c r="DT21" s="199">
        <f>IFERROR(MATCH(DT12,DH21:DK21,0),0)</f>
        <v>4</v>
      </c>
      <c r="DU21" s="199">
        <f t="shared" si="22"/>
        <v>7</v>
      </c>
      <c r="DV21" s="198" t="s">
        <v>91</v>
      </c>
      <c r="DW21" s="198" t="str">
        <f>INDEX(DH3:DH8,MATCH(INDEX(DO13:DO27,MATCH(10,DU13:DU27,0),0),DV3:DV8,0),0)</f>
        <v>Russia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3</v>
      </c>
      <c r="DR22" s="199">
        <f>IFERROR(MATCH(DR12,DH22:DK22,0),0)</f>
        <v>2</v>
      </c>
      <c r="DS22" s="199">
        <f>IFERROR(MATCH(DS12,DH22:DK22,0),0)</f>
        <v>0</v>
      </c>
      <c r="DT22" s="199">
        <f>IFERROR(MATCH(DT12,DH22:DK22,0),0)</f>
        <v>4</v>
      </c>
      <c r="DU22" s="199">
        <f t="shared" si="22"/>
        <v>9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1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4</v>
      </c>
      <c r="DR23" s="199">
        <f>IFERROR(MATCH(DR12,DH23:DK23,0),0)</f>
        <v>3</v>
      </c>
      <c r="DS23" s="199">
        <f>IFERROR(MATCH(DS12,DH23:DK23,0),0)</f>
        <v>1</v>
      </c>
      <c r="DT23" s="199">
        <f>IFERROR(MATCH(DT12,DH23:DK23,0),0)</f>
        <v>0</v>
      </c>
      <c r="DU23" s="199">
        <f t="shared" si="22"/>
        <v>8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4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0</v>
      </c>
      <c r="DR24" s="199">
        <f>IFERROR(MATCH(DR12,DH24:DK24,0),0)</f>
        <v>3</v>
      </c>
      <c r="DS24" s="199">
        <f>IFERROR(MATCH(DS12,DH24:DK24,0),0)</f>
        <v>1</v>
      </c>
      <c r="DT24" s="199">
        <f>IFERROR(MATCH(DT12,DH24:DK24,0),0)</f>
        <v>4</v>
      </c>
      <c r="DU24" s="199">
        <f t="shared" si="22"/>
        <v>8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3</v>
      </c>
      <c r="B25" s="21" t="str">
        <f>Matches!AH22</f>
        <v>Scotland</v>
      </c>
      <c r="C25" s="21">
        <f>SUMPRODUCT((CZ3:CZ42=B25)*(DD3:DD42="W"))+SUMPRODUCT((DC3:DC42=B25)*(DE3:DE42="W"))</f>
        <v>1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1</v>
      </c>
      <c r="F25" s="21">
        <f>SUMIF(CZ3:CZ60,B25,DA3:DA60)+SUMIF(DC3:DC60,B25,DB3:DB60)</f>
        <v>2</v>
      </c>
      <c r="G25" s="21">
        <f>SUMIF(DC3:DC60,B25,DA3:DA60)+SUMIF(CZ3:CZ60,B25,DB3:DB60)</f>
        <v>2</v>
      </c>
      <c r="H25" s="21">
        <f t="shared" ref="H25:H28" si="36">F25-G25+1000</f>
        <v>1000</v>
      </c>
      <c r="I25" s="21">
        <f t="shared" ref="I25:I28" si="37">C25*3+D25*1</f>
        <v>4</v>
      </c>
      <c r="J25" s="21">
        <v>27</v>
      </c>
      <c r="K25" s="21">
        <f>IF(COUNTIF(I25:I29,4)&lt;&gt;4,RANK(I25,I25:I29),I65)</f>
        <v>2</v>
      </c>
      <c r="L25" s="21"/>
      <c r="M25" s="21">
        <f>SUMPRODUCT((K25:K28=K25)*(J25:J28&lt;J25))+K25</f>
        <v>2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Scotland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3</v>
      </c>
      <c r="DR25" s="199">
        <f>IFERROR(MATCH(DR12,DH25:DK25,0),0)</f>
        <v>0</v>
      </c>
      <c r="DS25" s="199">
        <f>IFERROR(MATCH(DS12,DH25:DK25,0),0)</f>
        <v>1</v>
      </c>
      <c r="DT25" s="199">
        <f>IFERROR(MATCH(DT12,DH25:DK25,0),0)</f>
        <v>4</v>
      </c>
      <c r="DU25" s="199">
        <f t="shared" si="22"/>
        <v>8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4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3</v>
      </c>
      <c r="F26" s="21">
        <f>SUMIF(CZ3:CZ60,B26,DA3:DA60)+SUMIF(DC3:DC60,B26,DB3:DB60)</f>
        <v>0</v>
      </c>
      <c r="G26" s="21">
        <f>SUMIF(DC3:DC60,B26,DA3:DA60)+SUMIF(CZ3:CZ60,B26,DB3:DB60)</f>
        <v>6</v>
      </c>
      <c r="H26" s="21">
        <f t="shared" si="36"/>
        <v>994</v>
      </c>
      <c r="I26" s="21">
        <f t="shared" si="37"/>
        <v>0</v>
      </c>
      <c r="J26" s="21">
        <v>38</v>
      </c>
      <c r="K26" s="21">
        <f>IF(COUNTIF(I25:I29,4)&lt;&gt;4,RANK(I26,I25:I29),I66)</f>
        <v>4</v>
      </c>
      <c r="L26" s="21"/>
      <c r="M26" s="21">
        <f>SUMPRODUCT((K25:K28=K26)*(J25:J28&lt;J26))+K26</f>
        <v>4</v>
      </c>
      <c r="N26" s="21" t="str">
        <f>INDEX(B25:B29,MATCH(2,M25:M29,0),0)</f>
        <v>Scotland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Scotland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1000</v>
      </c>
      <c r="AX26" s="21">
        <f>IF(AO26&lt;&gt;"",VLOOKUP(AO26,B4:H40,5,FALSE),"")</f>
        <v>2</v>
      </c>
      <c r="AY26" s="21">
        <f>IF(AO26&lt;&gt;"",VLOOKUP(AO26,B4:J40,9,FALSE),"")</f>
        <v>27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1</v>
      </c>
      <c r="BE26" s="21">
        <f>IF(AO26&lt;&gt;"",SUMPRODUCT((AZ25:AZ29=AZ26)*(AU25:AU29=AU26)*(AS25:AS29=AS26)*(AW25:AW29=AW26)*(AX25:AX29&gt;AX26)),"")</f>
        <v>0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3</v>
      </c>
      <c r="DR26" s="199">
        <f>IFERROR(MATCH(DR12,DH26:DK26,0),0)</f>
        <v>2</v>
      </c>
      <c r="DS26" s="199">
        <f>IFERROR(MATCH(DS12,DH26:DK26,0),0)</f>
        <v>1</v>
      </c>
      <c r="DT26" s="199">
        <f>IFERROR(MATCH(DT12,DH26:DK26,0),0)</f>
        <v>4</v>
      </c>
      <c r="DU26" s="199">
        <f t="shared" si="22"/>
        <v>10</v>
      </c>
      <c r="DV26" s="198" t="s">
        <v>48</v>
      </c>
      <c r="DW26" s="198" t="str">
        <f>VLOOKUP(1,A18:B21,2,FALSE)</f>
        <v>Ukraine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6</v>
      </c>
      <c r="G27" s="21">
        <f>SUMIF(DC3:DC60,B27,DA3:DA60)+SUMIF(CZ3:CZ60,B27,DB3:DB60)</f>
        <v>1</v>
      </c>
      <c r="H27" s="21">
        <f t="shared" si="36"/>
        <v>1005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Scotland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Scotland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2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3</v>
      </c>
      <c r="DR27" s="199">
        <f>IFERROR(MATCH(DR12,DH27:DK27,0),0)</f>
        <v>2</v>
      </c>
      <c r="DS27" s="199">
        <f>IFERROR(MATCH(DS12,DH27:DK27,0),0)</f>
        <v>0</v>
      </c>
      <c r="DT27" s="199">
        <f>IFERROR(MATCH(DT12,DH27:DK27,0),0)</f>
        <v>4</v>
      </c>
      <c r="DU27" s="199">
        <f t="shared" si="22"/>
        <v>9</v>
      </c>
      <c r="DV27" s="21"/>
      <c r="DW27" s="21" t="str">
        <f>VLOOKUP(2,A18:B21,2,FALSE)</f>
        <v>Netherlands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Czech Republic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Czech Republic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3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1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2</v>
      </c>
      <c r="DB30" s="21">
        <f>IF(AND(Matches!G38&lt;&gt;"",Matches!F38&lt;&gt;""),Matches!G38,0)</f>
        <v>0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2</v>
      </c>
      <c r="H31" s="21">
        <f t="shared" ref="H31:H34" si="47">F31-G31+1000</f>
        <v>1004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>Sweden</v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2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3</v>
      </c>
      <c r="G32" s="21">
        <f>SUMIF(DC3:DC60,B32,DA3:DA60)+SUMIF(CZ3:CZ60,B32,DB3:DB60)</f>
        <v>3</v>
      </c>
      <c r="H32" s="21">
        <f t="shared" si="47"/>
        <v>1000</v>
      </c>
      <c r="I32" s="21">
        <f t="shared" si="48"/>
        <v>4</v>
      </c>
      <c r="J32" s="21">
        <v>39</v>
      </c>
      <c r="K32" s="21">
        <f>IF(COUNTIF(I31:I35,4)&lt;&gt;4,RANK(I32,I31:I35),I72)</f>
        <v>2</v>
      </c>
      <c r="L32" s="21"/>
      <c r="M32" s="21">
        <f>SUMPRODUCT((K31:K34=K32)*(J31:J34&lt;J32))+K32</f>
        <v>2</v>
      </c>
      <c r="N32" s="21" t="str">
        <f>INDEX(B31:B35,MATCH(2,M31:M35,0),0)</f>
        <v>Sweden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>Poland</v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>Sweden</v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1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1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1</v>
      </c>
      <c r="AU32" s="21">
        <f>AS32-AT32+1000</f>
        <v>1000</v>
      </c>
      <c r="AV32" s="21">
        <f t="shared" ref="AV32:AV34" si="52">IF(AO32&lt;&gt;"",AP32*3+AQ32*1,"")</f>
        <v>1</v>
      </c>
      <c r="AW32" s="21">
        <f>IF(AO32&lt;&gt;"",VLOOKUP(AO32,B4:H40,7,FALSE),"")</f>
        <v>1000</v>
      </c>
      <c r="AX32" s="21">
        <f>IF(AO32&lt;&gt;"",VLOOKUP(AO32,B4:H40,5,FALSE),"")</f>
        <v>3</v>
      </c>
      <c r="AY32" s="21">
        <f>IF(AO32&lt;&gt;"",VLOOKUP(AO32,B4:J40,9,FALSE),"")</f>
        <v>39</v>
      </c>
      <c r="AZ32" s="21">
        <f t="shared" ref="AZ32:AZ34" si="53">AV32</f>
        <v>1</v>
      </c>
      <c r="BA32" s="21">
        <f>IF(AO32&lt;&gt;"",RANK(AZ32,AZ31:AZ35),"")</f>
        <v>1</v>
      </c>
      <c r="BB32" s="21">
        <f>IF(AO32&lt;&gt;"",SUMPRODUCT((AZ31:AZ35=AZ32)*(AU31:AU35&gt;AU32)),"")</f>
        <v>0</v>
      </c>
      <c r="BC32" s="21">
        <f>IF(AO32&lt;&gt;"",SUMPRODUCT((AZ31:AZ35=AZ32)*(AU31:AU35=AU32)*(AS31:AS35&gt;AS32)),"")</f>
        <v>0</v>
      </c>
      <c r="BD32" s="21">
        <f>IF(AO32&lt;&gt;"",SUMPRODUCT((AZ31:AZ35=AZ32)*(AU31:AU35=AU32)*(AS31:AS35=AS32)*(AW31:AW35&gt;AW32)),"")</f>
        <v>1</v>
      </c>
      <c r="BE32" s="21">
        <f>IF(AO32&lt;&gt;"",SUMPRODUCT((AZ31:AZ35=AZ32)*(AU31:AU35=AU32)*(AS31:AS35=AS32)*(AW31:AW35=AW32)*(AX31:AX35&gt;AX32)),"")</f>
        <v>0</v>
      </c>
      <c r="BF32" s="21">
        <f>IF(AO32&lt;&gt;"",SUMPRODUCT((AZ31:AZ35=AZ32)*(AU31:AU35=AU32)*(AS31:AS35=AS32)*(AW31:AW35=AW32)*(AX31:AX35=AX32)*(AY31:AY35&gt;AY32)),"")</f>
        <v>0</v>
      </c>
      <c r="BG32" s="21">
        <f>IF(AO32&lt;&gt;"",IF(BG72&lt;&gt;"",IF(AN70=3,BG72,BG72+AN70),SUM(BA32:BF32)+1),"")</f>
        <v>3</v>
      </c>
      <c r="BH32" s="21" t="str">
        <f>IF(AO32&lt;&gt;"",INDEX(AO32:AO35,MATCH(2,BG32:BG35,0),0),"")</f>
        <v>Poland</v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3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Germany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1</v>
      </c>
      <c r="F33" s="21">
        <f>SUMIF(CZ3:CZ60,B33,DA3:DA60)+SUMIF(DC3:DC60,B33,DB3:DB60)</f>
        <v>4</v>
      </c>
      <c r="G33" s="21">
        <f>SUMIF(DC3:DC60,B33,DA3:DA60)+SUMIF(CZ3:CZ60,B33,DB3:DB60)</f>
        <v>3</v>
      </c>
      <c r="H33" s="21">
        <f t="shared" si="47"/>
        <v>1001</v>
      </c>
      <c r="I33" s="21">
        <f t="shared" si="48"/>
        <v>4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3</v>
      </c>
      <c r="N33" s="21" t="str">
        <f>INDEX(B31:B35,MATCH(3,M31:M35,0),0)</f>
        <v>Poland</v>
      </c>
      <c r="O33" s="21">
        <f>INDEX(K31:K35,MATCH(N33,B31:B35,0),0)</f>
        <v>2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>Poland</v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1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1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1</v>
      </c>
      <c r="AU33" s="21">
        <f>AS33-AT33+1000</f>
        <v>1000</v>
      </c>
      <c r="AV33" s="21">
        <f t="shared" si="52"/>
        <v>1</v>
      </c>
      <c r="AW33" s="21">
        <f>IF(AO33&lt;&gt;"",VLOOKUP(AO33,B4:H40,7,FALSE),"")</f>
        <v>1001</v>
      </c>
      <c r="AX33" s="21">
        <f>IF(AO33&lt;&gt;"",VLOOKUP(AO33,B4:H40,5,FALSE),"")</f>
        <v>4</v>
      </c>
      <c r="AY33" s="21">
        <f>IF(AO33&lt;&gt;"",VLOOKUP(AO33,B4:J40,9,FALSE),"")</f>
        <v>48</v>
      </c>
      <c r="AZ33" s="21">
        <f t="shared" si="53"/>
        <v>1</v>
      </c>
      <c r="BA33" s="21">
        <f>IF(AO33&lt;&gt;"",RANK(AZ33,AZ31:AZ35),"")</f>
        <v>1</v>
      </c>
      <c r="BB33" s="21">
        <f>IF(AO33&lt;&gt;"",SUMPRODUCT((AZ31:AZ35=AZ33)*(AU31:AU35&gt;AU33)),"")</f>
        <v>0</v>
      </c>
      <c r="BC33" s="21">
        <f>IF(AO33&lt;&gt;"",SUMPRODUCT((AZ31:AZ35=AZ33)*(AU31:AU35=AU33)*(AS31:AS35&gt;AS33)),"")</f>
        <v>0</v>
      </c>
      <c r="BD33" s="21">
        <f>IF(AO33&lt;&gt;"",SUMPRODUCT((AZ31:AZ35=AZ33)*(AU31:AU35=AU33)*(AS31:AS35=AS33)*(AW31:AW35&gt;AW33)),"")</f>
        <v>0</v>
      </c>
      <c r="BE33" s="21">
        <f>IF(AO33&lt;&gt;"",SUMPRODUCT((AZ31:AZ35=AZ33)*(AU31:AU35=AU33)*(AS31:AS35=AS33)*(AW31:AW35=AW33)*(AX31:AX35&gt;AX33)),"")</f>
        <v>0</v>
      </c>
      <c r="BF33" s="21">
        <f>IF(AO33&lt;&gt;"",SUMPRODUCT((AZ31:AZ35=AZ33)*(AU31:AU35=AU33)*(AS31:AS35=AS33)*(AW31:AW35=AW33)*(AX31:AX35=AX33)*(AY31:AY35&gt;AY33)),"")</f>
        <v>0</v>
      </c>
      <c r="BG33" s="21">
        <f>IF(AO33&lt;&gt;"",IF(BG73&lt;&gt;"",IF(AN70=3,BG73,BG73+AN70),SUM(BA33:BF33)+1),"")</f>
        <v>2</v>
      </c>
      <c r="BH33" s="21" t="str">
        <f>IF(AO33&lt;&gt;"",INDEX(AO32:AO35,MATCH(3,BG32:BG35,0),0),"")</f>
        <v>Sweden</v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1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D</v>
      </c>
      <c r="DE33" s="21" t="str">
        <f t="shared" si="0"/>
        <v>D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France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0</v>
      </c>
      <c r="G34" s="21">
        <f>SUMIF(DC3:DC60,B34,DA3:DA60)+SUMIF(CZ3:CZ60,B34,DB3:DB60)</f>
        <v>5</v>
      </c>
      <c r="H34" s="21">
        <f t="shared" si="47"/>
        <v>995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3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2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2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7</v>
      </c>
      <c r="G37" s="21">
        <f>SUMIF(DC3:DC60,B37,DA3:DA60)+SUMIF(CZ3:CZ60,B37,DB3:DB60)</f>
        <v>2</v>
      </c>
      <c r="H37" s="21">
        <f t="shared" ref="H37:H40" si="58">F37-G37+1000</f>
        <v>1005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>France</v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>France</v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1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1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1</v>
      </c>
      <c r="AA37" s="21">
        <f>Y37-Z37+1000</f>
        <v>1000</v>
      </c>
      <c r="AB37" s="21">
        <f t="shared" ref="AB37:AB40" si="60">IF(U37&lt;&gt;"",V37*3+W37*1,"")</f>
        <v>1</v>
      </c>
      <c r="AC37" s="21">
        <f>IF(U37&lt;&gt;"",VLOOKUP(U37,B4:H40,7,FALSE),"")</f>
        <v>1005</v>
      </c>
      <c r="AD37" s="21">
        <f>IF(U37&lt;&gt;"",VLOOKUP(U37,B4:H40,5,FALSE),"")</f>
        <v>7</v>
      </c>
      <c r="AE37" s="21">
        <f>IF(U37&lt;&gt;"",VLOOKUP(U37,B4:J40,9,FALSE),"")</f>
        <v>49</v>
      </c>
      <c r="AF37" s="21">
        <f t="shared" ref="AF37:AF40" si="61">AB37</f>
        <v>1</v>
      </c>
      <c r="AG37" s="21">
        <f>IF(U37&lt;&gt;"",RANK(AF37,AF37:AF41),"")</f>
        <v>1</v>
      </c>
      <c r="AH37" s="21">
        <f>IF(U37&lt;&gt;"",SUMPRODUCT((AF37:AF41=AF37)*(AA37:AA41&gt;AA37)),"")</f>
        <v>0</v>
      </c>
      <c r="AI37" s="21">
        <f>IF(U37&lt;&gt;"",SUMPRODUCT((AF37:AF41=AF37)*(AA37:AA41=AA37)*(Y37:Y41&gt;Y37)),"")</f>
        <v>0</v>
      </c>
      <c r="AJ37" s="21">
        <f>IF(U37&lt;&gt;"",SUMPRODUCT((AF37:AF41=AF37)*(AA37:AA41=AA37)*(Y37:Y41=Y37)*(AC37:AC41&gt;AC37)),"")</f>
        <v>0</v>
      </c>
      <c r="AK37" s="21">
        <f>IF(U37&lt;&gt;"",SUMPRODUCT((AF37:AF41=AF37)*(AA37:AA41=AA37)*(Y37:Y41=Y37)*(AC37:AC41=AC37)*(AD37:AD41&gt;AD37)),"")</f>
        <v>0</v>
      </c>
      <c r="AL37" s="21">
        <f>IF(U37&lt;&gt;"",SUMPRODUCT((AF37:AF41=AF37)*(AA37:AA41=AA37)*(Y37:Y41=Y37)*(AC37:AC41=AC37)*(AD37:AD41=AD37)*(AE37:AE41&gt;AE37)),"")</f>
        <v>1</v>
      </c>
      <c r="AM37" s="21">
        <f>IF(U37&lt;&gt;"",IF(AM77&lt;&gt;"",IF(T76=3,AM77,AM77+T76),SUM(AG37:AL37)),"")</f>
        <v>2</v>
      </c>
      <c r="AN37" s="21" t="str">
        <f>IF(U37&lt;&gt;"",INDEX(U37:U41,MATCH(1,AM37:AM41,0),0),"")</f>
        <v>Germany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Germany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1</v>
      </c>
      <c r="B38" s="21" t="str">
        <f>Matches!AH31</f>
        <v>Germany</v>
      </c>
      <c r="C38" s="21">
        <f>SUMPRODUCT((CZ3:CZ42=B38)*(DD3:DD42="W"))+SUMPRODUCT((DC3:DC42=B38)*(DE3:DE42="W"))</f>
        <v>2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0</v>
      </c>
      <c r="F38" s="21">
        <f>SUMIF(CZ3:CZ60,B38,DA3:DA60)+SUMIF(DC3:DC60,B38,DB3:DB60)</f>
        <v>7</v>
      </c>
      <c r="G38" s="21">
        <f>SUMIF(DC3:DC60,B38,DA3:DA60)+SUMIF(CZ3:CZ60,B38,DB3:DB60)</f>
        <v>2</v>
      </c>
      <c r="H38" s="21">
        <f t="shared" si="58"/>
        <v>1005</v>
      </c>
      <c r="I38" s="21">
        <f t="shared" si="59"/>
        <v>7</v>
      </c>
      <c r="J38" s="21">
        <v>52</v>
      </c>
      <c r="K38" s="21">
        <f>IF(COUNTIF(I37:I41,4)&lt;&gt;4,RANK(I38,I37:I41),I78)</f>
        <v>1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1</v>
      </c>
      <c r="P38" s="21" t="str">
        <f>IF(P37&lt;&gt;"",N38,"")</f>
        <v>Germany</v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>Germany</v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1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1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1</v>
      </c>
      <c r="AA38" s="21">
        <f>Y38-Z38+1000</f>
        <v>1000</v>
      </c>
      <c r="AB38" s="21">
        <f t="shared" si="60"/>
        <v>1</v>
      </c>
      <c r="AC38" s="21">
        <f>IF(U38&lt;&gt;"",VLOOKUP(U38,B4:H40,7,FALSE),"")</f>
        <v>1005</v>
      </c>
      <c r="AD38" s="21">
        <f>IF(U38&lt;&gt;"",VLOOKUP(U38,B4:H40,5,FALSE),"")</f>
        <v>7</v>
      </c>
      <c r="AE38" s="21">
        <f>IF(U38&lt;&gt;"",VLOOKUP(U38,B4:J40,9,FALSE),"")</f>
        <v>52</v>
      </c>
      <c r="AF38" s="21">
        <f t="shared" si="61"/>
        <v>1</v>
      </c>
      <c r="AG38" s="21">
        <f>IF(U38&lt;&gt;"",RANK(AF38,AF37:AF41),"")</f>
        <v>1</v>
      </c>
      <c r="AH38" s="21">
        <f>IF(U38&lt;&gt;"",SUMPRODUCT((AF37:AF41=AF38)*(AA37:AA41&gt;AA38)),"")</f>
        <v>0</v>
      </c>
      <c r="AI38" s="21">
        <f>IF(U38&lt;&gt;"",SUMPRODUCT((AF37:AF41=AF38)*(AA37:AA41=AA38)*(Y37:Y41&gt;Y38)),"")</f>
        <v>0</v>
      </c>
      <c r="AJ38" s="21">
        <f>IF(U38&lt;&gt;"",SUMPRODUCT((AF37:AF41=AF38)*(AA37:AA41=AA38)*(Y37:Y41=Y38)*(AC37:AC41&gt;AC38)),"")</f>
        <v>0</v>
      </c>
      <c r="AK38" s="21">
        <f>IF(U38&lt;&gt;"",SUMPRODUCT((AF37:AF41=AF38)*(AA37:AA41=AA38)*(Y37:Y41=Y38)*(AC37:AC41=AC38)*(AD37:AD41&gt;AD38)),"")</f>
        <v>0</v>
      </c>
      <c r="AL38" s="21">
        <f>IF(U38&lt;&gt;"",SUMPRODUCT((AF37:AF41=AF38)*(AA37:AA41=AA38)*(Y37:Y41=Y38)*(AC37:AC41=AC38)*(AD37:AD41=AD38)*(AE37:AE41&gt;AE38)),"")</f>
        <v>0</v>
      </c>
      <c r="AM38" s="21">
        <f>IF(U38&lt;&gt;"",IF(AM78&lt;&gt;"",IF(T76=3,AM78,AM78+T76),SUM(AG38:AL38)),"")</f>
        <v>1</v>
      </c>
      <c r="AN38" s="21" t="str">
        <f>IF(U38&lt;&gt;"",INDEX(U37:U41,MATCH(2,AM37:AM41,0),0),"")</f>
        <v>France</v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France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4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0</v>
      </c>
      <c r="G39" s="21">
        <f>SUMIF(DC3:DC60,B39,DA3:DA60)+SUMIF(CZ3:CZ60,B39,DB3:DB60)</f>
        <v>10</v>
      </c>
      <c r="H39" s="21">
        <f t="shared" si="58"/>
        <v>990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0</v>
      </c>
      <c r="E40" s="21">
        <f>SUMPRODUCT((CZ3:CZ42=B40)*(DD3:DD42="L"))+SUMPRODUCT((DC3:DC42=B40)*(DE3:DE42="L"))</f>
        <v>2</v>
      </c>
      <c r="F40" s="21">
        <f>SUMIF(CZ3:CZ60,B40,DA3:DA60)+SUMIF(DC3:DC60,B40,DB3:DB60)</f>
        <v>4</v>
      </c>
      <c r="G40" s="21">
        <f>SUMIF(DC3:DC60,B40,DA3:DA60)+SUMIF(CZ3:CZ60,B40,DB3:DB60)</f>
        <v>4</v>
      </c>
      <c r="H40" s="21">
        <f t="shared" si="58"/>
        <v>1000</v>
      </c>
      <c r="I40" s="21">
        <f t="shared" si="59"/>
        <v>3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>
        <f>IF(AO26&lt;&gt;"",SUMPRODUCT((AV25:AV28=AV26)*(AU25:AU28=AU26)*(AS25:AS28=AS26)*(AT25:AT28=AT26)),"")</f>
        <v>2</v>
      </c>
      <c r="AO66" s="194" t="str">
        <f t="shared" ref="AO66:AO68" si="95">IF(AND(AN66&lt;&gt;"",AN66&gt;1),AO26,"")</f>
        <v>Scotland</v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194">
        <f>AS66-AT66+1000</f>
        <v>1000</v>
      </c>
      <c r="AV66" s="194">
        <f t="shared" ref="AV66:AV68" si="96">IF(AO66&lt;&gt;"",AP66*3+AQ66*1,"")</f>
        <v>1</v>
      </c>
      <c r="AW66" s="194">
        <f>IF(AO66&lt;&gt;"",VLOOKUP(AO66,B4:H40,7,FALSE),"")</f>
        <v>1000</v>
      </c>
      <c r="AX66" s="194">
        <f>IF(AO66&lt;&gt;"",VLOOKUP(AO66,B4:H40,5,FALSE),"")</f>
        <v>2</v>
      </c>
      <c r="AY66" s="194">
        <f>IF(AO66&lt;&gt;"",VLOOKUP(AO66,B4:J40,9,FALSE),"")</f>
        <v>27</v>
      </c>
      <c r="AZ66" s="194">
        <f t="shared" ref="AZ66:AZ68" si="97">AV66</f>
        <v>1</v>
      </c>
      <c r="BA66" s="194">
        <f>IF(AO66&lt;&gt;"",RANK(AZ66,AZ65:AZ68),"")</f>
        <v>1</v>
      </c>
      <c r="BB66" s="194">
        <f>IF(AO66&lt;&gt;"",SUMPRODUCT((AZ65:AZ68=AZ66)*(AU65:AU68&gt;AU66)),"")</f>
        <v>0</v>
      </c>
      <c r="BC66" s="194">
        <f>IF(AO66&lt;&gt;"",SUMPRODUCT((AZ65:AZ68=AZ66)*(AU65:AU68=AU66)*(AS65:AS68&gt;AS66)),"")</f>
        <v>0</v>
      </c>
      <c r="BD66" s="194">
        <f>IF(AO66&lt;&gt;"",SUMPRODUCT((AZ65:AZ68=AZ66)*(AU65:AU68=AU66)*(AS65:AS68=AS66)*(AW65:AW68&gt;AW66)),"")</f>
        <v>1</v>
      </c>
      <c r="BE66" s="194">
        <f>IF(AO66&lt;&gt;"",SUMPRODUCT((AZ65:AZ68=AZ66)*(AU65:AU68=AU66)*(AS65:AS68=AS66)*(AW65:AW68=AW66)*(AX65:AX68&gt;AX66)),"")</f>
        <v>0</v>
      </c>
      <c r="BF66" s="194">
        <f>IF(AO66&lt;&gt;"",SUMPRODUCT((AZ65:AZ68=AZ66)*(AU65:AU68=AU66)*(AS65:AS68=AS66)*(AW65:AW68=AW66)*(AX65:AX68=AX66)*(AY65:AY68&gt;AY66)),"")</f>
        <v>0</v>
      </c>
      <c r="BG66" s="194">
        <f>IF(AO66&lt;&gt;"",SUM(BA66:BF66)+1,"")</f>
        <v>3</v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>
        <f>IF(AO27&lt;&gt;"",SUMPRODUCT((AV25:AV28=AV27)*(AU25:AU28=AU27)*(AS25:AS28=AS27)*(AT25:AT28=AT27)),"")</f>
        <v>2</v>
      </c>
      <c r="AO67" s="194" t="str">
        <f t="shared" si="95"/>
        <v>Croatia</v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194">
        <f>AS67-AT67+1000</f>
        <v>1000</v>
      </c>
      <c r="AV67" s="194">
        <f t="shared" si="96"/>
        <v>1</v>
      </c>
      <c r="AW67" s="194">
        <f>IF(AO67&lt;&gt;"",VLOOKUP(AO67,B4:H40,7,FALSE),"")</f>
        <v>1001</v>
      </c>
      <c r="AX67" s="194">
        <f>IF(AO67&lt;&gt;"",VLOOKUP(AO67,B4:H40,5,FALSE),"")</f>
        <v>4</v>
      </c>
      <c r="AY67" s="194">
        <f>IF(AO67&lt;&gt;"",VLOOKUP(AO67,B4:J40,9,FALSE),"")</f>
        <v>46</v>
      </c>
      <c r="AZ67" s="194">
        <f t="shared" si="97"/>
        <v>1</v>
      </c>
      <c r="BA67" s="194">
        <f>IF(AO67&lt;&gt;"",RANK(AZ67,AZ65:AZ68),"")</f>
        <v>1</v>
      </c>
      <c r="BB67" s="194">
        <f>IF(AO67&lt;&gt;"",SUMPRODUCT((AZ65:AZ68=AZ67)*(AU65:AU68&gt;AU67)),"")</f>
        <v>0</v>
      </c>
      <c r="BC67" s="194">
        <f>IF(AO67&lt;&gt;"",SUMPRODUCT((AZ65:AZ68=AZ67)*(AU65:AU68=AU67)*(AS65:AS68&gt;AS67)),"")</f>
        <v>0</v>
      </c>
      <c r="BD67" s="194">
        <f>IF(AO67&lt;&gt;"",SUMPRODUCT((AZ65:AZ68=AZ67)*(AU65:AU68=AU67)*(AS65:AS68=AS67)*(AW65:AW68&gt;AW67)),"")</f>
        <v>0</v>
      </c>
      <c r="BE67" s="194">
        <f>IF(AO67&lt;&gt;"",SUMPRODUCT((AZ65:AZ68=AZ67)*(AU65:AU68=AU67)*(AS65:AS68=AS67)*(AW65:AW68=AW67)*(AX65:AX68&gt;AX67)),"")</f>
        <v>0</v>
      </c>
      <c r="BF67" s="194">
        <f>IF(AO67&lt;&gt;"",SUMPRODUCT((AZ65:AZ68=AZ67)*(AU65:AU68=AU67)*(AS65:AS68=AS67)*(AW65:AW68=AW67)*(AX65:AX68=AX67)*(AY65:AY68&gt;AY67)),"")</f>
        <v>0</v>
      </c>
      <c r="BG67" s="194">
        <f t="shared" ref="BG67:BG68" si="98">IF(AO67&lt;&gt;"",SUM(BA67:BF67)+1,"")</f>
        <v>2</v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>
        <f>IF(AO32&lt;&gt;"",SUMPRODUCT((AV31:AV34=AV32)*(AU31:AU34=AU32)*(AS31:AS34=AS32)*(AT31:AT34=AT32)),"")</f>
        <v>2</v>
      </c>
      <c r="AO72" s="194" t="str">
        <f t="shared" ref="AO72:AO74" si="102">IF(AND(AN72&lt;&gt;"",AN72&gt;1),AO32,"")</f>
        <v>Sweden</v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1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1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1</v>
      </c>
      <c r="AU72" s="194">
        <f>AS72-AT72+1000</f>
        <v>1000</v>
      </c>
      <c r="AV72" s="194">
        <f t="shared" ref="AV72:AV74" si="103">IF(AO72&lt;&gt;"",AP72*3+AQ72*1,"")</f>
        <v>1</v>
      </c>
      <c r="AW72" s="194">
        <f>IF(AO72&lt;&gt;"",VLOOKUP(AO72,B4:H40,7,FALSE),"")</f>
        <v>1000</v>
      </c>
      <c r="AX72" s="194">
        <f>IF(AO72&lt;&gt;"",VLOOKUP(AO72,B4:H40,5,FALSE),"")</f>
        <v>3</v>
      </c>
      <c r="AY72" s="194">
        <f>IF(AO72&lt;&gt;"",VLOOKUP(AO72,B4:J40,9,FALSE),"")</f>
        <v>39</v>
      </c>
      <c r="AZ72" s="194">
        <f t="shared" ref="AZ72:AZ74" si="104">AV72</f>
        <v>1</v>
      </c>
      <c r="BA72" s="194">
        <f>IF(AO72&lt;&gt;"",RANK(AZ72,AZ71:AZ74),"")</f>
        <v>1</v>
      </c>
      <c r="BB72" s="194">
        <f>IF(AO72&lt;&gt;"",SUMPRODUCT((AZ71:AZ74=AZ72)*(AU71:AU74&gt;AU72)),"")</f>
        <v>0</v>
      </c>
      <c r="BC72" s="194">
        <f>IF(AO72&lt;&gt;"",SUMPRODUCT((AZ71:AZ74=AZ72)*(AU71:AU74=AU72)*(AS71:AS74&gt;AS72)),"")</f>
        <v>0</v>
      </c>
      <c r="BD72" s="194">
        <f>IF(AO72&lt;&gt;"",SUMPRODUCT((AZ71:AZ74=AZ72)*(AU71:AU74=AU72)*(AS71:AS74=AS72)*(AW71:AW74&gt;AW72)),"")</f>
        <v>1</v>
      </c>
      <c r="BE72" s="194">
        <f>IF(AO72&lt;&gt;"",SUMPRODUCT((AZ71:AZ74=AZ72)*(AU71:AU74=AU72)*(AS71:AS74=AS72)*(AW71:AW74=AW72)*(AX71:AX74&gt;AX72)),"")</f>
        <v>0</v>
      </c>
      <c r="BF72" s="194">
        <f>IF(AO72&lt;&gt;"",SUMPRODUCT((AZ71:AZ74=AZ72)*(AU71:AU74=AU72)*(AS71:AS74=AS72)*(AW71:AW74=AW72)*(AX71:AX74=AX72)*(AY71:AY74&gt;AY72)),"")</f>
        <v>0</v>
      </c>
      <c r="BG72" s="194">
        <f>IF(AO72&lt;&gt;"",SUM(BA72:BF72)+1,"")</f>
        <v>3</v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>
        <f>IF(AO33&lt;&gt;"",SUMPRODUCT((AV31:AV34=AV33)*(AU31:AU34=AU33)*(AS31:AS34=AS33)*(AT31:AT34=AT33)),"")</f>
        <v>2</v>
      </c>
      <c r="AO73" s="194" t="str">
        <f t="shared" si="102"/>
        <v>Poland</v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1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1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1</v>
      </c>
      <c r="AU73" s="194">
        <f>AS73-AT73+1000</f>
        <v>1000</v>
      </c>
      <c r="AV73" s="194">
        <f t="shared" si="103"/>
        <v>1</v>
      </c>
      <c r="AW73" s="194">
        <f>IF(AO73&lt;&gt;"",VLOOKUP(AO73,B4:H40,7,FALSE),"")</f>
        <v>1001</v>
      </c>
      <c r="AX73" s="194">
        <f>IF(AO73&lt;&gt;"",VLOOKUP(AO73,B4:H40,5,FALSE),"")</f>
        <v>4</v>
      </c>
      <c r="AY73" s="194">
        <f>IF(AO73&lt;&gt;"",VLOOKUP(AO73,B4:J40,9,FALSE),"")</f>
        <v>48</v>
      </c>
      <c r="AZ73" s="194">
        <f t="shared" si="104"/>
        <v>1</v>
      </c>
      <c r="BA73" s="194">
        <f>IF(AO73&lt;&gt;"",RANK(AZ73,AZ71:AZ74),"")</f>
        <v>1</v>
      </c>
      <c r="BB73" s="194">
        <f>IF(AO73&lt;&gt;"",SUMPRODUCT((AZ71:AZ74=AZ73)*(AU71:AU74&gt;AU73)),"")</f>
        <v>0</v>
      </c>
      <c r="BC73" s="194">
        <f>IF(AO73&lt;&gt;"",SUMPRODUCT((AZ71:AZ74=AZ73)*(AU71:AU74=AU73)*(AS71:AS74&gt;AS73)),"")</f>
        <v>0</v>
      </c>
      <c r="BD73" s="194">
        <f>IF(AO73&lt;&gt;"",SUMPRODUCT((AZ71:AZ74=AZ73)*(AU71:AU74=AU73)*(AS71:AS74=AS73)*(AW71:AW74&gt;AW73)),"")</f>
        <v>0</v>
      </c>
      <c r="BE73" s="194">
        <f>IF(AO73&lt;&gt;"",SUMPRODUCT((AZ71:AZ74=AZ73)*(AU71:AU74=AU73)*(AS71:AS74=AS73)*(AW71:AW74=AW73)*(AX71:AX74&gt;AX73)),"")</f>
        <v>0</v>
      </c>
      <c r="BF73" s="194">
        <f>IF(AO73&lt;&gt;"",SUMPRODUCT((AZ71:AZ74=AZ73)*(AU71:AU74=AU73)*(AS71:AS74=AS73)*(AW71:AW74=AW73)*(AX71:AX74=AX73)*(AY71:AY74&gt;AY73)),"")</f>
        <v>0</v>
      </c>
      <c r="BG73" s="194">
        <f t="shared" ref="BG73:BG74" si="105">IF(AO73&lt;&gt;"",SUM(BA73:BF73)+1,"")</f>
        <v>2</v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>
        <f>IF(U37&lt;&gt;"",SUMPRODUCT((AB37:AB40=AB37)*(AA37:AA40=AA37)*(Y37:Y40=Y37)*(Z37:Z40=Z37)),"")</f>
        <v>2</v>
      </c>
      <c r="U77" s="194" t="str">
        <f>IF(AND(T77&lt;&gt;"",T77&gt;1),U37,"")</f>
        <v>France</v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1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1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1</v>
      </c>
      <c r="AA77" s="194">
        <f>Y77-Z77+1000</f>
        <v>1000</v>
      </c>
      <c r="AB77" s="194">
        <f>IF(U77&lt;&gt;"",V77*3+W77*1,"")</f>
        <v>1</v>
      </c>
      <c r="AC77" s="194">
        <f>IF(U77&lt;&gt;"",VLOOKUP(U77,B4:H40,7,FALSE),"")</f>
        <v>1005</v>
      </c>
      <c r="AD77" s="194">
        <f>IF(U77&lt;&gt;"",VLOOKUP(U77,B4:H40,5,FALSE),"")</f>
        <v>7</v>
      </c>
      <c r="AE77" s="194">
        <f>IF(U77&lt;&gt;"",VLOOKUP(U77,B4:J40,9,FALSE),"")</f>
        <v>49</v>
      </c>
      <c r="AF77" s="194">
        <f>AB77</f>
        <v>1</v>
      </c>
      <c r="AG77" s="194">
        <f>IF(U77&lt;&gt;"",RANK(AF77,AF77:AF80),"")</f>
        <v>1</v>
      </c>
      <c r="AH77" s="194">
        <f>IF(U77&lt;&gt;"",SUMPRODUCT((AF77:AF80=AF77)*(AA77:AA80&gt;AA77)),"")</f>
        <v>0</v>
      </c>
      <c r="AI77" s="194">
        <f>IF(U77&lt;&gt;"",SUMPRODUCT((AF77:AF80=AF77)*(AA77:AA80=AA77)*(Y77:Y80&gt;Y77)),"")</f>
        <v>0</v>
      </c>
      <c r="AJ77" s="194">
        <f>IF(U77&lt;&gt;"",SUMPRODUCT((AF77:AF80=AF77)*(AA77:AA80=AA77)*(Y77:Y80=Y77)*(AC77:AC80&gt;AC77)),"")</f>
        <v>0</v>
      </c>
      <c r="AK77" s="194">
        <f>IF(U77&lt;&gt;"",SUMPRODUCT((AF77:AF80=AF77)*(AA77:AA80=AA77)*(Y77:Y80=Y77)*(AC77:AC80=AC77)*(AD77:AD80&gt;AD77)),"")</f>
        <v>0</v>
      </c>
      <c r="AL77" s="194">
        <f>IF(U77&lt;&gt;"",SUMPRODUCT((AF77:AF80=AF77)*(AA77:AA80=AA77)*(Y77:Y80=Y77)*(AC77:AC80=AC77)*(AD77:AD80=AD77)*(AE77:AE80&gt;AE77)),"")</f>
        <v>1</v>
      </c>
      <c r="AM77" s="194">
        <f>IF(U77&lt;&gt;"",SUM(AG77:AL77),"")</f>
        <v>2</v>
      </c>
    </row>
    <row r="78" spans="9:59" x14ac:dyDescent="0.15">
      <c r="I78" s="194">
        <f>SUMPRODUCT((I37:I40=I38)*(H37:H40=H38)*(F37:F40&gt;F38))+1</f>
        <v>1</v>
      </c>
      <c r="T78" s="194">
        <f>IF(U38&lt;&gt;"",SUMPRODUCT((AB37:AB40=AB38)*(AA37:AA40=AA38)*(Y37:Y40=Y38)*(Z37:Z40=Z38)),"")</f>
        <v>2</v>
      </c>
      <c r="U78" s="194" t="str">
        <f t="shared" ref="U78:U80" si="106">IF(AND(T78&lt;&gt;"",T78&gt;1),U38,"")</f>
        <v>Germany</v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1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1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1</v>
      </c>
      <c r="AA78" s="194">
        <f>Y78-Z78+1000</f>
        <v>1000</v>
      </c>
      <c r="AB78" s="194">
        <f t="shared" ref="AB78:AB80" si="107">IF(U78&lt;&gt;"",V78*3+W78*1,"")</f>
        <v>1</v>
      </c>
      <c r="AC78" s="194">
        <f>IF(U78&lt;&gt;"",VLOOKUP(U78,B4:H40,7,FALSE),"")</f>
        <v>1005</v>
      </c>
      <c r="AD78" s="194">
        <f>IF(U78&lt;&gt;"",VLOOKUP(U78,B4:H40,5,FALSE),"")</f>
        <v>7</v>
      </c>
      <c r="AE78" s="194">
        <f>IF(U78&lt;&gt;"",VLOOKUP(U78,B4:J40,9,FALSE),"")</f>
        <v>52</v>
      </c>
      <c r="AF78" s="194">
        <f t="shared" ref="AF78:AF80" si="108">AB78</f>
        <v>1</v>
      </c>
      <c r="AG78" s="194">
        <f>IF(U78&lt;&gt;"",RANK(AF78,AF77:AF80),"")</f>
        <v>1</v>
      </c>
      <c r="AH78" s="194">
        <f>IF(U78&lt;&gt;"",SUMPRODUCT((AF77:AF80=AF78)*(AA77:AA80&gt;AA78)),"")</f>
        <v>0</v>
      </c>
      <c r="AI78" s="194">
        <f>IF(U78&lt;&gt;"",SUMPRODUCT((AF77:AF80=AF78)*(AA77:AA80=AA78)*(Y77:Y80&gt;Y78)),"")</f>
        <v>0</v>
      </c>
      <c r="AJ78" s="194">
        <f>IF(U78&lt;&gt;"",SUMPRODUCT((AF77:AF80=AF78)*(AA77:AA80=AA78)*(Y77:Y80=Y78)*(AC77:AC80&gt;AC78)),"")</f>
        <v>0</v>
      </c>
      <c r="AK78" s="194">
        <f>IF(U78&lt;&gt;"",SUMPRODUCT((AF77:AF80=AF78)*(AA77:AA80=AA78)*(Y77:Y80=Y78)*(AC77:AC80=AC78)*(AD77:AD80&gt;AD78)),"")</f>
        <v>0</v>
      </c>
      <c r="AL78" s="194">
        <f>IF(U78&lt;&gt;"",SUMPRODUCT((AF77:AF80=AF78)*(AA77:AA80=AA78)*(Y77:Y80=Y78)*(AC77:AC80=AC78)*(AD77:AD80=AD78)*(AE77:AE80&gt;AE78)),"")</f>
        <v>0</v>
      </c>
      <c r="AM78" s="194">
        <f>IF(U78&lt;&gt;"",SUM(AG78:AL78),"")</f>
        <v>1</v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Italy</v>
      </c>
    </row>
    <row r="89" spans="3:3" x14ac:dyDescent="0.15">
      <c r="C89" s="194" t="str">
        <f>Matches!B50</f>
        <v>France</v>
      </c>
    </row>
    <row r="90" spans="3:3" x14ac:dyDescent="0.15">
      <c r="C90" s="194" t="str">
        <f>Matches!B51</f>
        <v>Turkey</v>
      </c>
    </row>
    <row r="91" spans="3:3" x14ac:dyDescent="0.15">
      <c r="C91" s="194" t="str">
        <f>Matches!B52</f>
        <v>Germany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Italy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2021-06-11T12:07:43Z</dcterms:modified>
</cp:coreProperties>
</file>