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ommyCamilleri/Downloads/"/>
    </mc:Choice>
  </mc:AlternateContent>
  <xr:revisionPtr revIDLastSave="0" documentId="13_ncr:1_{A438E33A-C7D7-9D4E-9679-BFE47F8C9B50}" xr6:coauthVersionLast="46" xr6:coauthVersionMax="47" xr10:uidLastSave="{00000000-0000-0000-0000-000000000000}"/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0" yWindow="500" windowWidth="28800" windowHeight="1750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DD30" i="3" s="1"/>
  <c r="DE30" i="3" s="1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27" i="3" l="1"/>
  <c r="DE27" i="3" s="1"/>
  <c r="DD20" i="3"/>
  <c r="DE20" i="3" s="1"/>
  <c r="DD10" i="3"/>
  <c r="DE10" i="3" s="1"/>
  <c r="DD32" i="3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R37" i="3" l="1"/>
  <c r="R38" i="3" s="1"/>
  <c r="BI40" i="3" s="1"/>
  <c r="P25" i="3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D20" i="3" l="1"/>
  <c r="BP6" i="3"/>
  <c r="BT6" i="3" s="1"/>
  <c r="AV33" i="3"/>
  <c r="AZ33" i="3" s="1"/>
  <c r="AV34" i="3"/>
  <c r="AZ34" i="3" s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A18" i="3"/>
  <c r="AA20" i="3"/>
  <c r="AB20" i="3"/>
  <c r="AF20" i="3" s="1"/>
  <c r="AB18" i="3"/>
  <c r="AF18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6" i="3"/>
  <c r="T74" i="3"/>
  <c r="U74" i="3" s="1"/>
  <c r="AF31" i="3"/>
  <c r="AL33" i="3" s="1"/>
  <c r="T71" i="3"/>
  <c r="U71" i="3" s="1"/>
  <c r="T72" i="3"/>
  <c r="U72" i="3" s="1"/>
  <c r="T73" i="3"/>
  <c r="U73" i="3" s="1"/>
  <c r="T61" i="3"/>
  <c r="U61" i="3" s="1"/>
  <c r="AG21" i="3"/>
  <c r="AL21" i="3"/>
  <c r="AK21" i="3"/>
  <c r="AG19" i="3"/>
  <c r="T59" i="3"/>
  <c r="U59" i="3" s="1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W74" i="3" l="1"/>
  <c r="AH21" i="3"/>
  <c r="AB38" i="3"/>
  <c r="AF38" i="3" s="1"/>
  <c r="AI21" i="3"/>
  <c r="AK20" i="3"/>
  <c r="AK18" i="3"/>
  <c r="AL20" i="3"/>
  <c r="AJ20" i="3"/>
  <c r="AI18" i="3"/>
  <c r="CA7" i="3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B13" i="3" s="1"/>
  <c r="CA20" i="3"/>
  <c r="CA14" i="3"/>
  <c r="CA21" i="3"/>
  <c r="BD26" i="3"/>
  <c r="AA13" i="3"/>
  <c r="BC34" i="3"/>
  <c r="BE34" i="3"/>
  <c r="BF34" i="3"/>
  <c r="BD34" i="3"/>
  <c r="AQ74" i="3"/>
  <c r="BB34" i="3"/>
  <c r="AP74" i="3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6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D59" i="3"/>
  <c r="AE59" i="3"/>
  <c r="AC59" i="3"/>
  <c r="AK31" i="3"/>
  <c r="AJ31" i="3"/>
  <c r="AL31" i="3"/>
  <c r="AG31" i="3"/>
  <c r="AH31" i="3"/>
  <c r="AI31" i="3"/>
  <c r="AG34" i="3"/>
  <c r="AG33" i="3"/>
  <c r="AG28" i="3"/>
  <c r="AH34" i="3"/>
  <c r="AJ32" i="3"/>
  <c r="AE61" i="3"/>
  <c r="AD61" i="3"/>
  <c r="AC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V74" i="3" l="1"/>
  <c r="AZ74" i="3" s="1"/>
  <c r="CB21" i="3"/>
  <c r="AN61" i="3"/>
  <c r="AO61" i="3" s="1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Y60" i="3"/>
  <c r="Z61" i="3"/>
  <c r="Z60" i="3"/>
  <c r="W61" i="3"/>
  <c r="W60" i="3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CB33" i="3"/>
  <c r="T70" i="3"/>
  <c r="AB61" i="3"/>
  <c r="AF61" i="3" s="1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A61" i="3" l="1"/>
  <c r="BE40" i="3"/>
  <c r="BB40" i="3"/>
  <c r="AB59" i="3"/>
  <c r="AF59" i="3" s="1"/>
  <c r="AA58" i="3"/>
  <c r="AB58" i="3"/>
  <c r="AF58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V61" i="3" s="1"/>
  <c r="AZ61" i="3" s="1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I60" i="3"/>
  <c r="AH61" i="3"/>
  <c r="AG74" i="3"/>
  <c r="AG59" i="3"/>
  <c r="AK59" i="3"/>
  <c r="AH72" i="3"/>
  <c r="AK61" i="3"/>
  <c r="AL58" i="3"/>
  <c r="AG71" i="3"/>
  <c r="AH58" i="3"/>
  <c r="AH59" i="3"/>
  <c r="AJ58" i="3"/>
  <c r="AL60" i="3"/>
  <c r="AK58" i="3"/>
  <c r="AG73" i="3"/>
  <c r="AK60" i="3"/>
  <c r="AJ61" i="3"/>
  <c r="AJ60" i="3"/>
  <c r="AG72" i="3"/>
  <c r="AL59" i="3"/>
  <c r="AH60" i="3"/>
  <c r="AK74" i="3"/>
  <c r="AK73" i="3"/>
  <c r="AJ72" i="3"/>
  <c r="AL74" i="3"/>
  <c r="AI73" i="3"/>
  <c r="AL71" i="3"/>
  <c r="AH74" i="3"/>
  <c r="AL73" i="3"/>
  <c r="AK71" i="3"/>
  <c r="AJ74" i="3"/>
  <c r="AI61" i="3"/>
  <c r="AI59" i="3"/>
  <c r="AK72" i="3"/>
  <c r="AH71" i="3"/>
  <c r="AJ71" i="3"/>
  <c r="AH73" i="3"/>
  <c r="AI71" i="3"/>
  <c r="AJ59" i="3"/>
  <c r="AL61" i="3"/>
  <c r="AJ73" i="3"/>
  <c r="AI72" i="3"/>
  <c r="AL72" i="3"/>
  <c r="AI74" i="3"/>
  <c r="AV47" i="3"/>
  <c r="AZ47" i="3" s="1"/>
  <c r="AV46" i="3"/>
  <c r="AZ46" i="3" s="1"/>
  <c r="AU47" i="3"/>
  <c r="AU46" i="3"/>
  <c r="AU45" i="3"/>
  <c r="BG74" i="3" l="1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59" i="3"/>
  <c r="AM19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K66" i="3" l="1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18" i="3"/>
  <c r="CW18" i="3" s="1"/>
  <c r="AN20" i="3"/>
  <c r="AN33" i="3"/>
  <c r="AN31" i="3"/>
  <c r="CW31" i="3" s="1"/>
  <c r="AN32" i="3"/>
  <c r="BG46" i="3"/>
  <c r="BG6" i="3" s="1"/>
  <c r="BG47" i="3"/>
  <c r="BG7" i="3" s="1"/>
  <c r="AM65" i="3" l="1"/>
  <c r="AM25" i="3" s="1"/>
  <c r="AN28" i="3" s="1"/>
  <c r="CW28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BG61" i="3"/>
  <c r="BG21" i="3" s="1"/>
  <c r="CW32" i="3"/>
  <c r="BG54" i="3"/>
  <c r="BG14" i="3" s="1"/>
  <c r="BG52" i="3"/>
  <c r="BG12" i="3" s="1"/>
  <c r="BG53" i="3"/>
  <c r="BG13" i="3" s="1"/>
  <c r="A31" i="3"/>
  <c r="BG79" i="3"/>
  <c r="BG39" i="3" s="1"/>
  <c r="BG80" i="3"/>
  <c r="BG40" i="3" s="1"/>
  <c r="CW33" i="3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N26" i="3" l="1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P11" i="2" l="1"/>
  <c r="V11" i="2" s="1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X11" i="2" l="1"/>
  <c r="W11" i="2"/>
  <c r="V14" i="2"/>
  <c r="Z11" i="2"/>
  <c r="U11" i="2"/>
  <c r="AB11" i="2" s="1"/>
  <c r="A40" i="4"/>
  <c r="DH3" i="3"/>
  <c r="DP3" i="3" s="1"/>
  <c r="U13" i="2"/>
  <c r="DI3" i="3" s="1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T11" i="2" l="1"/>
  <c r="AA11" i="2"/>
  <c r="AB14" i="2"/>
  <c r="T14" i="2"/>
  <c r="DL3" i="3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<sst xmlns="http://schemas.openxmlformats.org/spreadsheetml/2006/main" count="590" uniqueCount="144">
  <si>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</si>
  <si>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</si>
  <si>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</si>
  <si>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</si>
  <si>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</si>
  <si>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</si>
  <si>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</si>
  <si>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</si>
  <si>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</si>
  <si>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</si>
  <si>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</si>
  <si>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</si>
  <si>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</si>
  <si>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</si>
  <si>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</si>
  <si>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</si>
  <si>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</si>
  <si>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</si>
  <si>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</si>
  <si>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</si>
  <si>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</si>
  <si>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</si>
  <si>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</si>
  <si>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</si>
  <si>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</si>
  <si>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</si>
  <si>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</si>
  <si>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</si>
  <si>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</si>
  <si>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</si>
  <si>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</si>
  <si>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</si>
  <si>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</si>
  <si>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</si>
  <si>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</si>
  <si>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</si>
  <si>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</si>
  <si>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</si>
  <si>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</si>
  <si>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</si>
  <si>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</si>
  <si>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</si>
  <si>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</si>
  <si>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</si>
  <si>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</si>
  <si>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</si>
  <si>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</si>
  <si>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</si>
  <si>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</si>
  <si>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</si>
  <si>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</si>
  <si>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</si>
  <si>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</si>
  <si>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</si>
  <si>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</si>
  <si>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</si>
  <si>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</si>
  <si>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</si>
  <si>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</si>
  <si>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</si>
  <si>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</si>
  <si>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</si>
  <si>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</si>
  <si>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</si>
  <si>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</si>
  <si>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</si>
  <si>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</si>
  <si>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</si>
  <si>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</si>
  <si>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</si>
  <si>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</si>
  <si>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</si>
  <si>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</si>
  <si>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</si>
  <si>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</si>
  <si>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</si>
  <si>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</si>
  <si>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</si>
  <si>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</si>
  <si>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</si>
  <si>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</si>
  <si>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</si>
  <si>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</si>
  <si>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</si>
  <si>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</si>
  <si>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</si>
  <si>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</si>
  <si>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</si>
  <si>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</si>
  <si>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</si>
  <si>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</si>
  <si>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</si>
  <si>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</si>
  <si>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</si>
  <si>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</si>
  <si>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</si>
  <si>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</si>
  <si>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</si>
  <si>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</si>
  <si>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</si>
  <si>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</si>
  <si>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</si>
  <si>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</si>
  <si>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</si>
  <si>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</si>
  <si>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</si>
  <si>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</si>
  <si>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</si>
  <si>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</si>
  <si>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</si>
  <si>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</si>
  <si>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</si>
  <si>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</si>
  <si>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</si>
  <si>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</si>
  <si>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</si>
  <si>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</si>
  <si>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</si>
  <si>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</si>
  <si>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</si>
  <si>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</si>
  <si>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</si>
  <si>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</si>
  <si>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</si>
  <si>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</si>
  <si>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</si>
  <si>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</si>
  <si>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</si>
  <si>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</si>
  <si>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</si>
  <si>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</si>
  <si>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</si>
  <si>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</si>
  <si>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</si>
  <si>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</si>
  <si>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</si>
  <si>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</si>
  <si>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</si>
  <si>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</si>
  <si>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</si>
  <si>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</si>
  <si>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>Tommy Camilleri</t>
  </si>
  <si>
    <t>Harry Kane</t>
  </si>
  <si>
    <t>Phil Foden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</si>
</sst>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 xr:uid="{00000000-0005-0000-0000-000002000000}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69"/>
  <sheetViews>
    <sheetView showGridLines="0" tabSelected="1" zoomScale="140" zoomScaleNormal="140" workbookViewId="0">
      <pane ySplit="9" topLeftCell="A46" activePane="bottomLeft" state="frozen"/>
      <selection pane="bottomLeft" activeCell="B59" sqref="B59:M59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38" t="s">
        <v>133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</row>
    <row r="2" spans="1:103" ht="15" customHeight="1" x14ac:dyDescent="0.2">
      <c r="B2" s="257" t="s">
        <v>129</v>
      </c>
      <c r="C2" s="258"/>
      <c r="D2" s="258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59" t="s">
        <v>112</v>
      </c>
      <c r="V2" s="260"/>
      <c r="W2" s="260"/>
      <c r="X2" s="260"/>
      <c r="Y2" s="260"/>
      <c r="Z2" s="260"/>
      <c r="AA2" s="260"/>
      <c r="AB2" s="260"/>
      <c r="AC2" s="261"/>
    </row>
    <row r="3" spans="1:103" ht="15" customHeight="1" x14ac:dyDescent="0.2">
      <c r="B3" s="258"/>
      <c r="C3" s="258"/>
      <c r="D3" s="258"/>
      <c r="E3" s="205" t="s">
        <v>131</v>
      </c>
      <c r="G3" s="157"/>
      <c r="H3" s="157"/>
      <c r="I3" s="237" t="s">
        <v>108</v>
      </c>
      <c r="J3" s="237"/>
      <c r="K3" s="237"/>
      <c r="L3" s="237"/>
      <c r="M3" s="237"/>
      <c r="N3" s="237"/>
      <c r="O3" s="160"/>
      <c r="P3" s="157"/>
      <c r="Q3" s="157"/>
      <c r="R3" s="157"/>
      <c r="S3" s="157"/>
      <c r="T3" s="158"/>
      <c r="U3" s="262"/>
      <c r="V3" s="262"/>
      <c r="W3" s="262"/>
      <c r="X3" s="262"/>
      <c r="Y3" s="262"/>
      <c r="Z3" s="262"/>
      <c r="AA3" s="262"/>
      <c r="AB3" s="262"/>
      <c r="AC3" s="263"/>
    </row>
    <row r="4" spans="1:103" ht="15" customHeight="1" x14ac:dyDescent="0.2">
      <c r="B4" s="258"/>
      <c r="C4" s="258"/>
      <c r="D4" s="258"/>
      <c r="E4" s="205" t="s">
        <v>107</v>
      </c>
      <c r="G4" s="157"/>
      <c r="H4" s="157"/>
      <c r="I4" s="237"/>
      <c r="J4" s="237"/>
      <c r="K4" s="237"/>
      <c r="L4" s="237"/>
      <c r="M4" s="237"/>
      <c r="N4" s="237"/>
      <c r="O4" s="160"/>
      <c r="P4" s="157"/>
      <c r="Q4" s="157"/>
      <c r="R4" s="157"/>
      <c r="S4" s="157"/>
      <c r="T4" s="161" t="s">
        <v>109</v>
      </c>
      <c r="U4" s="264" t="s">
        <v>141</v>
      </c>
      <c r="V4" s="265"/>
      <c r="W4" s="265"/>
      <c r="X4" s="265"/>
      <c r="Y4" s="265"/>
      <c r="Z4" s="265"/>
      <c r="AA4" s="265"/>
      <c r="AB4" s="265"/>
      <c r="AC4" s="266"/>
    </row>
    <row r="5" spans="1:103" x14ac:dyDescent="0.2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2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2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25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7" t="s">
        <v>32</v>
      </c>
      <c r="G9" s="267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2" t="s">
        <v>36</v>
      </c>
      <c r="P10" s="243"/>
      <c r="Q10" s="243"/>
      <c r="R10" s="243"/>
      <c r="S10" s="243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0</v>
      </c>
      <c r="G11" s="184">
        <v>2</v>
      </c>
      <c r="H11" s="41" t="s">
        <v>13</v>
      </c>
      <c r="I11" s="42"/>
      <c r="J11" s="42"/>
      <c r="K11" s="42"/>
      <c r="L11" s="268">
        <v>1</v>
      </c>
      <c r="M11" s="43" t="str">
        <f>IF(F11&lt;&gt;"",IF(F11&gt;G11,E11,IF(F11&lt;G11,H11,"")),"")</f>
        <v>Italy</v>
      </c>
      <c r="N11" s="31"/>
      <c r="O11" s="120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5</v>
      </c>
      <c r="Y11" s="45" t="s">
        <v>45</v>
      </c>
      <c r="Z11" s="44">
        <f>VLOOKUP(P11,'Dummy Table'!B4:G40,6,FALSE)</f>
        <v>1</v>
      </c>
      <c r="AA11" s="44">
        <f>X11-Z11</f>
        <v>4</v>
      </c>
      <c r="AB11" s="44">
        <f>U11*3+V11*1</f>
        <v>9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1</v>
      </c>
      <c r="G12" s="185">
        <v>1</v>
      </c>
      <c r="H12" s="50" t="s">
        <v>23</v>
      </c>
      <c r="I12" s="51"/>
      <c r="J12" s="51"/>
      <c r="K12" s="51"/>
      <c r="L12" s="269"/>
      <c r="M12" s="52" t="str">
        <f t="shared" ref="M12:M45" si="0">IF(F12&lt;&gt;"",IF(F12&gt;G12,E12,IF(F12&lt;G12,H12,"")),"")</f>
        <v/>
      </c>
      <c r="N12" s="31"/>
      <c r="O12" s="120">
        <v>2</v>
      </c>
      <c r="P12" s="272" t="str">
        <f>VLOOKUP(2,'Dummy Table'!A4:B8,2,FALSE)</f>
        <v>Wales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4</v>
      </c>
      <c r="Y12" s="53" t="s">
        <v>45</v>
      </c>
      <c r="Z12" s="53">
        <f>VLOOKUP(P12,'Dummy Table'!B4:G40,6,FALSE)</f>
        <v>4</v>
      </c>
      <c r="AA12" s="53">
        <f>X12-Z12</f>
        <v>0</v>
      </c>
      <c r="AB12" s="53">
        <f>U12*3+V12*1</f>
        <v>4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2</v>
      </c>
      <c r="G13" s="185">
        <v>1</v>
      </c>
      <c r="H13" s="50" t="s">
        <v>9</v>
      </c>
      <c r="I13" s="51"/>
      <c r="J13" s="51"/>
      <c r="K13" s="51"/>
      <c r="L13" s="269"/>
      <c r="M13" s="52" t="str">
        <f t="shared" si="0"/>
        <v>Denmark</v>
      </c>
      <c r="N13" s="31"/>
      <c r="O13" s="121">
        <v>3</v>
      </c>
      <c r="P13" s="273" t="str">
        <f>VLOOKUP(3,'Dummy Table'!A4:B8,2,FALSE)</f>
        <v>Turkey</v>
      </c>
      <c r="Q13" s="273"/>
      <c r="R13" s="273"/>
      <c r="S13" s="273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0</v>
      </c>
      <c r="W13" s="54">
        <f>VLOOKUP(P13,'Dummy Table'!B4:E40,4,FALSE)</f>
        <v>2</v>
      </c>
      <c r="X13" s="54">
        <f>VLOOKUP(P13,'Dummy Table'!B4:F40,5,FALSE)</f>
        <v>3</v>
      </c>
      <c r="Y13" s="54" t="s">
        <v>45</v>
      </c>
      <c r="Z13" s="54">
        <f>VLOOKUP(P13,'Dummy Table'!B4:G40,6,FALSE)</f>
        <v>5</v>
      </c>
      <c r="AA13" s="54">
        <f>X13-Z13</f>
        <v>-2</v>
      </c>
      <c r="AB13" s="54">
        <f>U13*3+V13*1</f>
        <v>3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3</v>
      </c>
      <c r="G14" s="185">
        <v>0</v>
      </c>
      <c r="H14" s="50" t="s">
        <v>18</v>
      </c>
      <c r="I14" s="51"/>
      <c r="J14" s="51"/>
      <c r="K14" s="51"/>
      <c r="L14" s="269"/>
      <c r="M14" s="52" t="str">
        <f t="shared" si="0"/>
        <v>Belgium</v>
      </c>
      <c r="N14" s="31"/>
      <c r="O14" s="122">
        <v>4</v>
      </c>
      <c r="P14" s="247" t="str">
        <f>VLOOKUP(4,'Dummy Table'!A4:B8,2,FALSE)</f>
        <v>Switzerland</v>
      </c>
      <c r="Q14" s="247"/>
      <c r="R14" s="247"/>
      <c r="S14" s="247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1</v>
      </c>
      <c r="W14" s="55">
        <f>VLOOKUP(P14,'Dummy Table'!B4:E40,4,FALSE)</f>
        <v>2</v>
      </c>
      <c r="X14" s="55">
        <f>VLOOKUP(P14,'Dummy Table'!B4:F40,5,FALSE)</f>
        <v>2</v>
      </c>
      <c r="Y14" s="55" t="s">
        <v>45</v>
      </c>
      <c r="Z14" s="55">
        <f>VLOOKUP(P14,'Dummy Table'!B4:G40,6,FALSE)</f>
        <v>4</v>
      </c>
      <c r="AA14" s="55">
        <f>X14-Z14</f>
        <v>-2</v>
      </c>
      <c r="AB14" s="55">
        <f>U14*3+V14*1</f>
        <v>1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1</v>
      </c>
      <c r="G15" s="185">
        <v>1</v>
      </c>
      <c r="H15" s="50" t="s">
        <v>5</v>
      </c>
      <c r="I15" s="51"/>
      <c r="J15" s="51"/>
      <c r="K15" s="51"/>
      <c r="L15" s="269"/>
      <c r="M15" s="52" t="str">
        <f t="shared" si="0"/>
        <v/>
      </c>
      <c r="N15" s="31"/>
      <c r="O15" s="242" t="s">
        <v>47</v>
      </c>
      <c r="P15" s="243"/>
      <c r="Q15" s="243"/>
      <c r="R15" s="243"/>
      <c r="S15" s="243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2</v>
      </c>
      <c r="G16" s="185">
        <v>1</v>
      </c>
      <c r="H16" s="50" t="s">
        <v>15</v>
      </c>
      <c r="I16" s="51"/>
      <c r="J16" s="51"/>
      <c r="K16" s="51"/>
      <c r="L16" s="269"/>
      <c r="M16" s="52" t="str">
        <f t="shared" si="0"/>
        <v>Austria</v>
      </c>
      <c r="N16" s="31"/>
      <c r="O16" s="123">
        <v>1</v>
      </c>
      <c r="P16" s="244" t="str">
        <f>VLOOKUP(1,'Dummy Table'!A11:B15,2,FALSE)</f>
        <v>Belgium</v>
      </c>
      <c r="Q16" s="244"/>
      <c r="R16" s="244"/>
      <c r="S16" s="244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8</v>
      </c>
      <c r="Y16" s="57" t="s">
        <v>45</v>
      </c>
      <c r="Z16" s="56">
        <f>VLOOKUP(P16,'Dummy Table'!B4:G40,6,FALSE)</f>
        <v>1</v>
      </c>
      <c r="AA16" s="56">
        <f>X16-Z16</f>
        <v>7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3</v>
      </c>
      <c r="G17" s="185">
        <v>1</v>
      </c>
      <c r="H17" s="50" t="s">
        <v>25</v>
      </c>
      <c r="I17" s="51"/>
      <c r="J17" s="51"/>
      <c r="K17" s="51"/>
      <c r="L17" s="269"/>
      <c r="M17" s="52" t="str">
        <f t="shared" si="0"/>
        <v>Netherlands</v>
      </c>
      <c r="N17" s="31"/>
      <c r="O17" s="123">
        <v>2</v>
      </c>
      <c r="P17" s="245" t="str">
        <f>VLOOKUP(2,'Dummy Table'!A11:B15,2,FALSE)</f>
        <v>Denmark</v>
      </c>
      <c r="Q17" s="245"/>
      <c r="R17" s="245"/>
      <c r="S17" s="245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1</v>
      </c>
      <c r="W17" s="58">
        <f>VLOOKUP(P17,'Dummy Table'!B4:E40,4,FALSE)</f>
        <v>1</v>
      </c>
      <c r="X17" s="58">
        <f>VLOOKUP(P17,'Dummy Table'!B4:F40,5,FALSE)</f>
        <v>5</v>
      </c>
      <c r="Y17" s="58" t="s">
        <v>45</v>
      </c>
      <c r="Z17" s="58">
        <f>VLOOKUP(P17,'Dummy Table'!B4:G40,6,FALSE)</f>
        <v>6</v>
      </c>
      <c r="AA17" s="58">
        <f>X17-Z17</f>
        <v>-1</v>
      </c>
      <c r="AB17" s="58">
        <f>U17*3+V17*1</f>
        <v>4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1</v>
      </c>
      <c r="G18" s="185">
        <v>0</v>
      </c>
      <c r="H18" s="50" t="s">
        <v>6</v>
      </c>
      <c r="I18" s="51"/>
      <c r="J18" s="51"/>
      <c r="K18" s="51"/>
      <c r="L18" s="269"/>
      <c r="M18" s="52" t="str">
        <f t="shared" si="0"/>
        <v>Scotland</v>
      </c>
      <c r="N18" s="31"/>
      <c r="O18" s="124">
        <v>3</v>
      </c>
      <c r="P18" s="246" t="str">
        <f>VLOOKUP(3,'Dummy Table'!A11:B15,2,FALSE)</f>
        <v>Russia</v>
      </c>
      <c r="Q18" s="246"/>
      <c r="R18" s="246"/>
      <c r="S18" s="246"/>
      <c r="T18" s="59">
        <f t="shared" si="2"/>
        <v>3</v>
      </c>
      <c r="U18" s="59">
        <f>VLOOKUP(P18,'Dummy Table'!B4:C40,2,FALSE)</f>
        <v>0</v>
      </c>
      <c r="V18" s="59">
        <f>VLOOKUP(P18,'Dummy Table'!B4:D40,3,FALSE)</f>
        <v>2</v>
      </c>
      <c r="W18" s="59">
        <f>VLOOKUP(P18,'Dummy Table'!B4:E40,4,FALSE)</f>
        <v>1</v>
      </c>
      <c r="X18" s="59">
        <f>VLOOKUP(P18,'Dummy Table'!B4:F40,5,FALSE)</f>
        <v>3</v>
      </c>
      <c r="Y18" s="59" t="s">
        <v>45</v>
      </c>
      <c r="Z18" s="59">
        <f>VLOOKUP(P18,'Dummy Table'!B4:G40,6,FALSE)</f>
        <v>6</v>
      </c>
      <c r="AA18" s="59">
        <f>X18-Z18</f>
        <v>-3</v>
      </c>
      <c r="AB18" s="59">
        <f>U18*3+V18*1</f>
        <v>2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3</v>
      </c>
      <c r="G19" s="185">
        <v>0</v>
      </c>
      <c r="H19" s="50" t="s">
        <v>20</v>
      </c>
      <c r="I19" s="51"/>
      <c r="J19" s="51"/>
      <c r="K19" s="51"/>
      <c r="L19" s="269"/>
      <c r="M19" s="52" t="str">
        <f t="shared" si="0"/>
        <v>Poland</v>
      </c>
      <c r="N19" s="31"/>
      <c r="O19" s="122">
        <v>4</v>
      </c>
      <c r="P19" s="247" t="str">
        <f>VLOOKUP(4,'Dummy Table'!A11:B15,2,FALSE)</f>
        <v>Finland</v>
      </c>
      <c r="Q19" s="247"/>
      <c r="R19" s="247"/>
      <c r="S19" s="247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1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5</v>
      </c>
      <c r="AA19" s="55">
        <f>X19-Z19</f>
        <v>-3</v>
      </c>
      <c r="AB19" s="55">
        <f>U19*3+V19*1</f>
        <v>1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2</v>
      </c>
      <c r="G20" s="185">
        <v>1</v>
      </c>
      <c r="H20" s="50" t="s">
        <v>22</v>
      </c>
      <c r="I20" s="51"/>
      <c r="J20" s="51"/>
      <c r="K20" s="51"/>
      <c r="L20" s="269"/>
      <c r="M20" s="52" t="str">
        <f t="shared" si="0"/>
        <v>Spain</v>
      </c>
      <c r="N20" s="31"/>
      <c r="O20" s="242" t="s">
        <v>50</v>
      </c>
      <c r="P20" s="243"/>
      <c r="Q20" s="243"/>
      <c r="R20" s="243"/>
      <c r="S20" s="243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0</v>
      </c>
      <c r="G21" s="185">
        <v>3</v>
      </c>
      <c r="H21" s="50" t="s">
        <v>17</v>
      </c>
      <c r="I21" s="51"/>
      <c r="J21" s="51"/>
      <c r="K21" s="51"/>
      <c r="L21" s="269"/>
      <c r="M21" s="52" t="str">
        <f t="shared" si="0"/>
        <v>Portugal</v>
      </c>
      <c r="N21" s="31"/>
      <c r="O21" s="125">
        <v>1</v>
      </c>
      <c r="P21" s="253" t="str">
        <f>VLOOKUP(1,'Dummy Table'!A18:B22,2,FALSE)</f>
        <v>Netherlands</v>
      </c>
      <c r="Q21" s="253"/>
      <c r="R21" s="253"/>
      <c r="S21" s="253"/>
      <c r="T21" s="60">
        <f>SUM(U21:W21)</f>
        <v>3</v>
      </c>
      <c r="U21" s="60">
        <f>VLOOKUP(P21,'Dummy Table'!B4:C40,2,FALSE)</f>
        <v>2</v>
      </c>
      <c r="V21" s="60">
        <f>VLOOKUP(P21,'Dummy Table'!B4:D40,3,FALSE)</f>
        <v>1</v>
      </c>
      <c r="W21" s="60">
        <f>VLOOKUP(P21,'Dummy Table'!B4:E40,4,FALSE)</f>
        <v>0</v>
      </c>
      <c r="X21" s="60">
        <f>VLOOKUP(P21,'Dummy Table'!B4:F40,5,FALSE)</f>
        <v>7</v>
      </c>
      <c r="Y21" s="61" t="s">
        <v>45</v>
      </c>
      <c r="Z21" s="60">
        <f>VLOOKUP(P21,'Dummy Table'!B4:G40,6,FALSE)</f>
        <v>4</v>
      </c>
      <c r="AA21" s="60">
        <f>X21-Z21</f>
        <v>3</v>
      </c>
      <c r="AB21" s="60">
        <f>U21*3+V21*1</f>
        <v>7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2</v>
      </c>
      <c r="G22" s="186">
        <v>1</v>
      </c>
      <c r="H22" s="66" t="s">
        <v>11</v>
      </c>
      <c r="I22" s="67"/>
      <c r="J22" s="67"/>
      <c r="K22" s="68"/>
      <c r="L22" s="270"/>
      <c r="M22" s="69" t="str">
        <f t="shared" si="0"/>
        <v>France</v>
      </c>
      <c r="N22" s="31"/>
      <c r="O22" s="125">
        <v>2</v>
      </c>
      <c r="P22" s="274" t="str">
        <f>VLOOKUP(2,'Dummy Table'!A18:B22,2,FALSE)</f>
        <v>Austria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1</v>
      </c>
      <c r="V22" s="70">
        <f>VLOOKUP(P22,'Dummy Table'!B4:D40,3,FALSE)</f>
        <v>2</v>
      </c>
      <c r="W22" s="70">
        <f>VLOOKUP(P22,'Dummy Table'!B4:E40,4,FALSE)</f>
        <v>0</v>
      </c>
      <c r="X22" s="70">
        <f>VLOOKUP(P22,'Dummy Table'!B4:F40,5,FALSE)</f>
        <v>5</v>
      </c>
      <c r="Y22" s="70" t="s">
        <v>45</v>
      </c>
      <c r="Z22" s="70">
        <f>VLOOKUP(P22,'Dummy Table'!B4:G40,6,FALSE)</f>
        <v>4</v>
      </c>
      <c r="AA22" s="70">
        <f>X22-Z22</f>
        <v>1</v>
      </c>
      <c r="AB22" s="70">
        <f>U22*3+V22*1</f>
        <v>5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1</v>
      </c>
      <c r="G23" s="184">
        <v>1</v>
      </c>
      <c r="H23" s="75" t="s">
        <v>18</v>
      </c>
      <c r="I23" s="76"/>
      <c r="J23" s="76"/>
      <c r="K23" s="76"/>
      <c r="L23" s="248">
        <v>2</v>
      </c>
      <c r="M23" s="77" t="str">
        <f t="shared" si="0"/>
        <v/>
      </c>
      <c r="N23" s="31"/>
      <c r="O23" s="126">
        <v>3</v>
      </c>
      <c r="P23" s="252" t="str">
        <f>VLOOKUP(3,'Dummy Table'!A18:B22,2,FALSE)</f>
        <v>Ukraine</v>
      </c>
      <c r="Q23" s="252"/>
      <c r="R23" s="252"/>
      <c r="S23" s="252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1</v>
      </c>
      <c r="W23" s="78">
        <f>VLOOKUP(P23,'Dummy Table'!B4:E40,4,FALSE)</f>
        <v>1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4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1</v>
      </c>
      <c r="G24" s="185">
        <v>2</v>
      </c>
      <c r="H24" s="83" t="s">
        <v>26</v>
      </c>
      <c r="I24" s="84"/>
      <c r="J24" s="84"/>
      <c r="K24" s="84"/>
      <c r="L24" s="249"/>
      <c r="M24" s="85" t="str">
        <f t="shared" si="0"/>
        <v>Wales</v>
      </c>
      <c r="N24" s="31"/>
      <c r="O24" s="122">
        <v>4</v>
      </c>
      <c r="P24" s="247" t="str">
        <f>VLOOKUP(4,'Dummy Table'!A18:B22,2,FALSE)</f>
        <v>North Macedonia</v>
      </c>
      <c r="Q24" s="247"/>
      <c r="R24" s="247"/>
      <c r="S24" s="247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3</v>
      </c>
      <c r="Y24" s="55" t="s">
        <v>45</v>
      </c>
      <c r="Z24" s="55">
        <f>VLOOKUP(P24,'Dummy Table'!B4:G40,6,FALSE)</f>
        <v>6</v>
      </c>
      <c r="AA24" s="55">
        <f>X24-Z24</f>
        <v>-3</v>
      </c>
      <c r="AB24" s="55">
        <f>U24*3+V24*1</f>
        <v>0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1</v>
      </c>
      <c r="G25" s="185">
        <v>0</v>
      </c>
      <c r="H25" s="83" t="s">
        <v>23</v>
      </c>
      <c r="I25" s="84"/>
      <c r="J25" s="84"/>
      <c r="K25" s="84"/>
      <c r="L25" s="249"/>
      <c r="M25" s="85" t="str">
        <f t="shared" si="0"/>
        <v>Italy</v>
      </c>
      <c r="N25" s="31"/>
      <c r="O25" s="242" t="s">
        <v>51</v>
      </c>
      <c r="P25" s="243"/>
      <c r="Q25" s="243"/>
      <c r="R25" s="243"/>
      <c r="S25" s="243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2</v>
      </c>
      <c r="G26" s="185">
        <v>1</v>
      </c>
      <c r="H26" s="83" t="s">
        <v>15</v>
      </c>
      <c r="I26" s="84"/>
      <c r="J26" s="84"/>
      <c r="K26" s="84"/>
      <c r="L26" s="249"/>
      <c r="M26" s="85" t="str">
        <f t="shared" si="0"/>
        <v>Ukraine</v>
      </c>
      <c r="N26" s="31"/>
      <c r="O26" s="127">
        <v>1</v>
      </c>
      <c r="P26" s="277" t="str">
        <f>VLOOKUP(1,'Dummy Table'!A25:B29,2,FALSE)</f>
        <v>England</v>
      </c>
      <c r="Q26" s="277"/>
      <c r="R26" s="277"/>
      <c r="S26" s="277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6</v>
      </c>
      <c r="Y26" s="87" t="s">
        <v>45</v>
      </c>
      <c r="Z26" s="86">
        <f>VLOOKUP(P26,'Dummy Table'!B4:G40,6,FALSE)</f>
        <v>3</v>
      </c>
      <c r="AA26" s="86">
        <f>X26-Z26</f>
        <v>3</v>
      </c>
      <c r="AB26" s="86">
        <f>U26*3+V26*1</f>
        <v>7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1</v>
      </c>
      <c r="G27" s="185">
        <v>3</v>
      </c>
      <c r="H27" s="83" t="s">
        <v>4</v>
      </c>
      <c r="I27" s="84"/>
      <c r="J27" s="84"/>
      <c r="K27" s="84"/>
      <c r="L27" s="249"/>
      <c r="M27" s="85" t="str">
        <f t="shared" si="0"/>
        <v>Belgium</v>
      </c>
      <c r="N27" s="31"/>
      <c r="O27" s="127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2</v>
      </c>
      <c r="V27" s="88">
        <f>VLOOKUP(P27,'Dummy Table'!B4:D40,3,FALSE)</f>
        <v>1</v>
      </c>
      <c r="W27" s="88">
        <f>VLOOKUP(P27,'Dummy Table'!B4:E40,4,FALSE)</f>
        <v>0</v>
      </c>
      <c r="X27" s="88">
        <f>VLOOKUP(P27,'Dummy Table'!B4:F40,5,FALSE)</f>
        <v>5</v>
      </c>
      <c r="Y27" s="88" t="s">
        <v>45</v>
      </c>
      <c r="Z27" s="88">
        <f>VLOOKUP(P27,'Dummy Table'!B4:G40,6,FALSE)</f>
        <v>2</v>
      </c>
      <c r="AA27" s="88">
        <f>X27-Z27</f>
        <v>3</v>
      </c>
      <c r="AB27" s="88">
        <f>U27*3+V27*1</f>
        <v>7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2</v>
      </c>
      <c r="G28" s="185">
        <v>2</v>
      </c>
      <c r="H28" s="83" t="s">
        <v>2</v>
      </c>
      <c r="I28" s="84"/>
      <c r="J28" s="84"/>
      <c r="K28" s="84"/>
      <c r="L28" s="249"/>
      <c r="M28" s="85" t="str">
        <f t="shared" si="0"/>
        <v/>
      </c>
      <c r="N28" s="31"/>
      <c r="O28" s="128">
        <v>3</v>
      </c>
      <c r="P28" s="276" t="str">
        <f>VLOOKUP(3,'Dummy Table'!A25:B29,2,FALSE)</f>
        <v>Scotland</v>
      </c>
      <c r="Q28" s="276"/>
      <c r="R28" s="276"/>
      <c r="S28" s="276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0</v>
      </c>
      <c r="W28" s="89">
        <f>VLOOKUP(P28,'Dummy Table'!B4:E40,4,FALSE)</f>
        <v>2</v>
      </c>
      <c r="X28" s="89">
        <f>VLOOKUP(P28,'Dummy Table'!B4:F40,5,FALSE)</f>
        <v>3</v>
      </c>
      <c r="Y28" s="89" t="s">
        <v>45</v>
      </c>
      <c r="Z28" s="89">
        <f>VLOOKUP(P28,'Dummy Table'!B4:G40,6,FALSE)</f>
        <v>4</v>
      </c>
      <c r="AA28" s="89">
        <f>X28-Z28</f>
        <v>-1</v>
      </c>
      <c r="AB28" s="89">
        <f>U28*3+V28*1</f>
        <v>3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1</v>
      </c>
      <c r="G29" s="185">
        <v>1</v>
      </c>
      <c r="H29" s="83" t="s">
        <v>20</v>
      </c>
      <c r="I29" s="84"/>
      <c r="J29" s="84"/>
      <c r="K29" s="84"/>
      <c r="L29" s="249"/>
      <c r="M29" s="85" t="str">
        <f t="shared" si="0"/>
        <v/>
      </c>
      <c r="N29" s="31"/>
      <c r="O29" s="122">
        <v>4</v>
      </c>
      <c r="P29" s="247" t="str">
        <f>VLOOKUP(4,'Dummy Table'!A25:B29,2,FALSE)</f>
        <v>Czech Republic</v>
      </c>
      <c r="Q29" s="247"/>
      <c r="R29" s="247"/>
      <c r="S29" s="247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0</v>
      </c>
      <c r="W29" s="55">
        <f>VLOOKUP(P29,'Dummy Table'!B4:E40,4,FALSE)</f>
        <v>3</v>
      </c>
      <c r="X29" s="55">
        <f>VLOOKUP(P29,'Dummy Table'!B4:F40,5,FALSE)</f>
        <v>1</v>
      </c>
      <c r="Y29" s="55" t="s">
        <v>45</v>
      </c>
      <c r="Z29" s="55">
        <f>VLOOKUP(P29,'Dummy Table'!B4:G40,6,FALSE)</f>
        <v>6</v>
      </c>
      <c r="AA29" s="55">
        <f>X29-Z29</f>
        <v>-5</v>
      </c>
      <c r="AB29" s="55">
        <f>U29*3+V29*1</f>
        <v>0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2</v>
      </c>
      <c r="G30" s="185">
        <v>0</v>
      </c>
      <c r="H30" s="83" t="s">
        <v>6</v>
      </c>
      <c r="I30" s="84"/>
      <c r="J30" s="84"/>
      <c r="K30" s="84"/>
      <c r="L30" s="249"/>
      <c r="M30" s="85" t="str">
        <f t="shared" si="0"/>
        <v>Croatia</v>
      </c>
      <c r="N30" s="31"/>
      <c r="O30" s="242" t="s">
        <v>52</v>
      </c>
      <c r="P30" s="243"/>
      <c r="Q30" s="243"/>
      <c r="R30" s="243"/>
      <c r="S30" s="243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2</v>
      </c>
      <c r="G31" s="185">
        <v>1</v>
      </c>
      <c r="H31" s="83" t="s">
        <v>19</v>
      </c>
      <c r="I31" s="84"/>
      <c r="J31" s="84"/>
      <c r="K31" s="84"/>
      <c r="L31" s="249"/>
      <c r="M31" s="85" t="str">
        <f t="shared" si="0"/>
        <v>England</v>
      </c>
      <c r="N31" s="31"/>
      <c r="O31" s="129">
        <v>1</v>
      </c>
      <c r="P31" s="286" t="str">
        <f>VLOOKUP(1,'Dummy Table'!A31:B35,2,FALSE)</f>
        <v>Poland</v>
      </c>
      <c r="Q31" s="286"/>
      <c r="R31" s="286"/>
      <c r="S31" s="286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7</v>
      </c>
      <c r="Y31" s="91" t="s">
        <v>45</v>
      </c>
      <c r="Z31" s="90">
        <f>VLOOKUP(P31,'Dummy Table'!B4:G40,6,FALSE)</f>
        <v>3</v>
      </c>
      <c r="AA31" s="90">
        <f>X31-Z31</f>
        <v>4</v>
      </c>
      <c r="AB31" s="90">
        <f>U31*3+V31*1</f>
        <v>7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0</v>
      </c>
      <c r="G32" s="185">
        <v>3</v>
      </c>
      <c r="H32" s="83" t="s">
        <v>10</v>
      </c>
      <c r="I32" s="84"/>
      <c r="J32" s="84"/>
      <c r="K32" s="84"/>
      <c r="L32" s="249"/>
      <c r="M32" s="85" t="str">
        <f t="shared" si="0"/>
        <v>France</v>
      </c>
      <c r="N32" s="31"/>
      <c r="O32" s="129">
        <v>2</v>
      </c>
      <c r="P32" s="251" t="str">
        <f>VLOOKUP(2,'Dummy Table'!A31:B35,2,FALSE)</f>
        <v>Spain</v>
      </c>
      <c r="Q32" s="251"/>
      <c r="R32" s="251"/>
      <c r="S32" s="251"/>
      <c r="T32" s="92">
        <f t="shared" ref="T32:T34" si="5">SUM(U32:W32)</f>
        <v>3</v>
      </c>
      <c r="U32" s="92">
        <f>VLOOKUP(P32,'Dummy Table'!B4:C40,2,FALSE)</f>
        <v>2</v>
      </c>
      <c r="V32" s="92">
        <f>VLOOKUP(P32,'Dummy Table'!B4:D40,3,FALSE)</f>
        <v>1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3</v>
      </c>
      <c r="AA32" s="92">
        <f>X32-Z32</f>
        <v>3</v>
      </c>
      <c r="AB32" s="92">
        <f>U32*3+V32*1</f>
        <v>7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3</v>
      </c>
      <c r="G33" s="185">
        <v>1</v>
      </c>
      <c r="H33" s="83" t="s">
        <v>11</v>
      </c>
      <c r="I33" s="84"/>
      <c r="J33" s="84"/>
      <c r="K33" s="84"/>
      <c r="L33" s="249"/>
      <c r="M33" s="85" t="str">
        <f t="shared" si="0"/>
        <v>Portugal</v>
      </c>
      <c r="N33" s="31"/>
      <c r="O33" s="130">
        <v>3</v>
      </c>
      <c r="P33" s="287" t="str">
        <f>VLOOKUP(3,'Dummy Table'!A31:B35,2,FALSE)</f>
        <v>Sweden</v>
      </c>
      <c r="Q33" s="287"/>
      <c r="R33" s="287"/>
      <c r="S33" s="287"/>
      <c r="T33" s="93">
        <f t="shared" si="5"/>
        <v>3</v>
      </c>
      <c r="U33" s="93">
        <f>VLOOKUP(P33,'Dummy Table'!B4:C40,2,FALSE)</f>
        <v>0</v>
      </c>
      <c r="V33" s="93">
        <f>VLOOKUP(P33,'Dummy Table'!B4:D40,3,FALSE)</f>
        <v>1</v>
      </c>
      <c r="W33" s="93">
        <f>VLOOKUP(P33,'Dummy Table'!B4:E40,4,FALSE)</f>
        <v>2</v>
      </c>
      <c r="X33" s="93">
        <f>VLOOKUP(P33,'Dummy Table'!B4:F40,5,FALSE)</f>
        <v>3</v>
      </c>
      <c r="Y33" s="93" t="s">
        <v>45</v>
      </c>
      <c r="Z33" s="93">
        <f>VLOOKUP(P33,'Dummy Table'!B4:G40,6,FALSE)</f>
        <v>5</v>
      </c>
      <c r="AA33" s="93">
        <f>X33-Z33</f>
        <v>-2</v>
      </c>
      <c r="AB33" s="93">
        <f>U33*3+V33*1</f>
        <v>1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2</v>
      </c>
      <c r="G34" s="186">
        <v>2</v>
      </c>
      <c r="H34" s="98" t="s">
        <v>16</v>
      </c>
      <c r="I34" s="99"/>
      <c r="J34" s="99"/>
      <c r="K34" s="100"/>
      <c r="L34" s="250"/>
      <c r="M34" s="101" t="str">
        <f t="shared" si="0"/>
        <v/>
      </c>
      <c r="N34" s="31"/>
      <c r="O34" s="122">
        <v>4</v>
      </c>
      <c r="P34" s="247" t="str">
        <f>VLOOKUP(4,'Dummy Table'!A31:B35,2,FALSE)</f>
        <v>Slovakia</v>
      </c>
      <c r="Q34" s="247"/>
      <c r="R34" s="247"/>
      <c r="S34" s="247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1</v>
      </c>
      <c r="Y34" s="55" t="s">
        <v>45</v>
      </c>
      <c r="Z34" s="55">
        <f>VLOOKUP(P34,'Dummy Table'!B4:G40,6,FALSE)</f>
        <v>6</v>
      </c>
      <c r="AA34" s="55">
        <f>X34-Z34</f>
        <v>-5</v>
      </c>
      <c r="AB34" s="55">
        <f>U34*3+V34*1</f>
        <v>1</v>
      </c>
      <c r="AC34" s="168"/>
      <c r="AD34" s="31"/>
      <c r="AE34" s="14"/>
      <c r="AH34" s="16"/>
      <c r="CY34" s="14"/>
    </row>
    <row r="35" spans="1:103" s="17" customFormat="1" ht="15" customHeight="1" x14ac:dyDescent="0.2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1</v>
      </c>
      <c r="G35" s="210">
        <v>2</v>
      </c>
      <c r="H35" s="211" t="s">
        <v>24</v>
      </c>
      <c r="I35" s="212"/>
      <c r="J35" s="212"/>
      <c r="K35" s="212"/>
      <c r="L35" s="288">
        <v>3</v>
      </c>
      <c r="M35" s="102" t="str">
        <f t="shared" si="0"/>
        <v>Turkey</v>
      </c>
      <c r="N35" s="31"/>
      <c r="O35" s="242" t="s">
        <v>53</v>
      </c>
      <c r="P35" s="243"/>
      <c r="Q35" s="243"/>
      <c r="R35" s="243"/>
      <c r="S35" s="243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2</v>
      </c>
      <c r="G36" s="185">
        <v>1</v>
      </c>
      <c r="H36" s="50" t="s">
        <v>26</v>
      </c>
      <c r="I36" s="51"/>
      <c r="J36" s="51"/>
      <c r="K36" s="51"/>
      <c r="L36" s="269"/>
      <c r="M36" s="52" t="str">
        <f t="shared" si="0"/>
        <v>Italy</v>
      </c>
      <c r="N36" s="31"/>
      <c r="O36" s="131">
        <v>1</v>
      </c>
      <c r="P36" s="289" t="str">
        <f>VLOOKUP(1,'Dummy Table'!A37:B41,2,FALSE)</f>
        <v>Portugal</v>
      </c>
      <c r="Q36" s="289"/>
      <c r="R36" s="289"/>
      <c r="S36" s="289"/>
      <c r="T36" s="103">
        <f>SUM(U36:W36)</f>
        <v>3</v>
      </c>
      <c r="U36" s="103">
        <f>VLOOKUP(P36,'Dummy Table'!B4:C40,2,FALSE)</f>
        <v>2</v>
      </c>
      <c r="V36" s="103">
        <f>VLOOKUP(P36,'Dummy Table'!B4:D40,3,FALSE)</f>
        <v>1</v>
      </c>
      <c r="W36" s="103">
        <f>VLOOKUP(P36,'Dummy Table'!B4:E40,4,FALSE)</f>
        <v>0</v>
      </c>
      <c r="X36" s="103">
        <f>VLOOKUP(P36,'Dummy Table'!B4:F40,5,FALSE)</f>
        <v>8</v>
      </c>
      <c r="Y36" s="104" t="s">
        <v>45</v>
      </c>
      <c r="Z36" s="103">
        <f>VLOOKUP(P36,'Dummy Table'!B4:G40,6,FALSE)</f>
        <v>3</v>
      </c>
      <c r="AA36" s="103">
        <f>X36-Z36</f>
        <v>5</v>
      </c>
      <c r="AB36" s="103">
        <f>U36*3+V36*1</f>
        <v>7</v>
      </c>
      <c r="AC36" s="168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1</v>
      </c>
      <c r="G37" s="185">
        <v>2</v>
      </c>
      <c r="H37" s="50" t="s">
        <v>14</v>
      </c>
      <c r="I37" s="51"/>
      <c r="J37" s="51"/>
      <c r="K37" s="51"/>
      <c r="L37" s="269"/>
      <c r="M37" s="52" t="str">
        <f t="shared" si="0"/>
        <v>Netherlands</v>
      </c>
      <c r="N37" s="31"/>
      <c r="O37" s="131">
        <v>2</v>
      </c>
      <c r="P37" s="278" t="str">
        <f>VLOOKUP(2,'Dummy Table'!A37:B41,2,FALSE)</f>
        <v>France</v>
      </c>
      <c r="Q37" s="278"/>
      <c r="R37" s="278"/>
      <c r="S37" s="278"/>
      <c r="T37" s="105">
        <f t="shared" ref="T37:T39" si="6">SUM(U37:W37)</f>
        <v>3</v>
      </c>
      <c r="U37" s="105">
        <f>VLOOKUP(P37,'Dummy Table'!B4:C40,2,FALSE)</f>
        <v>2</v>
      </c>
      <c r="V37" s="105">
        <f>VLOOKUP(P37,'Dummy Table'!B4:D40,3,FALSE)</f>
        <v>1</v>
      </c>
      <c r="W37" s="105">
        <f>VLOOKUP(P37,'Dummy Table'!B4:E40,4,FALSE)</f>
        <v>0</v>
      </c>
      <c r="X37" s="105">
        <f>VLOOKUP(P37,'Dummy Table'!B4:F40,5,FALSE)</f>
        <v>7</v>
      </c>
      <c r="Y37" s="105" t="s">
        <v>45</v>
      </c>
      <c r="Z37" s="105">
        <f>VLOOKUP(P37,'Dummy Table'!B4:G40,6,FALSE)</f>
        <v>3</v>
      </c>
      <c r="AA37" s="105">
        <f>X37-Z37</f>
        <v>4</v>
      </c>
      <c r="AB37" s="105">
        <f>U37*3+V37*1</f>
        <v>7</v>
      </c>
      <c r="AC37" s="168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1</v>
      </c>
      <c r="G38" s="185">
        <v>1</v>
      </c>
      <c r="H38" s="50" t="s">
        <v>2</v>
      </c>
      <c r="I38" s="51"/>
      <c r="J38" s="51"/>
      <c r="K38" s="51"/>
      <c r="L38" s="269"/>
      <c r="M38" s="52" t="str">
        <f t="shared" si="0"/>
        <v/>
      </c>
      <c r="N38" s="31"/>
      <c r="O38" s="132">
        <v>3</v>
      </c>
      <c r="P38" s="279" t="str">
        <f>VLOOKUP(3,'Dummy Table'!A37:B41,2,FALSE)</f>
        <v>Germany</v>
      </c>
      <c r="Q38" s="279"/>
      <c r="R38" s="279"/>
      <c r="S38" s="279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0</v>
      </c>
      <c r="W38" s="106">
        <f>VLOOKUP(P38,'Dummy Table'!B4:E40,4,FALSE)</f>
        <v>2</v>
      </c>
      <c r="X38" s="106">
        <f>VLOOKUP(P38,'Dummy Table'!B4:F40,5,FALSE)</f>
        <v>4</v>
      </c>
      <c r="Y38" s="106" t="s">
        <v>45</v>
      </c>
      <c r="Z38" s="106">
        <f>VLOOKUP(P38,'Dummy Table'!B4:G40,6,FALSE)</f>
        <v>6</v>
      </c>
      <c r="AA38" s="106">
        <f>X38-Z38</f>
        <v>-2</v>
      </c>
      <c r="AB38" s="106">
        <f>U38*3+V38*1</f>
        <v>3</v>
      </c>
      <c r="AC38" s="168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2</v>
      </c>
      <c r="G39" s="185">
        <v>2</v>
      </c>
      <c r="H39" s="50" t="s">
        <v>7</v>
      </c>
      <c r="I39" s="51"/>
      <c r="J39" s="51"/>
      <c r="K39" s="51"/>
      <c r="L39" s="269"/>
      <c r="M39" s="52" t="str">
        <f t="shared" si="0"/>
        <v/>
      </c>
      <c r="N39" s="31"/>
      <c r="O39" s="122">
        <v>4</v>
      </c>
      <c r="P39" s="247" t="str">
        <f>VLOOKUP(4,'Dummy Table'!A37:B41,2,FALSE)</f>
        <v>Hungary</v>
      </c>
      <c r="Q39" s="247"/>
      <c r="R39" s="247"/>
      <c r="S39" s="247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1</v>
      </c>
      <c r="Y39" s="55" t="s">
        <v>45</v>
      </c>
      <c r="Z39" s="55">
        <f>VLOOKUP(P39,'Dummy Table'!B4:G40,6,FALSE)</f>
        <v>8</v>
      </c>
      <c r="AA39" s="55">
        <f>X39-Z39</f>
        <v>-7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0</v>
      </c>
      <c r="G40" s="185">
        <v>2</v>
      </c>
      <c r="H40" s="50" t="s">
        <v>4</v>
      </c>
      <c r="I40" s="51"/>
      <c r="J40" s="51"/>
      <c r="K40" s="51"/>
      <c r="L40" s="269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2</v>
      </c>
      <c r="G41" s="185">
        <v>1</v>
      </c>
      <c r="H41" s="50" t="s">
        <v>19</v>
      </c>
      <c r="I41" s="51"/>
      <c r="J41" s="51"/>
      <c r="K41" s="51"/>
      <c r="L41" s="269"/>
      <c r="M41" s="52" t="str">
        <f t="shared" si="0"/>
        <v>Croatia</v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1</v>
      </c>
      <c r="G42" s="185">
        <v>3</v>
      </c>
      <c r="H42" s="50" t="s">
        <v>8</v>
      </c>
      <c r="I42" s="51"/>
      <c r="J42" s="51"/>
      <c r="K42" s="51"/>
      <c r="L42" s="269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1</v>
      </c>
      <c r="G43" s="185">
        <v>2</v>
      </c>
      <c r="H43" s="50" t="s">
        <v>16</v>
      </c>
      <c r="I43" s="51"/>
      <c r="J43" s="51"/>
      <c r="K43" s="51"/>
      <c r="L43" s="269"/>
      <c r="M43" s="52" t="str">
        <f t="shared" si="0"/>
        <v>Poland</v>
      </c>
      <c r="N43" s="31"/>
      <c r="O43" s="139">
        <v>1</v>
      </c>
      <c r="P43" s="280" t="str">
        <f>INDEX('Dummy Table'!DH3:DH8,MATCH(Matches!O43,'Dummy Table'!DU3:DU8,0),0)</f>
        <v>Ukraine</v>
      </c>
      <c r="Q43" s="280"/>
      <c r="R43" s="280"/>
      <c r="S43" s="280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4</v>
      </c>
      <c r="Y43" s="111" t="s">
        <v>45</v>
      </c>
      <c r="Z43" s="111">
        <f>VLOOKUP(P43,P11:AB39,11,FALSE)</f>
        <v>5</v>
      </c>
      <c r="AA43" s="111">
        <f>VLOOKUP(P43,P11:AB39,12,FALSE)</f>
        <v>-1</v>
      </c>
      <c r="AB43" s="111">
        <f>VLOOKUP(P43,P11:AB39,13,FALSE)</f>
        <v>4</v>
      </c>
      <c r="AC43" s="140" t="str">
        <f>INDEX('Dummy Table'!DV3:DV8,MATCH(Matches!O43,'Dummy Table'!DU3:DU8,0),0)</f>
        <v>C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0</v>
      </c>
      <c r="G44" s="185">
        <v>2</v>
      </c>
      <c r="H44" s="50" t="s">
        <v>21</v>
      </c>
      <c r="I44" s="51"/>
      <c r="J44" s="51"/>
      <c r="K44" s="51"/>
      <c r="L44" s="269"/>
      <c r="M44" s="52" t="str">
        <f t="shared" si="0"/>
        <v>Spain</v>
      </c>
      <c r="N44" s="31"/>
      <c r="O44" s="139">
        <v>2</v>
      </c>
      <c r="P44" s="280" t="str">
        <f>INDEX('Dummy Table'!DH3:DH8,MATCH(Matches!O44,'Dummy Table'!DU3:DU8,0),0)</f>
        <v>Scotland</v>
      </c>
      <c r="Q44" s="280"/>
      <c r="R44" s="280"/>
      <c r="S44" s="280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0</v>
      </c>
      <c r="W44" s="111">
        <f>VLOOKUP(P44,P11:AB39,8,FALSE)</f>
        <v>2</v>
      </c>
      <c r="X44" s="111">
        <f>VLOOKUP(P44,P11:AB39,9,FALSE)</f>
        <v>3</v>
      </c>
      <c r="Y44" s="111" t="s">
        <v>45</v>
      </c>
      <c r="Z44" s="111">
        <f>VLOOKUP(P44,P11:AB39,11,FALSE)</f>
        <v>4</v>
      </c>
      <c r="AA44" s="111">
        <f>VLOOKUP(P44,P11:AB39,12,FALSE)</f>
        <v>-1</v>
      </c>
      <c r="AB44" s="111">
        <f>VLOOKUP(P44,P11:AB39,13,FALSE)</f>
        <v>3</v>
      </c>
      <c r="AC44" s="140" t="str">
        <f>INDEX('Dummy Table'!DV3:DV8,MATCH(Matches!O44,'Dummy Table'!DU3:DU8,0),0)</f>
        <v>D</v>
      </c>
      <c r="AD44" s="31"/>
      <c r="AE44" s="14"/>
      <c r="AH44" s="16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2</v>
      </c>
      <c r="G45" s="185">
        <v>2</v>
      </c>
      <c r="H45" s="50" t="s">
        <v>10</v>
      </c>
      <c r="I45" s="51"/>
      <c r="J45" s="51"/>
      <c r="K45" s="51"/>
      <c r="L45" s="269"/>
      <c r="M45" s="52" t="str">
        <f t="shared" si="0"/>
        <v/>
      </c>
      <c r="N45" s="31"/>
      <c r="O45" s="139">
        <v>3</v>
      </c>
      <c r="P45" s="280" t="str">
        <f>INDEX('Dummy Table'!DH3:DH8,MATCH(Matches!O45,'Dummy Table'!DU3:DU8,0),0)</f>
        <v>Germany</v>
      </c>
      <c r="Q45" s="280"/>
      <c r="R45" s="280"/>
      <c r="S45" s="280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0</v>
      </c>
      <c r="W45" s="111">
        <f>VLOOKUP(P45,P11:AB39,8,FALSE)</f>
        <v>2</v>
      </c>
      <c r="X45" s="111">
        <f>VLOOKUP(P45,P11:AB39,9,FALSE)</f>
        <v>4</v>
      </c>
      <c r="Y45" s="111" t="s">
        <v>45</v>
      </c>
      <c r="Z45" s="111">
        <f>VLOOKUP(P45,P11:AB39,11,FALSE)</f>
        <v>6</v>
      </c>
      <c r="AA45" s="111">
        <f>VLOOKUP(P45,P11:AB39,12,FALSE)</f>
        <v>-2</v>
      </c>
      <c r="AB45" s="111">
        <f>VLOOKUP(P45,P11:AB39,13,FALSE)</f>
        <v>3</v>
      </c>
      <c r="AC45" s="140" t="str">
        <f>INDEX('Dummy Table'!DV3:DV8,MATCH(Matches!O45,'Dummy Table'!DU3:DU8,0),0)</f>
        <v>F</v>
      </c>
      <c r="AD45" s="31"/>
      <c r="AE45" s="14"/>
      <c r="AH45" s="16"/>
      <c r="CY45" s="14"/>
    </row>
    <row r="46" spans="1:103" s="17" customFormat="1" ht="15" customHeight="1" thickBot="1" x14ac:dyDescent="0.25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2</v>
      </c>
      <c r="G46" s="186">
        <v>1</v>
      </c>
      <c r="H46" s="66" t="s">
        <v>12</v>
      </c>
      <c r="I46" s="67"/>
      <c r="J46" s="67"/>
      <c r="K46" s="67"/>
      <c r="L46" s="270"/>
      <c r="M46" s="69" t="str">
        <f>IF(F46&lt;&gt;"",IF(F46&gt;G46,E46,IF(F46&lt;G46,H46,"")),"")</f>
        <v>Germany</v>
      </c>
      <c r="N46" s="31"/>
      <c r="O46" s="139">
        <v>4</v>
      </c>
      <c r="P46" s="280" t="str">
        <f>INDEX('Dummy Table'!DH3:DH8,MATCH(Matches!O46,'Dummy Table'!DU3:DU8,0),0)</f>
        <v>Turkey</v>
      </c>
      <c r="Q46" s="280"/>
      <c r="R46" s="280"/>
      <c r="S46" s="280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3</v>
      </c>
      <c r="Y46" s="111" t="s">
        <v>45</v>
      </c>
      <c r="Z46" s="111">
        <f>VLOOKUP(P46,P11:AB39,11,FALSE)</f>
        <v>5</v>
      </c>
      <c r="AA46" s="111">
        <f>VLOOKUP(P46,P11:AB39,12,FALSE)</f>
        <v>-2</v>
      </c>
      <c r="AB46" s="111">
        <f>VLOOKUP(P46,P11:AB39,13,FALSE)</f>
        <v>3</v>
      </c>
      <c r="AC46" s="140" t="str">
        <f>INDEX('Dummy Table'!DV3:DV8,MATCH(Matches!O46,'Dummy Table'!DU3:DU8,0),0)</f>
        <v>A</v>
      </c>
      <c r="AD46" s="31"/>
      <c r="AE46" s="14"/>
      <c r="AH46" s="16"/>
      <c r="CY46" s="14"/>
    </row>
    <row r="47" spans="1:103" s="17" customFormat="1" ht="15" customHeight="1" thickBot="1" x14ac:dyDescent="0.25">
      <c r="A47" s="16"/>
      <c r="N47" s="31"/>
      <c r="O47" s="141">
        <v>5</v>
      </c>
      <c r="P47" s="281" t="str">
        <f>INDEX('Dummy Table'!DH3:DH8,MATCH(Matches!O47,'Dummy Table'!DU3:DU8,0),0)</f>
        <v>Russia</v>
      </c>
      <c r="Q47" s="281"/>
      <c r="R47" s="281"/>
      <c r="S47" s="281"/>
      <c r="T47" s="112">
        <f>VLOOKUP(P47,P11:AB39,5,FALSE)</f>
        <v>3</v>
      </c>
      <c r="U47" s="112">
        <f>VLOOKUP(P47,P11:AB39,6,FALSE)</f>
        <v>0</v>
      </c>
      <c r="V47" s="112">
        <f>VLOOKUP(P47,P11:AB39,7,FALSE)</f>
        <v>2</v>
      </c>
      <c r="W47" s="112">
        <f>VLOOKUP(P47,P11:AB39,8,FALSE)</f>
        <v>1</v>
      </c>
      <c r="X47" s="112">
        <f>VLOOKUP(P47,P11:AB39,9,FALSE)</f>
        <v>3</v>
      </c>
      <c r="Y47" s="112" t="s">
        <v>45</v>
      </c>
      <c r="Z47" s="112">
        <f>VLOOKUP(P47,P11:AB39,11,FALSE)</f>
        <v>6</v>
      </c>
      <c r="AA47" s="112">
        <f>VLOOKUP(P47,P11:AB39,12,FALSE)</f>
        <v>-3</v>
      </c>
      <c r="AB47" s="112">
        <f>VLOOKUP(P47,P11:AB39,13,FALSE)</f>
        <v>2</v>
      </c>
      <c r="AC47" s="142" t="str">
        <f>INDEX('Dummy Table'!DV3:DV8,MATCH(Matches!O47,'Dummy Table'!DU3:DU8,0),0)</f>
        <v>B</v>
      </c>
      <c r="AD47" s="31"/>
      <c r="AE47" s="14"/>
      <c r="AH47" s="16"/>
      <c r="CY47" s="14"/>
    </row>
    <row r="48" spans="1:103" s="17" customFormat="1" ht="15" customHeight="1" thickBot="1" x14ac:dyDescent="0.25">
      <c r="A48" s="16"/>
      <c r="B48" s="231" t="s">
        <v>134</v>
      </c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3"/>
      <c r="N48" s="31"/>
      <c r="O48" s="143">
        <v>6</v>
      </c>
      <c r="P48" s="282" t="str">
        <f>INDEX('Dummy Table'!DH3:DH8,MATCH(Matches!O48,'Dummy Table'!DU3:DU8,0),0)</f>
        <v>Sweden</v>
      </c>
      <c r="Q48" s="282"/>
      <c r="R48" s="282"/>
      <c r="S48" s="282"/>
      <c r="T48" s="144">
        <f>VLOOKUP(P48,P11:AB39,5,FALSE)</f>
        <v>3</v>
      </c>
      <c r="U48" s="144">
        <f>VLOOKUP(P48,P11:AB39,6,FALSE)</f>
        <v>0</v>
      </c>
      <c r="V48" s="144">
        <f>VLOOKUP(P48,P11:AB39,7,FALSE)</f>
        <v>1</v>
      </c>
      <c r="W48" s="144">
        <f>VLOOKUP(P48,P11:AB39,8,FALSE)</f>
        <v>2</v>
      </c>
      <c r="X48" s="144">
        <f>VLOOKUP(P48,P11:AB39,9,FALSE)</f>
        <v>3</v>
      </c>
      <c r="Y48" s="144" t="s">
        <v>45</v>
      </c>
      <c r="Z48" s="144">
        <f>VLOOKUP(P48,P11:AB39,11,FALSE)</f>
        <v>5</v>
      </c>
      <c r="AA48" s="144">
        <f>VLOOKUP(P48,P11:AB39,12,FALSE)</f>
        <v>-2</v>
      </c>
      <c r="AB48" s="144">
        <f>VLOOKUP(P48,P11:AB39,13,FALSE)</f>
        <v>1</v>
      </c>
      <c r="AC48" s="145" t="str">
        <f>INDEX('Dummy Table'!DV3:DV8,MATCH(Matches!O48,'Dummy Table'!DU3:DU8,0),0)</f>
        <v>E</v>
      </c>
      <c r="AD48" s="31"/>
      <c r="AE48" s="14"/>
      <c r="AH48" s="16"/>
      <c r="CV48" s="14"/>
    </row>
    <row r="49" spans="1:96" s="17" customFormat="1" ht="15" customHeight="1" x14ac:dyDescent="0.2">
      <c r="A49" s="16"/>
      <c r="B49" s="217" t="s">
        <v>10</v>
      </c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9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2">
      <c r="A50" s="16"/>
      <c r="B50" s="234" t="s">
        <v>4</v>
      </c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6"/>
      <c r="N50" s="31"/>
      <c r="O50" s="283" t="s">
        <v>122</v>
      </c>
      <c r="P50" s="284"/>
      <c r="Q50" s="284"/>
      <c r="R50" s="284"/>
      <c r="S50" s="284"/>
      <c r="T50" s="284"/>
      <c r="U50" s="284"/>
      <c r="V50" s="284"/>
      <c r="W50" s="284"/>
      <c r="X50" s="284"/>
      <c r="Y50" s="284"/>
      <c r="Z50" s="284"/>
      <c r="AA50" s="284"/>
      <c r="AB50" s="284"/>
      <c r="AC50" s="284"/>
      <c r="AD50" s="285"/>
      <c r="AE50" s="17"/>
      <c r="AF50" s="17"/>
      <c r="AG50" s="17"/>
      <c r="AH50" s="16"/>
      <c r="AI50" s="17"/>
      <c r="AJ50" s="17"/>
    </row>
    <row r="51" spans="1:96" ht="15" customHeight="1" x14ac:dyDescent="0.2">
      <c r="B51" s="234" t="s">
        <v>8</v>
      </c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6"/>
      <c r="N51" s="31"/>
      <c r="O51" s="239" t="s">
        <v>123</v>
      </c>
      <c r="P51" s="240"/>
      <c r="Q51" s="240"/>
      <c r="R51" s="240"/>
      <c r="S51" s="240"/>
      <c r="T51" s="240"/>
      <c r="U51" s="240"/>
      <c r="V51" s="240"/>
      <c r="W51" s="240"/>
      <c r="X51" s="240"/>
      <c r="Y51" s="240"/>
      <c r="Z51" s="240"/>
      <c r="AA51" s="240"/>
      <c r="AB51" s="240"/>
      <c r="AC51" s="240"/>
      <c r="AD51" s="241"/>
    </row>
    <row r="52" spans="1:96" ht="15" customHeight="1" thickBot="1" x14ac:dyDescent="0.25">
      <c r="B52" s="214" t="s">
        <v>17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6"/>
      <c r="N52" s="21"/>
      <c r="O52" s="239"/>
      <c r="P52" s="240"/>
      <c r="Q52" s="240"/>
      <c r="R52" s="240"/>
      <c r="S52" s="240"/>
      <c r="T52" s="240"/>
      <c r="U52" s="240"/>
      <c r="V52" s="240"/>
      <c r="W52" s="240"/>
      <c r="X52" s="240"/>
      <c r="Y52" s="240"/>
      <c r="Z52" s="240"/>
      <c r="AA52" s="240"/>
      <c r="AB52" s="240"/>
      <c r="AC52" s="240"/>
      <c r="AD52" s="241"/>
    </row>
    <row r="53" spans="1:96" ht="15" customHeight="1" thickBot="1" x14ac:dyDescent="0.25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25">
      <c r="B54" s="231" t="s">
        <v>135</v>
      </c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3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2">
      <c r="A55" s="16"/>
      <c r="B55" s="217" t="s">
        <v>8</v>
      </c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9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25">
      <c r="B56" s="214" t="s">
        <v>10</v>
      </c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6"/>
      <c r="N56" s="21"/>
      <c r="O56" s="239" t="s">
        <v>118</v>
      </c>
      <c r="P56" s="240"/>
      <c r="Q56" s="240"/>
      <c r="R56" s="240"/>
      <c r="S56" s="240"/>
      <c r="T56" s="240"/>
      <c r="U56" s="240"/>
      <c r="V56" s="240"/>
      <c r="W56" s="240"/>
      <c r="X56" s="240"/>
      <c r="Y56" s="240"/>
      <c r="Z56" s="240"/>
      <c r="AA56" s="240"/>
      <c r="AB56" s="240"/>
      <c r="AC56" s="240"/>
      <c r="AD56" s="241"/>
    </row>
    <row r="57" spans="1:96" ht="15" customHeight="1" thickBot="1" x14ac:dyDescent="0.25">
      <c r="N57" s="21"/>
      <c r="O57" s="239"/>
      <c r="P57" s="240"/>
      <c r="Q57" s="240"/>
      <c r="R57" s="240"/>
      <c r="S57" s="240"/>
      <c r="T57" s="240"/>
      <c r="U57" s="240"/>
      <c r="V57" s="240"/>
      <c r="W57" s="240"/>
      <c r="X57" s="240"/>
      <c r="Y57" s="240"/>
      <c r="Z57" s="240"/>
      <c r="AA57" s="240"/>
      <c r="AB57" s="240"/>
      <c r="AC57" s="240"/>
      <c r="AD57" s="241"/>
    </row>
    <row r="58" spans="1:96" ht="15" customHeight="1" x14ac:dyDescent="0.2">
      <c r="B58" s="254" t="s">
        <v>114</v>
      </c>
      <c r="C58" s="255"/>
      <c r="D58" s="255"/>
      <c r="E58" s="255"/>
      <c r="F58" s="255"/>
      <c r="G58" s="255"/>
      <c r="H58" s="255"/>
      <c r="I58" s="255"/>
      <c r="J58" s="255"/>
      <c r="K58" s="255"/>
      <c r="L58" s="255"/>
      <c r="M58" s="256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2">
      <c r="A59" s="16"/>
      <c r="B59" s="229" t="s">
        <v>10</v>
      </c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30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25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2">
      <c r="A61" s="16"/>
      <c r="B61" s="226" t="s">
        <v>113</v>
      </c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8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2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8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2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142</v>
      </c>
      <c r="N63" s="175"/>
      <c r="O63" s="220" t="s">
        <v>136</v>
      </c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1"/>
      <c r="AD63" s="222"/>
    </row>
    <row r="64" spans="1:96" ht="16" thickBot="1" x14ac:dyDescent="0.25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143</v>
      </c>
      <c r="N64" s="175"/>
      <c r="O64" s="22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5"/>
      <c r="AH64" s="14"/>
    </row>
    <row r="65" spans="1:34" x14ac:dyDescent="0.2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2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2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2">
      <c r="N68" s="175"/>
    </row>
    <row r="69" spans="1:34" ht="16" x14ac:dyDescent="0.2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  <mergeCell ref="P47:S47"/>
    <mergeCell ref="P48:S48"/>
    <mergeCell ref="O50:AD50"/>
    <mergeCell ref="P37:S37"/>
    <mergeCell ref="P38:S38"/>
    <mergeCell ref="P39:S39"/>
    <mergeCell ref="P43:S43"/>
    <mergeCell ref="P44:S44"/>
    <mergeCell ref="P27:S27"/>
    <mergeCell ref="P28:S28"/>
    <mergeCell ref="P29:S29"/>
    <mergeCell ref="O25:S25"/>
    <mergeCell ref="P26:S26"/>
    <mergeCell ref="P11:S11"/>
    <mergeCell ref="P12:S12"/>
    <mergeCell ref="P13:S13"/>
    <mergeCell ref="P14:S14"/>
    <mergeCell ref="P22:S22"/>
    <mergeCell ref="U2:AC2"/>
    <mergeCell ref="U3:AC3"/>
    <mergeCell ref="U4:AC4"/>
    <mergeCell ref="F9:G9"/>
    <mergeCell ref="O10:S10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B48:M48"/>
    <mergeCell ref="B49:M49"/>
    <mergeCell ref="B50:M50"/>
    <mergeCell ref="B51:M51"/>
    <mergeCell ref="I3:N4"/>
    <mergeCell ref="L11:L22"/>
    <mergeCell ref="B52:M52"/>
    <mergeCell ref="B55:M55"/>
    <mergeCell ref="O63:AD64"/>
    <mergeCell ref="B61:M61"/>
    <mergeCell ref="B59:M59"/>
    <mergeCell ref="B54:M54"/>
    <mergeCell ref="B58:M58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 xr:uid="{EE4882A6-EEAB-664F-AA52-51DF9A81B98D}">
      <formula1>TeamParticipant</formula1>
    </dataValidation>
    <dataValidation type="list" allowBlank="1" showInputMessage="1" showErrorMessage="1" sqref="E70" xr:uid="{E42F68AD-2C4E-C944-8A02-952567ACFB65}">
      <formula1>$E$66:$E$68</formula1>
    </dataValidation>
    <dataValidation type="list" allowBlank="1" showInputMessage="1" showErrorMessage="1" sqref="B55:B56" xr:uid="{78B52B5A-153D-C646-8FEF-301D7BBECB55}">
      <formula1>SF_List</formula1>
    </dataValidation>
    <dataValidation type="list" allowBlank="1" showInputMessage="1" showErrorMessage="1" sqref="B59:M59" xr:uid="{EB7825CE-B8A9-2049-BB89-98A251D24F98}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A69"/>
  <sheetViews>
    <sheetView workbookViewId="0">
      <selection activeCell="E49" sqref="E49"/>
    </sheetView>
  </sheetViews>
  <sheetFormatPr baseColWidth="10" defaultColWidth="9.1640625" defaultRowHeight="15" x14ac:dyDescent="0.2"/>
  <cols>
    <col min="1" max="1" width="23.1640625" style="192" bestFit="1" customWidth="1"/>
    <col min="2" max="16384" width="9.1640625" style="183"/>
  </cols>
  <sheetData>
    <row r="1" spans="1:1" x14ac:dyDescent="0.2">
      <c r="A1" s="188" t="str">
        <f>Matches!U4</f>
        <v>Tommy Camilleri</v>
      </c>
    </row>
    <row r="2" spans="1:1" x14ac:dyDescent="0.2">
      <c r="A2" s="189" t="s">
        <v>128</v>
      </c>
    </row>
    <row r="3" spans="1:1" x14ac:dyDescent="0.2">
      <c r="A3" s="190" t="str">
        <f>TEXT(Matches!F11,"#0")&amp;"-"&amp;TEXT(Matches!G11,"#0")</f>
        <v>0-2</v>
      </c>
    </row>
    <row r="4" spans="1:1" x14ac:dyDescent="0.2">
      <c r="A4" s="190" t="str">
        <f>TEXT(Matches!F12,"#0")&amp;"-"&amp;TEXT(Matches!G12,"#0")</f>
        <v>1-1</v>
      </c>
    </row>
    <row r="5" spans="1:1" x14ac:dyDescent="0.2">
      <c r="A5" s="190" t="str">
        <f>TEXT(Matches!F13,"#0")&amp;"-"&amp;TEXT(Matches!G13,"#0")</f>
        <v>2-1</v>
      </c>
    </row>
    <row r="6" spans="1:1" x14ac:dyDescent="0.2">
      <c r="A6" s="190" t="str">
        <f>TEXT(Matches!F14,"#0")&amp;"-"&amp;TEXT(Matches!G14,"#0")</f>
        <v>3-0</v>
      </c>
    </row>
    <row r="7" spans="1:1" x14ac:dyDescent="0.2">
      <c r="A7" s="190" t="str">
        <f>TEXT(Matches!F15,"#0")&amp;"-"&amp;TEXT(Matches!G15,"#0")</f>
        <v>1-1</v>
      </c>
    </row>
    <row r="8" spans="1:1" x14ac:dyDescent="0.2">
      <c r="A8" s="190" t="str">
        <f>TEXT(Matches!F16,"#0")&amp;"-"&amp;TEXT(Matches!G16,"#0")</f>
        <v>2-1</v>
      </c>
    </row>
    <row r="9" spans="1:1" x14ac:dyDescent="0.2">
      <c r="A9" s="190" t="str">
        <f>TEXT(Matches!F17,"#0")&amp;"-"&amp;TEXT(Matches!G17,"#0")</f>
        <v>3-1</v>
      </c>
    </row>
    <row r="10" spans="1:1" x14ac:dyDescent="0.2">
      <c r="A10" s="190" t="str">
        <f>TEXT(Matches!F18,"#0")&amp;"-"&amp;TEXT(Matches!G18,"#0")</f>
        <v>1-0</v>
      </c>
    </row>
    <row r="11" spans="1:1" x14ac:dyDescent="0.2">
      <c r="A11" s="190" t="str">
        <f>TEXT(Matches!F19,"#0")&amp;"-"&amp;TEXT(Matches!G19,"#0")</f>
        <v>3-0</v>
      </c>
    </row>
    <row r="12" spans="1:1" x14ac:dyDescent="0.2">
      <c r="A12" s="190" t="str">
        <f>TEXT(Matches!F20,"#0")&amp;"-"&amp;TEXT(Matches!G20,"#0")</f>
        <v>2-1</v>
      </c>
    </row>
    <row r="13" spans="1:1" x14ac:dyDescent="0.2">
      <c r="A13" s="190" t="str">
        <f>TEXT(Matches!F21,"#0")&amp;"-"&amp;TEXT(Matches!G21,"#0")</f>
        <v>0-3</v>
      </c>
    </row>
    <row r="14" spans="1:1" x14ac:dyDescent="0.2">
      <c r="A14" s="190" t="str">
        <f>TEXT(Matches!F22,"#0")&amp;"-"&amp;TEXT(Matches!G22,"#0")</f>
        <v>2-1</v>
      </c>
    </row>
    <row r="15" spans="1:1" x14ac:dyDescent="0.2">
      <c r="A15" s="190" t="str">
        <f>TEXT(Matches!F23,"#0")&amp;"-"&amp;TEXT(Matches!G23,"#0")</f>
        <v>1-1</v>
      </c>
    </row>
    <row r="16" spans="1:1" x14ac:dyDescent="0.2">
      <c r="A16" s="190" t="str">
        <f>TEXT(Matches!F24,"#0")&amp;"-"&amp;TEXT(Matches!G24,"#0")</f>
        <v>1-2</v>
      </c>
    </row>
    <row r="17" spans="1:1" x14ac:dyDescent="0.2">
      <c r="A17" s="190" t="str">
        <f>TEXT(Matches!F25,"#0")&amp;"-"&amp;TEXT(Matches!G25,"#0")</f>
        <v>1-0</v>
      </c>
    </row>
    <row r="18" spans="1:1" x14ac:dyDescent="0.2">
      <c r="A18" s="190" t="str">
        <f>TEXT(Matches!F26,"#0")&amp;"-"&amp;TEXT(Matches!G26,"#0")</f>
        <v>2-1</v>
      </c>
    </row>
    <row r="19" spans="1:1" x14ac:dyDescent="0.2">
      <c r="A19" s="190" t="str">
        <f>TEXT(Matches!F27,"#0")&amp;"-"&amp;TEXT(Matches!G27,"#0")</f>
        <v>1-3</v>
      </c>
    </row>
    <row r="20" spans="1:1" x14ac:dyDescent="0.2">
      <c r="A20" s="190" t="str">
        <f>TEXT(Matches!F28,"#0")&amp;"-"&amp;TEXT(Matches!G28,"#0")</f>
        <v>2-2</v>
      </c>
    </row>
    <row r="21" spans="1:1" x14ac:dyDescent="0.2">
      <c r="A21" s="190" t="str">
        <f>TEXT(Matches!F29,"#0")&amp;"-"&amp;TEXT(Matches!G29,"#0")</f>
        <v>1-1</v>
      </c>
    </row>
    <row r="22" spans="1:1" x14ac:dyDescent="0.2">
      <c r="A22" s="190" t="str">
        <f>TEXT(Matches!F30,"#0")&amp;"-"&amp;TEXT(Matches!G30,"#0")</f>
        <v>2-0</v>
      </c>
    </row>
    <row r="23" spans="1:1" x14ac:dyDescent="0.2">
      <c r="A23" s="190" t="str">
        <f>TEXT(Matches!F31,"#0")&amp;"-"&amp;TEXT(Matches!G31,"#0")</f>
        <v>2-1</v>
      </c>
    </row>
    <row r="24" spans="1:1" x14ac:dyDescent="0.2">
      <c r="A24" s="190" t="str">
        <f>TEXT(Matches!F32,"#0")&amp;"-"&amp;TEXT(Matches!G32,"#0")</f>
        <v>0-3</v>
      </c>
    </row>
    <row r="25" spans="1:1" x14ac:dyDescent="0.2">
      <c r="A25" s="190" t="str">
        <f>TEXT(Matches!F33,"#0")&amp;"-"&amp;TEXT(Matches!G33,"#0")</f>
        <v>3-1</v>
      </c>
    </row>
    <row r="26" spans="1:1" x14ac:dyDescent="0.2">
      <c r="A26" s="190" t="str">
        <f>TEXT(Matches!F34,"#0")&amp;"-"&amp;TEXT(Matches!G34,"#0")</f>
        <v>2-2</v>
      </c>
    </row>
    <row r="27" spans="1:1" x14ac:dyDescent="0.2">
      <c r="A27" s="190" t="str">
        <f>TEXT(Matches!F35,"#0")&amp;"-"&amp;TEXT(Matches!G35,"#0")</f>
        <v>1-2</v>
      </c>
    </row>
    <row r="28" spans="1:1" x14ac:dyDescent="0.2">
      <c r="A28" s="190" t="str">
        <f>TEXT(Matches!F36,"#0")&amp;"-"&amp;TEXT(Matches!G36,"#0")</f>
        <v>2-1</v>
      </c>
    </row>
    <row r="29" spans="1:1" x14ac:dyDescent="0.2">
      <c r="A29" s="190" t="str">
        <f>TEXT(Matches!F37,"#0")&amp;"-"&amp;TEXT(Matches!G37,"#0")</f>
        <v>1-2</v>
      </c>
    </row>
    <row r="30" spans="1:1" x14ac:dyDescent="0.2">
      <c r="A30" s="190" t="str">
        <f>TEXT(Matches!F38,"#0")&amp;"-"&amp;TEXT(Matches!G38,"#0")</f>
        <v>1-1</v>
      </c>
    </row>
    <row r="31" spans="1:1" x14ac:dyDescent="0.2">
      <c r="A31" s="190" t="str">
        <f>TEXT(Matches!F39,"#0")&amp;"-"&amp;TEXT(Matches!G39,"#0")</f>
        <v>2-2</v>
      </c>
    </row>
    <row r="32" spans="1:1" x14ac:dyDescent="0.2">
      <c r="A32" s="190" t="str">
        <f>TEXT(Matches!F40,"#0")&amp;"-"&amp;TEXT(Matches!G40,"#0")</f>
        <v>0-2</v>
      </c>
    </row>
    <row r="33" spans="1:1" x14ac:dyDescent="0.2">
      <c r="A33" s="190" t="str">
        <f>TEXT(Matches!F41,"#0")&amp;"-"&amp;TEXT(Matches!G41,"#0")</f>
        <v>2-1</v>
      </c>
    </row>
    <row r="34" spans="1:1" x14ac:dyDescent="0.2">
      <c r="A34" s="190" t="str">
        <f>TEXT(Matches!F42,"#0")&amp;"-"&amp;TEXT(Matches!G42,"#0")</f>
        <v>1-3</v>
      </c>
    </row>
    <row r="35" spans="1:1" x14ac:dyDescent="0.2">
      <c r="A35" s="190" t="str">
        <f>TEXT(Matches!F43,"#0")&amp;"-"&amp;TEXT(Matches!G43,"#0")</f>
        <v>1-2</v>
      </c>
    </row>
    <row r="36" spans="1:1" x14ac:dyDescent="0.2">
      <c r="A36" s="190" t="str">
        <f>TEXT(Matches!F44,"#0")&amp;"-"&amp;TEXT(Matches!G44,"#0")</f>
        <v>0-2</v>
      </c>
    </row>
    <row r="37" spans="1:1" x14ac:dyDescent="0.2">
      <c r="A37" s="190" t="str">
        <f>TEXT(Matches!F45,"#0")&amp;"-"&amp;TEXT(Matches!G45,"#0")</f>
        <v>2-2</v>
      </c>
    </row>
    <row r="38" spans="1:1" x14ac:dyDescent="0.2">
      <c r="A38" s="190" t="str">
        <f>TEXT(Matches!F46,"#0")&amp;"-"&amp;TEXT(Matches!G46,"#0")</f>
        <v>2-1</v>
      </c>
    </row>
    <row r="39" spans="1:1" x14ac:dyDescent="0.2">
      <c r="A39" s="191" t="s">
        <v>137</v>
      </c>
    </row>
    <row r="40" spans="1:1" x14ac:dyDescent="0.2">
      <c r="A40" s="190" t="str">
        <f>Matches!P11</f>
        <v>Italy</v>
      </c>
    </row>
    <row r="41" spans="1:1" x14ac:dyDescent="0.2">
      <c r="A41" s="190" t="str">
        <f>Matches!P12</f>
        <v>Wales</v>
      </c>
    </row>
    <row r="42" spans="1:1" x14ac:dyDescent="0.2">
      <c r="A42" s="190" t="str">
        <f>Matches!P16</f>
        <v>Belgium</v>
      </c>
    </row>
    <row r="43" spans="1:1" x14ac:dyDescent="0.2">
      <c r="A43" s="190" t="str">
        <f>Matches!P17</f>
        <v>Denmark</v>
      </c>
    </row>
    <row r="44" spans="1:1" x14ac:dyDescent="0.2">
      <c r="A44" s="190" t="str">
        <f>Matches!P21</f>
        <v>Netherlands</v>
      </c>
    </row>
    <row r="45" spans="1:1" x14ac:dyDescent="0.2">
      <c r="A45" s="190" t="str">
        <f>Matches!P22</f>
        <v>Austria</v>
      </c>
    </row>
    <row r="46" spans="1:1" x14ac:dyDescent="0.2">
      <c r="A46" s="190" t="str">
        <f>Matches!P26</f>
        <v>England</v>
      </c>
    </row>
    <row r="47" spans="1:1" x14ac:dyDescent="0.2">
      <c r="A47" s="190" t="str">
        <f>Matches!P27</f>
        <v>Croatia</v>
      </c>
    </row>
    <row r="48" spans="1:1" x14ac:dyDescent="0.2">
      <c r="A48" s="190" t="str">
        <f>Matches!P31</f>
        <v>Poland</v>
      </c>
    </row>
    <row r="49" spans="1:1" x14ac:dyDescent="0.2">
      <c r="A49" s="190" t="str">
        <f>Matches!P32</f>
        <v>Spain</v>
      </c>
    </row>
    <row r="50" spans="1:1" x14ac:dyDescent="0.2">
      <c r="A50" s="190" t="str">
        <f>Matches!P36</f>
        <v>Portugal</v>
      </c>
    </row>
    <row r="51" spans="1:1" x14ac:dyDescent="0.2">
      <c r="A51" s="190" t="str">
        <f>Matches!P37</f>
        <v>France</v>
      </c>
    </row>
    <row r="52" spans="1:1" x14ac:dyDescent="0.2">
      <c r="A52" s="190" t="str">
        <f>Matches!P43</f>
        <v>Ukraine</v>
      </c>
    </row>
    <row r="53" spans="1:1" x14ac:dyDescent="0.2">
      <c r="A53" s="190" t="str">
        <f>Matches!P44</f>
        <v>Scotland</v>
      </c>
    </row>
    <row r="54" spans="1:1" x14ac:dyDescent="0.2">
      <c r="A54" s="190" t="str">
        <f>Matches!P45</f>
        <v>Germany</v>
      </c>
    </row>
    <row r="55" spans="1:1" x14ac:dyDescent="0.2">
      <c r="A55" s="190" t="str">
        <f>Matches!P46</f>
        <v>Turkey</v>
      </c>
    </row>
    <row r="56" spans="1:1" x14ac:dyDescent="0.2">
      <c r="A56" s="191" t="s">
        <v>55</v>
      </c>
    </row>
    <row r="57" spans="1:1" x14ac:dyDescent="0.2">
      <c r="A57" s="190" t="str">
        <f>Matches!B49</f>
        <v>France</v>
      </c>
    </row>
    <row r="58" spans="1:1" x14ac:dyDescent="0.2">
      <c r="A58" s="190" t="str">
        <f>Matches!B50</f>
        <v>Belgium</v>
      </c>
    </row>
    <row r="59" spans="1:1" x14ac:dyDescent="0.2">
      <c r="A59" s="190" t="str">
        <f>Matches!B51</f>
        <v>England</v>
      </c>
    </row>
    <row r="60" spans="1:1" x14ac:dyDescent="0.2">
      <c r="A60" s="190" t="str">
        <f>Matches!B52</f>
        <v>Portugal</v>
      </c>
    </row>
    <row r="61" spans="1:1" x14ac:dyDescent="0.2">
      <c r="A61" s="191" t="s">
        <v>41</v>
      </c>
    </row>
    <row r="62" spans="1:1" x14ac:dyDescent="0.2">
      <c r="A62" s="190" t="str">
        <f>Matches!B55</f>
        <v>England</v>
      </c>
    </row>
    <row r="63" spans="1:1" x14ac:dyDescent="0.2">
      <c r="A63" s="190" t="str">
        <f>Matches!B56</f>
        <v>France</v>
      </c>
    </row>
    <row r="64" spans="1:1" x14ac:dyDescent="0.2">
      <c r="A64" s="191" t="s">
        <v>114</v>
      </c>
    </row>
    <row r="65" spans="1:1" x14ac:dyDescent="0.2">
      <c r="A65" s="190" t="str">
        <f>Matches!B59</f>
        <v>France</v>
      </c>
    </row>
    <row r="66" spans="1:1" x14ac:dyDescent="0.2">
      <c r="A66" s="191" t="s">
        <v>126</v>
      </c>
    </row>
    <row r="67" spans="1:1" x14ac:dyDescent="0.2">
      <c r="A67" s="190" t="str">
        <f>Matches!M62</f>
        <v>England</v>
      </c>
    </row>
    <row r="68" spans="1:1" x14ac:dyDescent="0.2">
      <c r="A68" s="190" t="str">
        <f>Matches!M63</f>
        <v>Harry Kane</v>
      </c>
    </row>
    <row r="69" spans="1:1" x14ac:dyDescent="0.2">
      <c r="A69" s="190" t="str">
        <f>Matches!M64</f>
        <v>Phil Foden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2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2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2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baseColWidth="10" defaultColWidth="9.1640625" defaultRowHeight="13" x14ac:dyDescent="0.15"/>
  <cols>
    <col min="1" max="112" width="8.83203125" style="194" customWidth="1"/>
    <col min="113" max="119" width="8.83203125" style="200" customWidth="1"/>
    <col min="120" max="240" width="8.83203125" style="194" customWidth="1"/>
    <col min="241" max="247" width="8.83203125" style="200" customWidth="1"/>
    <col min="248" max="256" width="8.83203125" style="194" customWidth="1"/>
    <col min="257" max="16384" width="9.1640625" style="194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Turkey</v>
      </c>
      <c r="DI3" s="193">
        <f>Matches!U13</f>
        <v>1</v>
      </c>
      <c r="DJ3" s="193">
        <f>Matches!V13</f>
        <v>0</v>
      </c>
      <c r="DK3" s="193">
        <f>Matches!W13</f>
        <v>2</v>
      </c>
      <c r="DL3" s="193">
        <f>Matches!X13</f>
        <v>3</v>
      </c>
      <c r="DM3" s="193">
        <f>Matches!Z13</f>
        <v>5</v>
      </c>
      <c r="DN3" s="193">
        <f>Matches!AA13</f>
        <v>-2</v>
      </c>
      <c r="DO3" s="193">
        <f>Matches!AB13</f>
        <v>3</v>
      </c>
      <c r="DP3" s="21">
        <f>VLOOKUP(DH3,B4:J40,9,FALSE)</f>
        <v>42</v>
      </c>
      <c r="DQ3" s="21">
        <f>RANK(DO3,DO3:DO8)</f>
        <v>2</v>
      </c>
      <c r="DR3" s="21">
        <f>SUMPRODUCT((DQ3:DQ8=DQ3)*(DN3:DN8&gt;DN3))</f>
        <v>1</v>
      </c>
      <c r="DS3" s="21">
        <f>SUMPRODUCT((DQ3:DQ8=DQ3)*(DN3:DN8=DN3)*(DL3:DL8&gt;DL3))</f>
        <v>1</v>
      </c>
      <c r="DT3" s="21">
        <f>SUMPRODUCT((DQ3:DQ8=DQ3)*(DN3:DN8=DN3)*(DL3:DL8=DL3)*(DP3:DP8&gt;DP3))</f>
        <v>0</v>
      </c>
      <c r="DU3" s="21">
        <f>SUM(DQ3:DT3)</f>
        <v>4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3</v>
      </c>
      <c r="B4" s="21" t="str">
        <f>Matches!AH10</f>
        <v>Turkey</v>
      </c>
      <c r="C4" s="21">
        <f>SUMPRODUCT((CZ3:CZ42=B4)*(DD3:DD42="W"))+SUMPRODUCT((DC3:DC42=B4)*(DE3:DE42="W"))</f>
        <v>1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2</v>
      </c>
      <c r="F4" s="21">
        <f>SUMIF(CZ3:CZ60,B4,DA3:DA60)+SUMIF(DC3:DC60,B4,DB3:DB60)</f>
        <v>3</v>
      </c>
      <c r="G4" s="21">
        <f>SUMIF(DC3:DC60,B4,DA3:DA60)+SUMIF(CZ3:CZ60,B4,DB3:DB60)</f>
        <v>5</v>
      </c>
      <c r="H4" s="21">
        <f>F4-G4+1000</f>
        <v>998</v>
      </c>
      <c r="I4" s="21">
        <f>C4*3+D4*1</f>
        <v>3</v>
      </c>
      <c r="J4" s="21">
        <v>42</v>
      </c>
      <c r="K4" s="21">
        <f>IF(COUNTIF(I4:I8,4)&lt;&gt;4,RANK(I4,I4:I8),I44)</f>
        <v>3</v>
      </c>
      <c r="L4" s="21"/>
      <c r="M4" s="21">
        <f>SUMPRODUCT((K4:K7=K4)*(J4:J7&lt;J4))+K4</f>
        <v>3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Russia</v>
      </c>
      <c r="DI4" s="193">
        <f>Matches!U18</f>
        <v>0</v>
      </c>
      <c r="DJ4" s="193">
        <f>Matches!V18</f>
        <v>2</v>
      </c>
      <c r="DK4" s="193">
        <f>Matches!W18</f>
        <v>1</v>
      </c>
      <c r="DL4" s="193">
        <f>Matches!X18</f>
        <v>3</v>
      </c>
      <c r="DM4" s="193">
        <f>Matches!Z18</f>
        <v>6</v>
      </c>
      <c r="DN4" s="193">
        <f>Matches!AA18</f>
        <v>-3</v>
      </c>
      <c r="DO4" s="193">
        <f>Matches!AB18</f>
        <v>2</v>
      </c>
      <c r="DP4" s="21">
        <f>VLOOKUP(DH4,B4:J40,9,FALSE)</f>
        <v>44</v>
      </c>
      <c r="DQ4" s="21">
        <f>RANK(DO4,DO3:DO8)</f>
        <v>5</v>
      </c>
      <c r="DR4" s="21">
        <f>SUMPRODUCT((DQ3:DQ8=DQ4)*(DN3:DN8&gt;DN4))</f>
        <v>0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5</v>
      </c>
      <c r="G5" s="21">
        <f>SUMIF(DC3:DC60,B5,DA3:DA60)+SUMIF(CZ3:CZ60,B5,DB3:DB60)</f>
        <v>1</v>
      </c>
      <c r="H5" s="21">
        <f t="shared" ref="H5:H7" si="2">F5-G5+1000</f>
        <v>1004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2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W</v>
      </c>
      <c r="DE5" s="21" t="str">
        <f t="shared" si="0"/>
        <v>L</v>
      </c>
      <c r="DF5" s="21"/>
      <c r="DG5" s="21"/>
      <c r="DH5" s="21" t="str">
        <f>Matches!P23</f>
        <v>Ukraine</v>
      </c>
      <c r="DI5" s="193">
        <f>Matches!U23</f>
        <v>1</v>
      </c>
      <c r="DJ5" s="193">
        <f>Matches!V23</f>
        <v>1</v>
      </c>
      <c r="DK5" s="193">
        <f>Matches!W23</f>
        <v>1</v>
      </c>
      <c r="DL5" s="193">
        <f>Matches!X23</f>
        <v>4</v>
      </c>
      <c r="DM5" s="193">
        <f>Matches!Z23</f>
        <v>5</v>
      </c>
      <c r="DN5" s="193">
        <f>Matches!AA23</f>
        <v>-1</v>
      </c>
      <c r="DO5" s="193">
        <f>Matches!AB23</f>
        <v>4</v>
      </c>
      <c r="DP5" s="21">
        <f>VLOOKUP(DH5,B4:J40,9,FALSE)</f>
        <v>50</v>
      </c>
      <c r="DQ5" s="21">
        <f>RANK(DO5,DO3:DO8)</f>
        <v>1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1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4</v>
      </c>
      <c r="G6" s="21">
        <f>SUMIF(DC3:DC60,B6,DA3:DA60)+SUMIF(CZ3:CZ60,B6,DB3:DB60)</f>
        <v>4</v>
      </c>
      <c r="H6" s="21">
        <f t="shared" si="2"/>
        <v>1000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Turkey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Turkey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Scotland</v>
      </c>
      <c r="DI6" s="193">
        <f>Matches!U28</f>
        <v>1</v>
      </c>
      <c r="DJ6" s="193">
        <f>Matches!V28</f>
        <v>0</v>
      </c>
      <c r="DK6" s="193">
        <f>Matches!W28</f>
        <v>2</v>
      </c>
      <c r="DL6" s="193">
        <f>Matches!X28</f>
        <v>3</v>
      </c>
      <c r="DM6" s="193">
        <f>Matches!Z28</f>
        <v>4</v>
      </c>
      <c r="DN6" s="193">
        <f>Matches!AA28</f>
        <v>-1</v>
      </c>
      <c r="DO6" s="193">
        <f>Matches!AB28</f>
        <v>3</v>
      </c>
      <c r="DP6" s="21">
        <f>VLOOKUP(DH6,B4:J40,9,FALSE)</f>
        <v>27</v>
      </c>
      <c r="DQ6" s="21">
        <f>RANK(DO6,DO3:DO8)</f>
        <v>2</v>
      </c>
      <c r="DR6" s="21">
        <f>SUMPRODUCT((DQ3:DQ8=DQ6)*(DN3:DN8&gt;DN6))</f>
        <v>0</v>
      </c>
      <c r="DS6" s="21">
        <f>SUMPRODUCT((DQ3:DQ8=DQ6)*(DN3:DN8=DN6)*(DL3:DL8&gt;DL6))</f>
        <v>0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4</v>
      </c>
      <c r="B7" s="21" t="str">
        <f>Matches!AH13</f>
        <v>Switzerland</v>
      </c>
      <c r="C7" s="21">
        <f>SUMPRODUCT((CZ3:CZ42=B7)*(DD3:DD42="W"))+SUMPRODUCT((DC3:DC42=B7)*(DE3:DE42="W"))</f>
        <v>0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2</v>
      </c>
      <c r="F7" s="21">
        <f>SUMIF(CZ3:CZ60,B7,DA3:DA60)+SUMIF(DC3:DC60,B7,DB3:DB60)</f>
        <v>2</v>
      </c>
      <c r="G7" s="21">
        <f>SUMIF(DC3:DC60,B7,DA3:DA60)+SUMIF(CZ3:CZ60,B7,DB3:DB60)</f>
        <v>4</v>
      </c>
      <c r="H7" s="21">
        <f t="shared" si="2"/>
        <v>998</v>
      </c>
      <c r="I7" s="21">
        <f t="shared" si="3"/>
        <v>1</v>
      </c>
      <c r="J7" s="21">
        <v>47</v>
      </c>
      <c r="K7" s="21">
        <f>IF(COUNTIF(I4:I8,4)&lt;&gt;4,RANK(I7,I4:I8),I47)</f>
        <v>4</v>
      </c>
      <c r="L7" s="21"/>
      <c r="M7" s="21">
        <f>SUMPRODUCT((K4:K7=K7)*(J4:J7&lt;J7))+K7</f>
        <v>4</v>
      </c>
      <c r="N7" s="21" t="str">
        <f>INDEX(B4:B8,MATCH(4,M4:M8,0),0)</f>
        <v>Switzerland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Switzerland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1</v>
      </c>
      <c r="DC7" s="21" t="str">
        <f>Matches!H15</f>
        <v>Croatia</v>
      </c>
      <c r="DD7" s="21" t="str">
        <f>IF(AND(Matches!F15&lt;&gt;"",Matches!G15&lt;&gt;""),IF(DA7&gt;DB7,"W",IF(DA7=DB7,"D","L")),"")</f>
        <v>D</v>
      </c>
      <c r="DE7" s="21" t="str">
        <f t="shared" si="0"/>
        <v>D</v>
      </c>
      <c r="DF7" s="21"/>
      <c r="DG7" s="21"/>
      <c r="DH7" s="21" t="str">
        <f>Matches!P33</f>
        <v>Sweden</v>
      </c>
      <c r="DI7" s="193">
        <f>Matches!U33</f>
        <v>0</v>
      </c>
      <c r="DJ7" s="193">
        <f>Matches!V33</f>
        <v>1</v>
      </c>
      <c r="DK7" s="193">
        <f>Matches!W33</f>
        <v>2</v>
      </c>
      <c r="DL7" s="193">
        <f>Matches!X33</f>
        <v>3</v>
      </c>
      <c r="DM7" s="193">
        <f>Matches!Z33</f>
        <v>5</v>
      </c>
      <c r="DN7" s="193">
        <f>Matches!AA33</f>
        <v>-2</v>
      </c>
      <c r="DO7" s="193">
        <f>Matches!AB33</f>
        <v>1</v>
      </c>
      <c r="DP7" s="21">
        <f>VLOOKUP(DH7,B4:J40,9,FALSE)</f>
        <v>39</v>
      </c>
      <c r="DQ7" s="21">
        <f>RANK(DO7,DO3:DO8)</f>
        <v>6</v>
      </c>
      <c r="DR7" s="21">
        <f>SUMPRODUCT((DQ3:DQ8=DQ7)*(DN3:DN8&gt;DN7))</f>
        <v>0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2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Germany</v>
      </c>
      <c r="DI8" s="193">
        <f>Matches!U38</f>
        <v>1</v>
      </c>
      <c r="DJ8" s="193">
        <f>Matches!V38</f>
        <v>0</v>
      </c>
      <c r="DK8" s="193">
        <f>Matches!W38</f>
        <v>2</v>
      </c>
      <c r="DL8" s="193">
        <f>Matches!X38</f>
        <v>4</v>
      </c>
      <c r="DM8" s="193">
        <f>Matches!Z38</f>
        <v>6</v>
      </c>
      <c r="DN8" s="193">
        <f>Matches!AA38</f>
        <v>-2</v>
      </c>
      <c r="DO8" s="193">
        <f>Matches!AB38</f>
        <v>3</v>
      </c>
      <c r="DP8" s="21">
        <f>VLOOKUP(DH8,B4:J40,9,FALSE)</f>
        <v>52</v>
      </c>
      <c r="DQ8" s="21">
        <f>RANK(DO8,DO3:DO8)</f>
        <v>2</v>
      </c>
      <c r="DR8" s="21">
        <f>SUMPRODUCT((DQ3:DQ8=DQ8)*(DN3:DN8&gt;DN8))</f>
        <v>1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3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1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1</v>
      </c>
      <c r="DB10" s="21">
        <f>IF(AND(Matches!G18&lt;&gt;"",Matches!F18&lt;&gt;""),Matches!G18,0)</f>
        <v>0</v>
      </c>
      <c r="DC10" s="21" t="str">
        <f>Matches!H18</f>
        <v>Czech Republic</v>
      </c>
      <c r="DD10" s="21" t="str">
        <f>IF(AND(Matches!F18&lt;&gt;"",Matches!G18&lt;&gt;""),IF(DA10&gt;DB10,"W",IF(DA10=DB10,"D","L")),"")</f>
        <v>W</v>
      </c>
      <c r="DE10" s="21" t="str">
        <f t="shared" si="0"/>
        <v>L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8</v>
      </c>
      <c r="G11" s="21">
        <f>SUMIF(DC3:DC60,B11,DA3:DA60)+SUMIF(CZ3:CZ60,B11,DB3:DB60)</f>
        <v>1</v>
      </c>
      <c r="H11" s="21">
        <f t="shared" ref="H11:H14" si="13">F11-G11+1000</f>
        <v>1007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/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3</v>
      </c>
      <c r="DB11" s="21">
        <f>IF(AND(Matches!G19&lt;&gt;"",Matches!F19&lt;&gt;""),Matches!G19,0)</f>
        <v>0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3</v>
      </c>
      <c r="B12" s="21" t="str">
        <f>Matches!AH15</f>
        <v>Russia</v>
      </c>
      <c r="C12" s="21">
        <f>SUMPRODUCT((CZ3:CZ42=B12)*(DD3:DD42="W"))+SUMPRODUCT((DC3:DC42=B12)*(DE3:DE42="W"))</f>
        <v>0</v>
      </c>
      <c r="D12" s="21">
        <f>SUMPRODUCT((CZ3:CZ42=B12)*(DD3:DD42="D"))+SUMPRODUCT((DC3:DC42=B12)*(DE3:DE42="D"))</f>
        <v>2</v>
      </c>
      <c r="E12" s="21">
        <f>SUMPRODUCT((CZ3:CZ42=B12)*(DD3:DD42="L"))+SUMPRODUCT((DC3:DC42=B12)*(DE3:DE42="L"))</f>
        <v>1</v>
      </c>
      <c r="F12" s="21">
        <f>SUMIF(CZ3:CZ60,B12,DA3:DA60)+SUMIF(DC3:DC60,B12,DB3:DB60)</f>
        <v>3</v>
      </c>
      <c r="G12" s="21">
        <f>SUMIF(DC3:DC60,B12,DA3:DA60)+SUMIF(CZ3:CZ60,B12,DB3:DB60)</f>
        <v>6</v>
      </c>
      <c r="H12" s="21">
        <f t="shared" si="13"/>
        <v>997</v>
      </c>
      <c r="I12" s="21">
        <f t="shared" si="14"/>
        <v>2</v>
      </c>
      <c r="J12" s="21">
        <v>44</v>
      </c>
      <c r="K12" s="21">
        <f>IF(COUNTIF(I11:I15,4)&lt;&gt;4,RANK(I12,I11:I15),I52)</f>
        <v>3</v>
      </c>
      <c r="L12" s="21"/>
      <c r="M12" s="21">
        <f>SUMPRODUCT((K11:K14=K12)*(J11:J14&lt;J12))+K12</f>
        <v>3</v>
      </c>
      <c r="N12" s="21" t="str">
        <f>INDEX(B11:B15,MATCH(2,M11:M15,0),0)</f>
        <v>Denmark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/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/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0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0</v>
      </c>
      <c r="AU12" s="21">
        <f>AS12-AT12+1000</f>
        <v>1000</v>
      </c>
      <c r="AV12" s="21" t="str">
        <f t="shared" ref="AV12:AV14" si="18">IF(AO12&lt;&gt;"",AP12*3+AQ12*1,"")</f>
        <v/>
      </c>
      <c r="AW12" s="21" t="str">
        <f>IF(AO12&lt;&gt;"",VLOOKUP(AO12,B4:H40,7,FALSE),"")</f>
        <v/>
      </c>
      <c r="AX12" s="21" t="str">
        <f>IF(AO12&lt;&gt;"",VLOOKUP(AO12,B4:H40,5,FALSE),"")</f>
        <v/>
      </c>
      <c r="AY12" s="21" t="str">
        <f>IF(AO12&lt;&gt;"",VLOOKUP(AO12,B4:J40,9,FALSE),"")</f>
        <v/>
      </c>
      <c r="AZ12" s="21" t="str">
        <f t="shared" ref="AZ12:AZ14" si="19">AV12</f>
        <v/>
      </c>
      <c r="BA12" s="21" t="str">
        <f>IF(AO12&lt;&gt;"",RANK(AZ12,AZ11:AZ15),"")</f>
        <v/>
      </c>
      <c r="BB12" s="21" t="str">
        <f>IF(AO12&lt;&gt;"",SUMPRODUCT((AZ11:AZ15=AZ12)*(AU11:AU15&gt;AU12)),"")</f>
        <v/>
      </c>
      <c r="BC12" s="21" t="str">
        <f>IF(AO12&lt;&gt;"",SUMPRODUCT((AZ11:AZ15=AZ12)*(AU11:AU15=AU12)*(AS11:AS15&gt;AS12)),"")</f>
        <v/>
      </c>
      <c r="BD12" s="21" t="str">
        <f>IF(AO12&lt;&gt;"",SUMPRODUCT((AZ11:AZ15=AZ12)*(AU11:AU15=AU12)*(AS11:AS15=AS12)*(AW11:AW15&gt;AW12)),"")</f>
        <v/>
      </c>
      <c r="BE12" s="21" t="str">
        <f>IF(AO12&lt;&gt;"",SUMPRODUCT((AZ11:AZ15=AZ12)*(AU11:AU15=AU12)*(AS11:AS15=AS12)*(AW11:AW15=AW12)*(AX11:AX15&gt;AX12)),"")</f>
        <v/>
      </c>
      <c r="BF12" s="21" t="str">
        <f>IF(AO12&lt;&gt;"",SUMPRODUCT((AZ11:AZ15=AZ12)*(AU11:AU15=AU12)*(AS11:AS15=AS12)*(AW11:AW15=AW12)*(AX11:AX15=AX12)*(AY11:AY15&gt;AY12)),"")</f>
        <v/>
      </c>
      <c r="BG12" s="21" t="str">
        <f>IF(AO12&lt;&gt;"",IF(BG52&lt;&gt;"",IF(AN50=3,BG52,BG52+AN50),SUM(BA12:BF12)+1),"")</f>
        <v/>
      </c>
      <c r="BH12" s="21" t="str">
        <f>IF(AO12&lt;&gt;"",INDEX(AO12:AO15,MATCH(2,BG12:BG15,0),0),"")</f>
        <v/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2</v>
      </c>
      <c r="DB12" s="21">
        <f>IF(AND(Matches!G20&lt;&gt;"",Matches!F20&lt;&gt;""),Matches!G20,0)</f>
        <v>1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C</v>
      </c>
      <c r="DR12" s="199" t="str">
        <f>Matches!AC44</f>
        <v>D</v>
      </c>
      <c r="DS12" s="199" t="str">
        <f>Matches!AC45</f>
        <v>F</v>
      </c>
      <c r="DT12" s="199" t="str">
        <f>Matches!AC46</f>
        <v>A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1</v>
      </c>
      <c r="E13" s="21">
        <f>SUMPRODUCT((CZ3:CZ42=B13)*(DD3:DD42="L"))+SUMPRODUCT((DC3:DC42=B13)*(DE3:DE42="L"))</f>
        <v>1</v>
      </c>
      <c r="F13" s="21">
        <f>SUMIF(CZ3:CZ60,B13,DA3:DA60)+SUMIF(DC3:DC60,B13,DB3:DB60)</f>
        <v>5</v>
      </c>
      <c r="G13" s="21">
        <f>SUMIF(DC3:DC60,B13,DA3:DA60)+SUMIF(CZ3:CZ60,B13,DB3:DB60)</f>
        <v>6</v>
      </c>
      <c r="H13" s="21">
        <f t="shared" si="13"/>
        <v>999</v>
      </c>
      <c r="I13" s="21">
        <f t="shared" si="14"/>
        <v>4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2</v>
      </c>
      <c r="N13" s="21" t="str">
        <f>INDEX(B11:B15,MATCH(3,M11:M15,0),0)</f>
        <v>Russia</v>
      </c>
      <c r="O13" s="21">
        <f>INDEX(K11:K15,MATCH(N13,B11:B15,0),0)</f>
        <v>3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/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0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0</v>
      </c>
      <c r="AU13" s="21">
        <f>AS13-AT13+1000</f>
        <v>1000</v>
      </c>
      <c r="AV13" s="21" t="str">
        <f t="shared" si="18"/>
        <v/>
      </c>
      <c r="AW13" s="21" t="str">
        <f>IF(AO13&lt;&gt;"",VLOOKUP(AO13,B4:H40,7,FALSE),"")</f>
        <v/>
      </c>
      <c r="AX13" s="21" t="str">
        <f>IF(AO13&lt;&gt;"",VLOOKUP(AO13,B4:H40,5,FALSE),"")</f>
        <v/>
      </c>
      <c r="AY13" s="21" t="str">
        <f>IF(AO13&lt;&gt;"",VLOOKUP(AO13,B4:J40,9,FALSE),"")</f>
        <v/>
      </c>
      <c r="AZ13" s="21" t="str">
        <f t="shared" si="19"/>
        <v/>
      </c>
      <c r="BA13" s="21" t="str">
        <f>IF(AO13&lt;&gt;"",RANK(AZ13,AZ11:AZ15),"")</f>
        <v/>
      </c>
      <c r="BB13" s="21" t="str">
        <f>IF(AO13&lt;&gt;"",SUMPRODUCT((AZ11:AZ15=AZ13)*(AU11:AU15&gt;AU13)),"")</f>
        <v/>
      </c>
      <c r="BC13" s="21" t="str">
        <f>IF(AO13&lt;&gt;"",SUMPRODUCT((AZ11:AZ15=AZ13)*(AU11:AU15=AU13)*(AS11:AS15&gt;AS13)),"")</f>
        <v/>
      </c>
      <c r="BD13" s="21" t="str">
        <f>IF(AO13&lt;&gt;"",SUMPRODUCT((AZ11:AZ15=AZ13)*(AU11:AU15=AU13)*(AS11:AS15=AS13)*(AW11:AW15&gt;AW13)),"")</f>
        <v/>
      </c>
      <c r="BE13" s="21" t="str">
        <f>IF(AO13&lt;&gt;"",SUMPRODUCT((AZ11:AZ15=AZ13)*(AU11:AU15=AU13)*(AS11:AS15=AS13)*(AW11:AW15=AW13)*(AX11:AX15&gt;AX13)),"")</f>
        <v/>
      </c>
      <c r="BF13" s="21" t="str">
        <f>IF(AO13&lt;&gt;"",SUMPRODUCT((AZ11:AZ15=AZ13)*(AU11:AU15=AU13)*(AS11:AS15=AS13)*(AW11:AW15=AW13)*(AX11:AX15=AX13)*(AY11:AY15&gt;AY13)),"")</f>
        <v/>
      </c>
      <c r="BG13" s="21" t="str">
        <f>IF(AO13&lt;&gt;"",IF(BG53&lt;&gt;"",IF(AN50=3,BG53,BG53+AN50),SUM(BA13:BF13)+1),"")</f>
        <v/>
      </c>
      <c r="BH13" s="21" t="str">
        <f>IF(AO13&lt;&gt;"",INDEX(AO12:AO15,MATCH(3,BG12:BG15,0),0),"")</f>
        <v/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Russia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3</v>
      </c>
      <c r="DR13" s="199">
        <f>IFERROR(MATCH(DR12,DH13:DK13,0),0)</f>
        <v>4</v>
      </c>
      <c r="DS13" s="199">
        <f>IFERROR(MATCH(DS12,DH13:DK13,0),0)</f>
        <v>0</v>
      </c>
      <c r="DT13" s="199">
        <f>IFERROR(MATCH(DT12,DH13:DK13,0),0)</f>
        <v>1</v>
      </c>
      <c r="DU13" s="199">
        <f t="shared" ref="DU13:DU27" si="22">SUM(DQ13:DT13)</f>
        <v>8</v>
      </c>
      <c r="DV13" s="198"/>
      <c r="DW13" s="198" t="str">
        <f>INDEX(DH3:DH8,MATCH(1,DU3:DU8,0),0)</f>
        <v>Ukraine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ht="14" x14ac:dyDescent="0.2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1</v>
      </c>
      <c r="E14" s="21">
        <f>SUMPRODUCT((CZ3:CZ42=B14)*(DD3:DD42="L"))+SUMPRODUCT((DC3:DC42=B14)*(DE3:DE42="L"))</f>
        <v>2</v>
      </c>
      <c r="F14" s="21">
        <f>SUMIF(CZ3:CZ60,B14,DA3:DA60)+SUMIF(DC3:DC60,B14,DB3:DB60)</f>
        <v>2</v>
      </c>
      <c r="G14" s="21">
        <f>SUMIF(DC3:DC60,B14,DA3:DA60)+SUMIF(CZ3:CZ60,B14,DB3:DB60)</f>
        <v>5</v>
      </c>
      <c r="H14" s="21">
        <f t="shared" si="13"/>
        <v>997</v>
      </c>
      <c r="I14" s="21">
        <f t="shared" si="14"/>
        <v>1</v>
      </c>
      <c r="J14" s="21">
        <v>36</v>
      </c>
      <c r="K14" s="21">
        <f>IF(COUNTIF(I11:I15,4)&lt;&gt;4,RANK(I14,I11:I15),I54)</f>
        <v>4</v>
      </c>
      <c r="L14" s="21"/>
      <c r="M14" s="21">
        <f>SUMPRODUCT((K11:K14=K14)*(J11:J14&lt;J14))+K14</f>
        <v>4</v>
      </c>
      <c r="N14" s="21" t="str">
        <f>INDEX(B11:B15,MATCH(4,M11:M15,0),0)</f>
        <v>Finland</v>
      </c>
      <c r="O14" s="21">
        <f>INDEX(K11:K15,MATCH(N14,B11:B15,0),0)</f>
        <v>4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2</v>
      </c>
      <c r="DB14" s="21">
        <f>IF(AND(Matches!G22&lt;&gt;"",Matches!F22&lt;&gt;""),Matches!G22,0)</f>
        <v>1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3</v>
      </c>
      <c r="DR14" s="199">
        <f>IFERROR(MATCH(DR12,DH14:DK14,0),0)</f>
        <v>0</v>
      </c>
      <c r="DS14" s="199">
        <f>IFERROR(MATCH(DS12,DH14:DK14,0),0)</f>
        <v>0</v>
      </c>
      <c r="DT14" s="199">
        <f>IFERROR(MATCH(DT12,DH14:DK14,0),0)</f>
        <v>1</v>
      </c>
      <c r="DU14" s="199">
        <f t="shared" si="22"/>
        <v>4</v>
      </c>
      <c r="DV14" s="198"/>
      <c r="DW14" s="198" t="str">
        <f>INDEX(DH3:DH8,MATCH(2,DU3:DU8,0),0)</f>
        <v>Scotland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1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D</v>
      </c>
      <c r="DE15" s="21" t="str">
        <f t="shared" si="0"/>
        <v>D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3</v>
      </c>
      <c r="DR15" s="199">
        <f>IFERROR(MATCH(DR12,DH15:DK15,0),0)</f>
        <v>0</v>
      </c>
      <c r="DS15" s="199">
        <f>IFERROR(MATCH(DS12,DH15:DK15,0),0)</f>
        <v>4</v>
      </c>
      <c r="DT15" s="199">
        <f>IFERROR(MATCH(DT12,DH15:DK15,0),0)</f>
        <v>1</v>
      </c>
      <c r="DU15" s="199">
        <f t="shared" si="22"/>
        <v>8</v>
      </c>
      <c r="DV15" s="198"/>
      <c r="DW15" s="198" t="str">
        <f>INDEX(DH3:DH8,MATCH(3,DU3:DU8,0),0)</f>
        <v>Germany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ht="14" x14ac:dyDescent="0.2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1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0</v>
      </c>
      <c r="DR16" s="199">
        <f>IFERROR(MATCH(DR12,DH16:DK16,0),0)</f>
        <v>3</v>
      </c>
      <c r="DS16" s="199">
        <f>IFERROR(MATCH(DS12,DH16:DK16,0),0)</f>
        <v>0</v>
      </c>
      <c r="DT16" s="199">
        <f>IFERROR(MATCH(DT12,DH16:DK16,0),0)</f>
        <v>1</v>
      </c>
      <c r="DU16" s="199">
        <f t="shared" si="22"/>
        <v>4</v>
      </c>
      <c r="DV16" s="198"/>
      <c r="DW16" s="198" t="str">
        <f>INDEX(DH3:DH8,MATCH(4,DU3:DU8,0),0)</f>
        <v>Turkey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1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0</v>
      </c>
      <c r="DR17" s="199">
        <f>IFERROR(MATCH(DR12,DH17:DK17,0),0)</f>
        <v>3</v>
      </c>
      <c r="DS17" s="199">
        <f>IFERROR(MATCH(DS12,DH17:DK17,0),0)</f>
        <v>4</v>
      </c>
      <c r="DT17" s="199">
        <f>IFERROR(MATCH(DT12,DH17:DK17,0),0)</f>
        <v>1</v>
      </c>
      <c r="DU17" s="199">
        <f t="shared" si="22"/>
        <v>8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2</v>
      </c>
      <c r="D18" s="21">
        <f>SUMPRODUCT((CZ3:CZ42=B18)*(DD3:DD42="D"))+SUMPRODUCT((DC3:DC42=B18)*(DE3:DE42="D"))</f>
        <v>1</v>
      </c>
      <c r="E18" s="21">
        <f>SUMPRODUCT((CZ3:CZ42=B18)*(DD3:DD42="L"))+SUMPRODUCT((DC3:DC42=B18)*(DE3:DE42="L"))</f>
        <v>0</v>
      </c>
      <c r="F18" s="21">
        <f>SUMIF(CZ3:CZ60,B18,DA3:DA60)+SUMIF(DC3:DC60,B18,DB3:DB60)</f>
        <v>7</v>
      </c>
      <c r="G18" s="21">
        <f>SUMIF(DC3:DC60,B18,DA3:DA60)+SUMIF(CZ3:CZ60,B18,DB3:DB60)</f>
        <v>4</v>
      </c>
      <c r="H18" s="21">
        <f t="shared" ref="H18:H21" si="25">F18-G18+1000</f>
        <v>1003</v>
      </c>
      <c r="I18" s="21">
        <f t="shared" ref="I18:I21" si="26">C18*3+D18*1</f>
        <v>7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0</v>
      </c>
      <c r="DR18" s="199">
        <f>IFERROR(MATCH(DR12,DH18:DK18,0),0)</f>
        <v>0</v>
      </c>
      <c r="DS18" s="199">
        <f>IFERROR(MATCH(DS12,DH18:DK18,0),0)</f>
        <v>4</v>
      </c>
      <c r="DT18" s="199">
        <f>IFERROR(MATCH(DT12,DH18:DK18,0),0)</f>
        <v>1</v>
      </c>
      <c r="DU18" s="199">
        <f t="shared" si="22"/>
        <v>5</v>
      </c>
      <c r="DV18" s="198" t="s">
        <v>90</v>
      </c>
      <c r="DW18" s="198" t="str">
        <f>INDEX(DH3:DH8,MATCH(INDEX(DL13:DL27,MATCH(10,DU13:DU27,0),0),DV3:DV8,0),0)</f>
        <v>Germany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1</v>
      </c>
      <c r="E19" s="21">
        <f>SUMPRODUCT((CZ3:CZ42=B19)*(DD3:DD42="L"))+SUMPRODUCT((DC3:DC42=B19)*(DE3:DE42="L"))</f>
        <v>1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4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3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2</v>
      </c>
      <c r="DR19" s="199">
        <f>IFERROR(MATCH(DR12,DH19:DK19,0),0)</f>
        <v>3</v>
      </c>
      <c r="DS19" s="199">
        <f>IFERROR(MATCH(DS12,DH19:DK19,0),0)</f>
        <v>0</v>
      </c>
      <c r="DT19" s="199">
        <f>IFERROR(MATCH(DT12,DH19:DK19,0),0)</f>
        <v>1</v>
      </c>
      <c r="DU19" s="199">
        <f t="shared" si="22"/>
        <v>6</v>
      </c>
      <c r="DV19" s="198" t="s">
        <v>85</v>
      </c>
      <c r="DW19" s="198" t="str">
        <f>INDEX(DH3:DH8,MATCH(INDEX(DM13:DM27,MATCH(10,DU13:DU27,0),0),DV3:DV8,0),0)</f>
        <v>Scotland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1</v>
      </c>
      <c r="D20" s="21">
        <f>SUMPRODUCT((CZ3:CZ42=B20)*(DD3:DD42="D"))+SUMPRODUCT((DC3:DC42=B20)*(DE3:DE42="D"))</f>
        <v>2</v>
      </c>
      <c r="E20" s="21">
        <f>SUMPRODUCT((CZ3:CZ42=B20)*(DD3:DD42="L"))+SUMPRODUCT((DC3:DC42=B20)*(DE3:DE42="L"))</f>
        <v>0</v>
      </c>
      <c r="F20" s="21">
        <f>SUMIF(CZ3:CZ60,B20,DA3:DA60)+SUMIF(DC3:DC60,B20,DB3:DB60)</f>
        <v>5</v>
      </c>
      <c r="G20" s="21">
        <f>SUMIF(DC3:DC60,B20,DA3:DA60)+SUMIF(CZ3:CZ60,B20,DB3:DB60)</f>
        <v>4</v>
      </c>
      <c r="H20" s="21">
        <f t="shared" si="25"/>
        <v>1001</v>
      </c>
      <c r="I20" s="21">
        <f t="shared" si="26"/>
        <v>5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2</v>
      </c>
      <c r="DC20" s="21" t="str">
        <f>Matches!H28</f>
        <v>Austria</v>
      </c>
      <c r="DD20" s="21" t="str">
        <f>IF(AND(Matches!F28&lt;&gt;"",Matches!G28&lt;&gt;""),IF(DA20&gt;DB20,"W",IF(DA20=DB20,"D","L")),"")</f>
        <v>D</v>
      </c>
      <c r="DE20" s="21" t="str">
        <f t="shared" si="0"/>
        <v>D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2</v>
      </c>
      <c r="DR20" s="199">
        <f>IFERROR(MATCH(DR12,DH20:DK20,0),0)</f>
        <v>3</v>
      </c>
      <c r="DS20" s="199">
        <f>IFERROR(MATCH(DS12,DH20:DK20,0),0)</f>
        <v>4</v>
      </c>
      <c r="DT20" s="199">
        <f>IFERROR(MATCH(DT12,DH20:DK20,0),0)</f>
        <v>1</v>
      </c>
      <c r="DU20" s="199">
        <f t="shared" si="22"/>
        <v>10</v>
      </c>
      <c r="DV20" s="198" t="s">
        <v>86</v>
      </c>
      <c r="DW20" s="198" t="str">
        <f>INDEX(DH3:DH8,MATCH(INDEX(DN13:DN27,MATCH(10,DU13:DU27,0),0),DV3:DV8,0),0)</f>
        <v>Ukraine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3</v>
      </c>
      <c r="G21" s="21">
        <f>SUMIF(DC3:DC60,B21,DA3:DA60)+SUMIF(CZ3:CZ60,B21,DB3:DB60)</f>
        <v>6</v>
      </c>
      <c r="H21" s="21">
        <f t="shared" si="25"/>
        <v>997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1</v>
      </c>
      <c r="DC21" s="21" t="str">
        <f>Matches!H29</f>
        <v>Slovakia</v>
      </c>
      <c r="DD21" s="21" t="str">
        <f>IF(AND(Matches!F29&lt;&gt;"",Matches!G29&lt;&gt;""),IF(DA21&gt;DB21,"W",IF(DA21=DB21,"D","L")),"")</f>
        <v>D</v>
      </c>
      <c r="DE21" s="21" t="str">
        <f t="shared" si="0"/>
        <v>D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2</v>
      </c>
      <c r="DR21" s="199">
        <f>IFERROR(MATCH(DR12,DH21:DK21,0),0)</f>
        <v>0</v>
      </c>
      <c r="DS21" s="199">
        <f>IFERROR(MATCH(DS12,DH21:DK21,0),0)</f>
        <v>4</v>
      </c>
      <c r="DT21" s="199">
        <f>IFERROR(MATCH(DT12,DH21:DK21,0),0)</f>
        <v>1</v>
      </c>
      <c r="DU21" s="199">
        <f t="shared" si="22"/>
        <v>7</v>
      </c>
      <c r="DV21" s="198" t="s">
        <v>91</v>
      </c>
      <c r="DW21" s="198" t="str">
        <f>INDEX(DH3:DH8,MATCH(INDEX(DO13:DO27,MATCH(10,DU13:DU27,0),0),DV3:DV8,0),0)</f>
        <v>Turkey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2</v>
      </c>
      <c r="DB22" s="21">
        <f>IF(AND(Matches!G30&lt;&gt;"",Matches!F30&lt;&gt;""),Matches!G30,0)</f>
        <v>0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0</v>
      </c>
      <c r="DR22" s="199">
        <f>IFERROR(MATCH(DR12,DH22:DK22,0),0)</f>
        <v>2</v>
      </c>
      <c r="DS22" s="199">
        <f>IFERROR(MATCH(DS12,DH22:DK22,0),0)</f>
        <v>4</v>
      </c>
      <c r="DT22" s="199">
        <f>IFERROR(MATCH(DT12,DH22:DK22,0),0)</f>
        <v>1</v>
      </c>
      <c r="DU22" s="199">
        <f t="shared" si="22"/>
        <v>7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2</v>
      </c>
      <c r="DB23" s="21">
        <f>IF(AND(Matches!G31&lt;&gt;"",Matches!F31&lt;&gt;""),Matches!G31,0)</f>
        <v>1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2</v>
      </c>
      <c r="DR23" s="199">
        <f>IFERROR(MATCH(DR12,DH23:DK23,0),0)</f>
        <v>3</v>
      </c>
      <c r="DS23" s="199">
        <f>IFERROR(MATCH(DS12,DH23:DK23,0),0)</f>
        <v>0</v>
      </c>
      <c r="DT23" s="199">
        <f>IFERROR(MATCH(DT12,DH23:DK23,0),0)</f>
        <v>0</v>
      </c>
      <c r="DU23" s="199">
        <f t="shared" si="22"/>
        <v>5</v>
      </c>
      <c r="DV23" s="198"/>
      <c r="DW23" s="198" t="str">
        <f>VLOOKUP(2,A4:B7,2,FALSE)</f>
        <v>Wales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0</v>
      </c>
      <c r="DB24" s="21">
        <f>IF(AND(Matches!G32&lt;&gt;"",Matches!F32&lt;&gt;""),Matches!G32,0)</f>
        <v>3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2</v>
      </c>
      <c r="DR24" s="199">
        <f>IFERROR(MATCH(DR12,DH24:DK24,0),0)</f>
        <v>3</v>
      </c>
      <c r="DS24" s="199">
        <f>IFERROR(MATCH(DS12,DH24:DK24,0),0)</f>
        <v>4</v>
      </c>
      <c r="DT24" s="199">
        <f>IFERROR(MATCH(DT12,DH24:DK24,0),0)</f>
        <v>0</v>
      </c>
      <c r="DU24" s="199">
        <f t="shared" si="22"/>
        <v>9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ht="14" x14ac:dyDescent="0.2">
      <c r="A25" s="21">
        <f>VLOOKUP(B25,CW25:CX29,2,FALSE)</f>
        <v>3</v>
      </c>
      <c r="B25" s="21" t="str">
        <f>Matches!AH22</f>
        <v>Scotland</v>
      </c>
      <c r="C25" s="21">
        <f>SUMPRODUCT((CZ3:CZ42=B25)*(DD3:DD42="W"))+SUMPRODUCT((DC3:DC42=B25)*(DE3:DE42="W"))</f>
        <v>1</v>
      </c>
      <c r="D25" s="21">
        <f>SUMPRODUCT((CZ3:CZ42=B25)*(DD3:DD42="D"))+SUMPRODUCT((DC3:DC42=B25)*(DE3:DE42="D"))</f>
        <v>0</v>
      </c>
      <c r="E25" s="21">
        <f>SUMPRODUCT((CZ3:CZ42=B25)*(DD3:DD42="L"))+SUMPRODUCT((DC3:DC42=B25)*(DE3:DE42="L"))</f>
        <v>2</v>
      </c>
      <c r="F25" s="21">
        <f>SUMIF(CZ3:CZ60,B25,DA3:DA60)+SUMIF(DC3:DC60,B25,DB3:DB60)</f>
        <v>3</v>
      </c>
      <c r="G25" s="21">
        <f>SUMIF(DC3:DC60,B25,DA3:DA60)+SUMIF(CZ3:CZ60,B25,DB3:DB60)</f>
        <v>4</v>
      </c>
      <c r="H25" s="21">
        <f t="shared" ref="H25:H28" si="36">F25-G25+1000</f>
        <v>999</v>
      </c>
      <c r="I25" s="21">
        <f t="shared" ref="I25:I28" si="37">C25*3+D25*1</f>
        <v>3</v>
      </c>
      <c r="J25" s="21">
        <v>27</v>
      </c>
      <c r="K25" s="21">
        <f>IF(COUNTIF(I25:I29,4)&lt;&gt;4,RANK(I25,I25:I29),I65)</f>
        <v>3</v>
      </c>
      <c r="L25" s="21"/>
      <c r="M25" s="21">
        <f>SUMPRODUCT((K25:K28=K25)*(J25:J28&lt;J25))+K25</f>
        <v>3</v>
      </c>
      <c r="N25" s="21" t="str">
        <f>INDEX(B25:B29,MATCH(1,M25:M29,0),0)</f>
        <v>Croatia</v>
      </c>
      <c r="O25" s="21">
        <f>INDEX(K25:K29,MATCH(N25,B25:B29,0),0)</f>
        <v>1</v>
      </c>
      <c r="P25" s="21" t="str">
        <f>IF(O26=1,N25,"")</f>
        <v>Croatia</v>
      </c>
      <c r="Q25" s="21" t="str">
        <f>IF(O27=2,N26,"")</f>
        <v/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>Croatia</v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1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1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1</v>
      </c>
      <c r="AA25" s="21">
        <f>Y25-Z25+1000</f>
        <v>1000</v>
      </c>
      <c r="AB25" s="21">
        <f t="shared" ref="AB25:AB28" si="38">IF(U25&lt;&gt;"",V25*3+W25*1,"")</f>
        <v>1</v>
      </c>
      <c r="AC25" s="21">
        <f>IF(U25&lt;&gt;"",VLOOKUP(U25,B4:H40,7,FALSE),"")</f>
        <v>1003</v>
      </c>
      <c r="AD25" s="21">
        <f>IF(U25&lt;&gt;"",VLOOKUP(U25,B4:H40,5,FALSE),"")</f>
        <v>5</v>
      </c>
      <c r="AE25" s="21">
        <f>IF(U25&lt;&gt;"",VLOOKUP(U25,B4:J40,9,FALSE),"")</f>
        <v>46</v>
      </c>
      <c r="AF25" s="21">
        <f t="shared" ref="AF25:AF28" si="39">AB25</f>
        <v>1</v>
      </c>
      <c r="AG25" s="21">
        <f>IF(U25&lt;&gt;"",RANK(AF25,AF25:AF29),"")</f>
        <v>1</v>
      </c>
      <c r="AH25" s="21">
        <f>IF(U25&lt;&gt;"",SUMPRODUCT((AF25:AF29=AF25)*(AA25:AA29&gt;AA25)),"")</f>
        <v>0</v>
      </c>
      <c r="AI25" s="21">
        <f>IF(U25&lt;&gt;"",SUMPRODUCT((AF25:AF29=AF25)*(AA25:AA29=AA25)*(Y25:Y29&gt;Y25)),"")</f>
        <v>0</v>
      </c>
      <c r="AJ25" s="21">
        <f>IF(U25&lt;&gt;"",SUMPRODUCT((AF25:AF29=AF25)*(AA25:AA29=AA25)*(Y25:Y29=Y25)*(AC25:AC29&gt;AC25)),"")</f>
        <v>0</v>
      </c>
      <c r="AK25" s="21">
        <f>IF(U25&lt;&gt;"",SUMPRODUCT((AF25:AF29=AF25)*(AA25:AA29=AA25)*(Y25:Y29=Y25)*(AC25:AC29=AC25)*(AD25:AD29&gt;AD25)),"")</f>
        <v>1</v>
      </c>
      <c r="AL25" s="21">
        <f>IF(U25&lt;&gt;"",SUMPRODUCT((AF25:AF29=AF25)*(AA25:AA29=AA25)*(Y25:Y29=Y25)*(AC25:AC29=AC25)*(AD25:AD29=AD25)*(AE25:AE29&gt;AE25)),"")</f>
        <v>0</v>
      </c>
      <c r="AM25" s="21">
        <f>IF(U25&lt;&gt;"",IF(AM65&lt;&gt;"",IF(T64=3,AM65,AM65+T64),SUM(AG25:AL25)),"")</f>
        <v>2</v>
      </c>
      <c r="AN25" s="21" t="str">
        <f>IF(U25&lt;&gt;"",INDEX(U25:U29,MATCH(1,AM25:AM29,0),0),"")</f>
        <v>England</v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3</v>
      </c>
      <c r="DB25" s="21">
        <f>IF(AND(Matches!G33&lt;&gt;"",Matches!F33&lt;&gt;""),Matches!G33,0)</f>
        <v>1</v>
      </c>
      <c r="DC25" s="21" t="str">
        <f>Matches!H33</f>
        <v>Germany</v>
      </c>
      <c r="DD25" s="21" t="str">
        <f>IF(AND(Matches!F33&lt;&gt;"",Matches!G33&lt;&gt;""),IF(DA25&gt;DB25,"W",IF(DA25=DB25,"D","L")),"")</f>
        <v>W</v>
      </c>
      <c r="DE25" s="21" t="str">
        <f t="shared" si="0"/>
        <v>L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2</v>
      </c>
      <c r="DR25" s="199">
        <f>IFERROR(MATCH(DR12,DH25:DK25,0),0)</f>
        <v>0</v>
      </c>
      <c r="DS25" s="199">
        <f>IFERROR(MATCH(DS12,DH25:DK25,0),0)</f>
        <v>4</v>
      </c>
      <c r="DT25" s="199">
        <f>IFERROR(MATCH(DT12,DH25:DK25,0),0)</f>
        <v>0</v>
      </c>
      <c r="DU25" s="199">
        <f t="shared" si="22"/>
        <v>6</v>
      </c>
      <c r="DV25" s="198"/>
      <c r="DW25" s="198" t="str">
        <f>VLOOKUP(2,A11:B14,2,FALSE)</f>
        <v>Denmark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ht="14" x14ac:dyDescent="0.2">
      <c r="A26" s="21">
        <f>VLOOKUP(B26,CW25:CX29,2,FALSE)</f>
        <v>4</v>
      </c>
      <c r="B26" s="21" t="str">
        <f>Matches!AH23</f>
        <v>Czech Republic</v>
      </c>
      <c r="C26" s="21">
        <f>SUMPRODUCT((CZ3:CZ42=B26)*(DD3:DD42="W"))+SUMPRODUCT((DC3:DC42=B26)*(DE3:DE42="W"))</f>
        <v>0</v>
      </c>
      <c r="D26" s="21">
        <f>SUMPRODUCT((CZ3:CZ42=B26)*(DD3:DD42="D"))+SUMPRODUCT((DC3:DC42=B26)*(DE3:DE42="D"))</f>
        <v>0</v>
      </c>
      <c r="E26" s="21">
        <f>SUMPRODUCT((CZ3:CZ42=B26)*(DD3:DD42="L"))+SUMPRODUCT((DC3:DC42=B26)*(DE3:DE42="L"))</f>
        <v>3</v>
      </c>
      <c r="F26" s="21">
        <f>SUMIF(CZ3:CZ60,B26,DA3:DA60)+SUMIF(DC3:DC60,B26,DB3:DB60)</f>
        <v>1</v>
      </c>
      <c r="G26" s="21">
        <f>SUMIF(DC3:DC60,B26,DA3:DA60)+SUMIF(CZ3:CZ60,B26,DB3:DB60)</f>
        <v>6</v>
      </c>
      <c r="H26" s="21">
        <f t="shared" si="36"/>
        <v>995</v>
      </c>
      <c r="I26" s="21">
        <f t="shared" si="37"/>
        <v>0</v>
      </c>
      <c r="J26" s="21">
        <v>38</v>
      </c>
      <c r="K26" s="21">
        <f>IF(COUNTIF(I25:I29,4)&lt;&gt;4,RANK(I26,I25:I29),I66)</f>
        <v>4</v>
      </c>
      <c r="L26" s="21"/>
      <c r="M26" s="21">
        <f>SUMPRODUCT((K25:K28=K26)*(J25:J28&lt;J26))+K26</f>
        <v>4</v>
      </c>
      <c r="N26" s="21" t="str">
        <f>INDEX(B25:B29,MATCH(2,M25:M29,0),0)</f>
        <v>England</v>
      </c>
      <c r="O26" s="21">
        <f>INDEX(K25:K29,MATCH(N26,B25:B29,0),0)</f>
        <v>1</v>
      </c>
      <c r="P26" s="21" t="str">
        <f>IF(P25&lt;&gt;"",N26,"")</f>
        <v>England</v>
      </c>
      <c r="Q26" s="21" t="str">
        <f>IF(Q25&lt;&gt;"",N27,"")</f>
        <v/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>England</v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1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1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1</v>
      </c>
      <c r="AA26" s="21">
        <f>Y26-Z26+1000</f>
        <v>1000</v>
      </c>
      <c r="AB26" s="21">
        <f t="shared" si="38"/>
        <v>1</v>
      </c>
      <c r="AC26" s="21">
        <f>IF(U26&lt;&gt;"",VLOOKUP(U26,B4:H40,7,FALSE),"")</f>
        <v>1003</v>
      </c>
      <c r="AD26" s="21">
        <f>IF(U26&lt;&gt;"",VLOOKUP(U26,B4:H40,5,FALSE),"")</f>
        <v>6</v>
      </c>
      <c r="AE26" s="21">
        <f>IF(U26&lt;&gt;"",VLOOKUP(U26,B4:J40,9,FALSE),"")</f>
        <v>53</v>
      </c>
      <c r="AF26" s="21">
        <f t="shared" si="39"/>
        <v>1</v>
      </c>
      <c r="AG26" s="21">
        <f>IF(U26&lt;&gt;"",RANK(AF26,AF25:AF29),"")</f>
        <v>1</v>
      </c>
      <c r="AH26" s="21">
        <f>IF(U26&lt;&gt;"",SUMPRODUCT((AF25:AF29=AF26)*(AA25:AA29&gt;AA26)),"")</f>
        <v>0</v>
      </c>
      <c r="AI26" s="21">
        <f>IF(U26&lt;&gt;"",SUMPRODUCT((AF25:AF29=AF26)*(AA25:AA29=AA26)*(Y25:Y29&gt;Y26)),"")</f>
        <v>0</v>
      </c>
      <c r="AJ26" s="21">
        <f>IF(U26&lt;&gt;"",SUMPRODUCT((AF25:AF29=AF26)*(AA25:AA29=AA26)*(Y25:Y29=Y26)*(AC25:AC29&gt;AC26)),"")</f>
        <v>0</v>
      </c>
      <c r="AK26" s="21">
        <f>IF(U26&lt;&gt;"",SUMPRODUCT((AF25:AF29=AF26)*(AA25:AA29=AA26)*(Y25:Y29=Y26)*(AC25:AC29=AC26)*(AD25:AD29&gt;AD26)),"")</f>
        <v>0</v>
      </c>
      <c r="AL26" s="21">
        <f>IF(U26&lt;&gt;"",SUMPRODUCT((AF25:AF29=AF26)*(AA25:AA29=AA26)*(Y25:Y29=Y26)*(AC25:AC29=AC26)*(AD25:AD29=AD26)*(AE25:AE29&gt;AE26)),"")</f>
        <v>0</v>
      </c>
      <c r="AM26" s="21">
        <f>IF(U26&lt;&gt;"",IF(AM66&lt;&gt;"",IF(T64=3,AM66,AM66+T64),SUM(AG26:AL26)),"")</f>
        <v>1</v>
      </c>
      <c r="AN26" s="21" t="str">
        <f>IF(U26&lt;&gt;"",INDEX(U25:U29,MATCH(2,AM25:AM29,0),0),"")</f>
        <v>Croatia</v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2</v>
      </c>
      <c r="DB26" s="21">
        <f>IF(AND(Matches!G34&lt;&gt;"",Matches!F34&lt;&gt;""),Matches!G34,0)</f>
        <v>2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0</v>
      </c>
      <c r="DR26" s="199">
        <f>IFERROR(MATCH(DR12,DH26:DK26,0),0)</f>
        <v>2</v>
      </c>
      <c r="DS26" s="199">
        <f>IFERROR(MATCH(DS12,DH26:DK26,0),0)</f>
        <v>4</v>
      </c>
      <c r="DT26" s="199">
        <f>IFERROR(MATCH(DT12,DH26:DK26,0),0)</f>
        <v>0</v>
      </c>
      <c r="DU26" s="199">
        <f t="shared" si="22"/>
        <v>6</v>
      </c>
      <c r="DV26" s="198" t="s">
        <v>48</v>
      </c>
      <c r="DW26" s="198" t="str">
        <f>VLOOKUP(1,A18:B21,2,FALSE)</f>
        <v>Netherlands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6</v>
      </c>
      <c r="G27" s="21">
        <f>SUMIF(DC3:DC60,B27,DA3:DA60)+SUMIF(CZ3:CZ60,B27,DB3:DB60)</f>
        <v>3</v>
      </c>
      <c r="H27" s="21">
        <f t="shared" si="36"/>
        <v>1003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2</v>
      </c>
      <c r="N27" s="21" t="str">
        <f>INDEX(B25:B29,MATCH(3,M25:M29,0),0)</f>
        <v>Scotland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Scotland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1</v>
      </c>
      <c r="DB27" s="21">
        <f>IF(AND(Matches!G35&lt;&gt;"",Matches!F35&lt;&gt;""),Matches!G35,0)</f>
        <v>2</v>
      </c>
      <c r="DC27" s="21" t="str">
        <f>Matches!H35</f>
        <v>Turkey</v>
      </c>
      <c r="DD27" s="21" t="str">
        <f>IF(AND(Matches!F35&lt;&gt;"",Matches!G35&lt;&gt;""),IF(DA27&gt;DB27,"W",IF(DA27=DB27,"D","L")),"")</f>
        <v>L</v>
      </c>
      <c r="DE27" s="21" t="str">
        <f t="shared" si="0"/>
        <v>W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1</v>
      </c>
      <c r="DR27" s="199">
        <f>IFERROR(MATCH(DR12,DH27:DK27,0),0)</f>
        <v>2</v>
      </c>
      <c r="DS27" s="199">
        <f>IFERROR(MATCH(DS12,DH27:DK27,0),0)</f>
        <v>4</v>
      </c>
      <c r="DT27" s="199">
        <f>IFERROR(MATCH(DT12,DH27:DK27,0),0)</f>
        <v>0</v>
      </c>
      <c r="DU27" s="199">
        <f t="shared" si="22"/>
        <v>7</v>
      </c>
      <c r="DV27" s="21"/>
      <c r="DW27" s="21" t="str">
        <f>VLOOKUP(2,A18:B21,2,FALSE)</f>
        <v>Austria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2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0</v>
      </c>
      <c r="F28" s="21">
        <f>SUMIF(CZ3:CZ60,B28,DA3:DA60)+SUMIF(DC3:DC60,B28,DB3:DB60)</f>
        <v>5</v>
      </c>
      <c r="G28" s="21">
        <f>SUMIF(DC3:DC60,B28,DA3:DA60)+SUMIF(CZ3:CZ60,B28,DB3:DB60)</f>
        <v>2</v>
      </c>
      <c r="H28" s="21">
        <f t="shared" si="36"/>
        <v>1003</v>
      </c>
      <c r="I28" s="21">
        <f t="shared" si="37"/>
        <v>7</v>
      </c>
      <c r="J28" s="21">
        <v>46</v>
      </c>
      <c r="K28" s="21">
        <f>IF(COUNTIF(I25:I29,4)&lt;&gt;4,RANK(I28,I25:I29),I68)</f>
        <v>1</v>
      </c>
      <c r="L28" s="21"/>
      <c r="M28" s="21">
        <f>SUMPRODUCT((K25:K28=K28)*(J25:J28&lt;J28))+K28</f>
        <v>1</v>
      </c>
      <c r="N28" s="21" t="str">
        <f>INDEX(B25:B29,MATCH(4,M25:M29,0),0)</f>
        <v>Czech Republic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Czech Republic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2</v>
      </c>
      <c r="DB28" s="21">
        <f>IF(AND(Matches!G36&lt;&gt;"",Matches!F36&lt;&gt;""),Matches!G36,0)</f>
        <v>1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1</v>
      </c>
      <c r="DB29" s="21">
        <f>IF(AND(Matches!G37&lt;&gt;"",Matches!F37&lt;&gt;""),Matches!G37,0)</f>
        <v>2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1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D</v>
      </c>
      <c r="DE30" s="21" t="str">
        <f t="shared" si="0"/>
        <v>D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Poland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ht="14" x14ac:dyDescent="0.2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2</v>
      </c>
      <c r="D31" s="21">
        <f>SUMPRODUCT((CZ3:CZ42=B31)*(DD3:DD42="D"))+SUMPRODUCT((DC3:DC42=B31)*(DE3:DE42="D"))</f>
        <v>1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3</v>
      </c>
      <c r="H31" s="21">
        <f t="shared" ref="H31:H34" si="47">F31-G31+1000</f>
        <v>1003</v>
      </c>
      <c r="I31" s="21">
        <f t="shared" ref="I31:I34" si="48">C31*3+D31*1</f>
        <v>7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2</v>
      </c>
      <c r="N31" s="21" t="str">
        <f>INDEX(B31:B35,MATCH(1,M31:M35,0),0)</f>
        <v>Poland</v>
      </c>
      <c r="O31" s="21">
        <f>INDEX(K31:K35,MATCH(N31,B31:B35,0),0)</f>
        <v>1</v>
      </c>
      <c r="P31" s="21" t="str">
        <f>IF(O32=1,N31,"")</f>
        <v>Poland</v>
      </c>
      <c r="Q31" s="21" t="str">
        <f>IF(O33=2,N32,"")</f>
        <v/>
      </c>
      <c r="R31" s="21" t="str">
        <f>IF(O34=3,N33,"")</f>
        <v>Slovakia</v>
      </c>
      <c r="S31" s="21" t="str">
        <f>IF(O35=4,N34,"")</f>
        <v/>
      </c>
      <c r="T31" s="21"/>
      <c r="U31" s="21" t="str">
        <f>IF(P31&lt;&gt;"",P31,"")</f>
        <v>Poland</v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1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2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2</v>
      </c>
      <c r="AA31" s="21">
        <f>Y31-Z31+1000</f>
        <v>1000</v>
      </c>
      <c r="AB31" s="21">
        <f t="shared" ref="AB31:AB34" si="49">IF(U31&lt;&gt;"",V31*3+W31*1,"")</f>
        <v>1</v>
      </c>
      <c r="AC31" s="21">
        <f>IF(U31&lt;&gt;"",VLOOKUP(U31,B4:H40,7,FALSE),"")</f>
        <v>1004</v>
      </c>
      <c r="AD31" s="21">
        <f>IF(U31&lt;&gt;"",VLOOKUP(U31,B4:H40,5,FALSE),"")</f>
        <v>7</v>
      </c>
      <c r="AE31" s="21">
        <f>IF(U31&lt;&gt;"",VLOOKUP(U31,B4:J40,9,FALSE),"")</f>
        <v>48</v>
      </c>
      <c r="AF31" s="21">
        <f t="shared" ref="AF31:AF34" si="50">AB31</f>
        <v>1</v>
      </c>
      <c r="AG31" s="21">
        <f>IF(U31&lt;&gt;"",RANK(AF31,AF31:AF35),"")</f>
        <v>1</v>
      </c>
      <c r="AH31" s="21">
        <f>IF(U31&lt;&gt;"",SUMPRODUCT((AF31:AF35=AF31)*(AA31:AA35&gt;AA31)),"")</f>
        <v>0</v>
      </c>
      <c r="AI31" s="21">
        <f>IF(U31&lt;&gt;"",SUMPRODUCT((AF31:AF35=AF31)*(AA31:AA35=AA31)*(Y31:Y35&gt;Y31)),"")</f>
        <v>0</v>
      </c>
      <c r="AJ31" s="21">
        <f>IF(U31&lt;&gt;"",SUMPRODUCT((AF31:AF35=AF31)*(AA31:AA35=AA31)*(Y31:Y35=Y31)*(AC31:AC35&gt;AC31)),"")</f>
        <v>0</v>
      </c>
      <c r="AK31" s="21">
        <f>IF(U31&lt;&gt;"",SUMPRODUCT((AF31:AF35=AF31)*(AA31:AA35=AA31)*(Y31:Y35=Y31)*(AC31:AC35=AC31)*(AD31:AD35&gt;AD31)),"")</f>
        <v>0</v>
      </c>
      <c r="AL31" s="21">
        <f>IF(U31&lt;&gt;"",SUMPRODUCT((AF31:AF35=AF31)*(AA31:AA35=AA31)*(Y31:Y35=Y31)*(AC31:AC35=AC31)*(AD31:AD35=AD31)*(AE31:AE35&gt;AE31)),"")</f>
        <v>0</v>
      </c>
      <c r="AM31" s="21">
        <f>IF(U31&lt;&gt;"",IF(AM71&lt;&gt;"",IF(T70=3,AM71,AM71+T70),SUM(AG31:AL31)),"")</f>
        <v>1</v>
      </c>
      <c r="AN31" s="21" t="str">
        <f>IF(U31&lt;&gt;"",INDEX(U31:U35,MATCH(1,AM31:AM35,0),0),"")</f>
        <v>Poland</v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Poland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2</v>
      </c>
      <c r="DB31" s="21">
        <f>IF(AND(Matches!G39&lt;&gt;"",Matches!F39&lt;&gt;""),Matches!G39,0)</f>
        <v>2</v>
      </c>
      <c r="DC31" s="21" t="str">
        <f>Matches!H39</f>
        <v>Denmark</v>
      </c>
      <c r="DD31" s="21" t="str">
        <f>IF(AND(Matches!F39&lt;&gt;"",Matches!G39&lt;&gt;""),IF(DA31&gt;DB31,"W",IF(DA31=DB31,"D","L")),"")</f>
        <v>D</v>
      </c>
      <c r="DE31" s="21" t="str">
        <f t="shared" si="0"/>
        <v>D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ht="14" x14ac:dyDescent="0.2">
      <c r="A32" s="21">
        <f>VLOOKUP(B32,CW31:CX35,2,FALSE)</f>
        <v>3</v>
      </c>
      <c r="B32" s="21" t="str">
        <f>Matches!AH27</f>
        <v>Sweden</v>
      </c>
      <c r="C32" s="21">
        <f>SUMPRODUCT((CZ3:CZ42=B32)*(DD3:DD42="W"))+SUMPRODUCT((DC3:DC42=B32)*(DE3:DE42="W"))</f>
        <v>0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2</v>
      </c>
      <c r="F32" s="21">
        <f>SUMIF(CZ3:CZ60,B32,DA3:DA60)+SUMIF(DC3:DC60,B32,DB3:DB60)</f>
        <v>3</v>
      </c>
      <c r="G32" s="21">
        <f>SUMIF(DC3:DC60,B32,DA3:DA60)+SUMIF(CZ3:CZ60,B32,DB3:DB60)</f>
        <v>5</v>
      </c>
      <c r="H32" s="21">
        <f t="shared" si="47"/>
        <v>998</v>
      </c>
      <c r="I32" s="21">
        <f t="shared" si="48"/>
        <v>1</v>
      </c>
      <c r="J32" s="21">
        <v>39</v>
      </c>
      <c r="K32" s="21">
        <f>IF(COUNTIF(I31:I35,4)&lt;&gt;4,RANK(I32,I31:I35),I72)</f>
        <v>3</v>
      </c>
      <c r="L32" s="21"/>
      <c r="M32" s="21">
        <f>SUMPRODUCT((K31:K34=K32)*(J31:J34&lt;J32))+K32</f>
        <v>4</v>
      </c>
      <c r="N32" s="21" t="str">
        <f>INDEX(B31:B35,MATCH(2,M31:M35,0),0)</f>
        <v>Spain</v>
      </c>
      <c r="O32" s="21">
        <f>INDEX(K31:K35,MATCH(N32,B31:B35,0),0)</f>
        <v>1</v>
      </c>
      <c r="P32" s="21" t="str">
        <f>IF(P31&lt;&gt;"",N32,"")</f>
        <v>Spain</v>
      </c>
      <c r="Q32" s="21" t="str">
        <f>IF(Q31&lt;&gt;"",N33,"")</f>
        <v/>
      </c>
      <c r="R32" s="21" t="str">
        <f>IF(R31&lt;&gt;"",N34,"")</f>
        <v>Sweden</v>
      </c>
      <c r="S32" s="21" t="str">
        <f>IF(S31&lt;&gt;"",N35,"")</f>
        <v/>
      </c>
      <c r="T32" s="21"/>
      <c r="U32" s="21" t="str">
        <f t="shared" ref="U32:U34" si="51">IF(P32&lt;&gt;"",P32,"")</f>
        <v>Spain</v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1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2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2</v>
      </c>
      <c r="AA32" s="21">
        <f>Y32-Z32+1000</f>
        <v>1000</v>
      </c>
      <c r="AB32" s="21">
        <f t="shared" si="49"/>
        <v>1</v>
      </c>
      <c r="AC32" s="21">
        <f>IF(U32&lt;&gt;"",VLOOKUP(U32,B4:H40,7,FALSE),"")</f>
        <v>1003</v>
      </c>
      <c r="AD32" s="21">
        <f>IF(U32&lt;&gt;"",VLOOKUP(U32,B4:H40,5,FALSE),"")</f>
        <v>6</v>
      </c>
      <c r="AE32" s="21">
        <f>IF(U32&lt;&gt;"",VLOOKUP(U32,B4:J40,9,FALSE),"")</f>
        <v>51</v>
      </c>
      <c r="AF32" s="21">
        <f t="shared" si="50"/>
        <v>1</v>
      </c>
      <c r="AG32" s="21">
        <f>IF(U32&lt;&gt;"",RANK(AF32,AF31:AF35),"")</f>
        <v>1</v>
      </c>
      <c r="AH32" s="21">
        <f>IF(U32&lt;&gt;"",SUMPRODUCT((AF31:AF35=AF32)*(AA31:AA35&gt;AA32)),"")</f>
        <v>0</v>
      </c>
      <c r="AI32" s="21">
        <f>IF(U32&lt;&gt;"",SUMPRODUCT((AF31:AF35=AF32)*(AA31:AA35=AA32)*(Y31:Y35&gt;Y32)),"")</f>
        <v>0</v>
      </c>
      <c r="AJ32" s="21">
        <f>IF(U32&lt;&gt;"",SUMPRODUCT((AF31:AF35=AF32)*(AA31:AA35=AA32)*(Y31:Y35=Y32)*(AC31:AC35&gt;AC32)),"")</f>
        <v>1</v>
      </c>
      <c r="AK32" s="21">
        <f>IF(U32&lt;&gt;"",SUMPRODUCT((AF31:AF35=AF32)*(AA31:AA35=AA32)*(Y31:Y35=Y32)*(AC31:AC35=AC32)*(AD31:AD35&gt;AD32)),"")</f>
        <v>0</v>
      </c>
      <c r="AL32" s="21">
        <f>IF(U32&lt;&gt;"",SUMPRODUCT((AF31:AF35=AF32)*(AA31:AA35=AA32)*(Y31:Y35=Y32)*(AC31:AC35=AC32)*(AD31:AD35=AD32)*(AE31:AE35&gt;AE32)),"")</f>
        <v>0</v>
      </c>
      <c r="AM32" s="21">
        <f>IF(U32&lt;&gt;"",IF(AM72&lt;&gt;"",IF(T70=3,AM72,AM72+T70),SUM(AG32:AL32)),"")</f>
        <v>2</v>
      </c>
      <c r="AN32" s="21" t="str">
        <f>IF(U32&lt;&gt;"",INDEX(U31:U35,MATCH(2,AM31:AM35,0),0),"")</f>
        <v>Spain</v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Portugal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ht="14" x14ac:dyDescent="0.2">
      <c r="A33" s="21">
        <f>VLOOKUP(B33,CW31:CX35,2,FALSE)</f>
        <v>1</v>
      </c>
      <c r="B33" s="21" t="str">
        <f>Matches!AH28</f>
        <v>Poland</v>
      </c>
      <c r="C33" s="21">
        <f>SUMPRODUCT((CZ3:CZ42=B33)*(DD3:DD42="W"))+SUMPRODUCT((DC3:DC42=B33)*(DE3:DE42="W"))</f>
        <v>2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0</v>
      </c>
      <c r="F33" s="21">
        <f>SUMIF(CZ3:CZ60,B33,DA3:DA60)+SUMIF(DC3:DC60,B33,DB3:DB60)</f>
        <v>7</v>
      </c>
      <c r="G33" s="21">
        <f>SUMIF(DC3:DC60,B33,DA3:DA60)+SUMIF(CZ3:CZ60,B33,DB3:DB60)</f>
        <v>3</v>
      </c>
      <c r="H33" s="21">
        <f t="shared" si="47"/>
        <v>1004</v>
      </c>
      <c r="I33" s="21">
        <f t="shared" si="48"/>
        <v>7</v>
      </c>
      <c r="J33" s="21">
        <v>48</v>
      </c>
      <c r="K33" s="21">
        <f>IF(COUNTIF(I31:I35,4)&lt;&gt;4,RANK(I33,I31:I35),I73)</f>
        <v>1</v>
      </c>
      <c r="L33" s="21"/>
      <c r="M33" s="21">
        <f>SUMPRODUCT((K31:K34=K33)*(J31:J34&lt;J33))+K33</f>
        <v>1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>Slovakia</v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1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1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1</v>
      </c>
      <c r="BO33" s="21">
        <f>BM33-BN33+1000</f>
        <v>1000</v>
      </c>
      <c r="BP33" s="21">
        <f t="shared" ref="BP33:BP34" si="54">IF(BI33&lt;&gt;"",BJ33*3+BK33*1,"")</f>
        <v>1</v>
      </c>
      <c r="BQ33" s="21">
        <f>IF(BI33&lt;&gt;"",VLOOKUP(BI33,B4:H40,7,FALSE),"")</f>
        <v>995</v>
      </c>
      <c r="BR33" s="21">
        <f>IF(BI33&lt;&gt;"",VLOOKUP(BI33,B4:H40,5,FALSE),"")</f>
        <v>1</v>
      </c>
      <c r="BS33" s="21">
        <f>IF(BI33&lt;&gt;"",VLOOKUP(BI33,B4:J40,9,FALSE),"")</f>
        <v>34</v>
      </c>
      <c r="BT33" s="21">
        <f t="shared" ref="BT33:BT34" si="55">BP33</f>
        <v>1</v>
      </c>
      <c r="BU33" s="21">
        <f>IF(BI33&lt;&gt;"",RANK(BT33,BT32:BT35),"")</f>
        <v>1</v>
      </c>
      <c r="BV33" s="21">
        <f>IF(BI33&lt;&gt;"",SUMPRODUCT((BT31:BT35=BT33)*(BO31:BO35&gt;BO33)),"")</f>
        <v>0</v>
      </c>
      <c r="BW33" s="21">
        <f>IF(BI33&lt;&gt;"",SUMPRODUCT((BT31:BT35=BT33)*(BO31:BO35=BO33)*(BM31:BM35&gt;BM33)),"")</f>
        <v>0</v>
      </c>
      <c r="BX33" s="21">
        <f>IF(BI33&lt;&gt;"",SUMPRODUCT((BT31:BT35=BT33)*(BO31:BO35=BO33)*(BM31:BM35=BM33)*(BQ31:BQ35&gt;BQ33)),"")</f>
        <v>1</v>
      </c>
      <c r="BY33" s="21">
        <f>IF(BI33&lt;&gt;"",SUMPRODUCT((BT31:BT35=BT33)*(BO31:BO35=BO33)*(BM31:BM35=BM33)*(BQ31:BQ35=BQ33)*(BR31:BR35&gt;BR33)),"")</f>
        <v>0</v>
      </c>
      <c r="BZ33" s="21">
        <f>IF(BI33&lt;&gt;"",SUMPRODUCT((BT31:BT35=BT33)*(BO31:BO35=BO33)*(BM31:BM35=BM33)*(BQ31:BQ35=BQ33)*(BR31:BR35=BR33)*(BS31:BS35&gt;BS33)),"")</f>
        <v>0</v>
      </c>
      <c r="CA33" s="21">
        <f>IF(BI33&lt;&gt;"",SUM(BU33:BZ33)+2,"")</f>
        <v>4</v>
      </c>
      <c r="CB33" s="21" t="str">
        <f>IF(BI33&lt;&gt;"",INDEX(BI33:BI35,MATCH(3,CA33:CA35,0),0),"")</f>
        <v>Sweden</v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Sweden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2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France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ht="14" x14ac:dyDescent="0.2">
      <c r="A34" s="21">
        <f>VLOOKUP(B34,CW31:CX35,2,FALSE)</f>
        <v>4</v>
      </c>
      <c r="B34" s="21" t="str">
        <f>Matches!AH29</f>
        <v>Slovakia</v>
      </c>
      <c r="C34" s="21">
        <f>SUMPRODUCT((CZ3:CZ42=B34)*(DD3:DD42="W"))+SUMPRODUCT((DC3:DC42=B34)*(DE3:DE42="W"))</f>
        <v>0</v>
      </c>
      <c r="D34" s="21">
        <f>SUMPRODUCT((CZ3:CZ42=B34)*(DD3:DD42="D"))+SUMPRODUCT((DC3:DC42=B34)*(DE3:DE42="D"))</f>
        <v>1</v>
      </c>
      <c r="E34" s="21">
        <f>SUMPRODUCT((CZ3:CZ42=B34)*(DD3:DD42="L"))+SUMPRODUCT((DC3:DC42=B34)*(DE3:DE42="L"))</f>
        <v>2</v>
      </c>
      <c r="F34" s="21">
        <f>SUMIF(CZ3:CZ60,B34,DA3:DA60)+SUMIF(DC3:DC60,B34,DB3:DB60)</f>
        <v>1</v>
      </c>
      <c r="G34" s="21">
        <f>SUMIF(DC3:DC60,B34,DA3:DA60)+SUMIF(CZ3:CZ60,B34,DB3:DB60)</f>
        <v>6</v>
      </c>
      <c r="H34" s="21">
        <f t="shared" si="47"/>
        <v>995</v>
      </c>
      <c r="I34" s="21">
        <f t="shared" si="48"/>
        <v>1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Sweden</v>
      </c>
      <c r="O34" s="21">
        <f>INDEX(K31:K35,MATCH(N34,B31:B35,0),0)</f>
        <v>3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>Sweden</v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1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1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1</v>
      </c>
      <c r="BO34" s="21">
        <f>BM34-BN34+1000</f>
        <v>1000</v>
      </c>
      <c r="BP34" s="21">
        <f t="shared" si="54"/>
        <v>1</v>
      </c>
      <c r="BQ34" s="21">
        <f>IF(BI34&lt;&gt;"",VLOOKUP(BI34,B4:H40,7,FALSE),"")</f>
        <v>998</v>
      </c>
      <c r="BR34" s="21">
        <f>IF(BI34&lt;&gt;"",VLOOKUP(BI34,B4:H40,5,FALSE),"")</f>
        <v>3</v>
      </c>
      <c r="BS34" s="21">
        <f>IF(BI34&lt;&gt;"",VLOOKUP(BI34,B4:J40,9,FALSE),"")</f>
        <v>39</v>
      </c>
      <c r="BT34" s="21">
        <f t="shared" si="55"/>
        <v>1</v>
      </c>
      <c r="BU34" s="21">
        <f>IF(BI34&lt;&gt;"",RANK(BT34,BT32:BT35),"")</f>
        <v>1</v>
      </c>
      <c r="BV34" s="21">
        <f>IF(BI34&lt;&gt;"",SUMPRODUCT((BT31:BT35=BT34)*(BO31:BO35&gt;BO34)),"")</f>
        <v>0</v>
      </c>
      <c r="BW34" s="21">
        <f>IF(BI34&lt;&gt;"",SUMPRODUCT((BT31:BT35=BT34)*(BO31:BO35=BO34)*(BM31:BM35&gt;BM34)),"")</f>
        <v>0</v>
      </c>
      <c r="BX34" s="21">
        <f>IF(BI34&lt;&gt;"",SUMPRODUCT((BT31:BT35=BT34)*(BO31:BO35=BO34)*(BM31:BM35=BM34)*(BQ31:BQ35&gt;BQ34)),"")</f>
        <v>0</v>
      </c>
      <c r="BY34" s="21">
        <f>IF(BI34&lt;&gt;"",SUMPRODUCT((BT31:BT35=BT34)*(BO31:BO35=BO34)*(BM31:BM35=BM34)*(BQ31:BQ35=BQ34)*(BR31:BR35&gt;BR34)),"")</f>
        <v>0</v>
      </c>
      <c r="BZ34" s="21">
        <f>IF(BI34&lt;&gt;"",SUMPRODUCT((BT31:BT35=BT34)*(BO31:BO35=BO34)*(BM31:BM35=BM34)*(BQ31:BQ35=BQ34)*(BR31:BR35=BR34)*(BS31:BS35&gt;BS34)),"")</f>
        <v>0</v>
      </c>
      <c r="CA34" s="21">
        <f>IF(BI34&lt;&gt;"",SUM(BU34:BZ34)+2,"")</f>
        <v>3</v>
      </c>
      <c r="CB34" s="21" t="str">
        <f>IF(BI34&lt;&gt;"",INDEX(BI33:BI35,MATCH(4,CA33:CA35,0),0),"")</f>
        <v>Slovakia</v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Slovakia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1</v>
      </c>
      <c r="DB34" s="21">
        <f>IF(AND(Matches!G42&lt;&gt;"",Matches!F42&lt;&gt;""),Matches!G42,0)</f>
        <v>3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1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L</v>
      </c>
      <c r="DE35" s="21" t="str">
        <f t="shared" si="0"/>
        <v>W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2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2</v>
      </c>
      <c r="B37" s="21" t="str">
        <f>Matches!AH30</f>
        <v>France</v>
      </c>
      <c r="C37" s="21">
        <f>SUMPRODUCT((CZ3:CZ42=B37)*(DD3:DD42="W"))+SUMPRODUCT((DC3:DC42=B37)*(DE3:DE42="W"))</f>
        <v>2</v>
      </c>
      <c r="D37" s="21">
        <f>SUMPRODUCT((CZ3:CZ42=B37)*(DD3:DD42="D"))+SUMPRODUCT((DC3:DC42=B37)*(DE3:DE42="D"))</f>
        <v>1</v>
      </c>
      <c r="E37" s="21">
        <f>SUMPRODUCT((CZ3:CZ42=B37)*(DD3:DD42="L"))+SUMPRODUCT((DC3:DC42=B37)*(DE3:DE42="L"))</f>
        <v>0</v>
      </c>
      <c r="F37" s="21">
        <f>SUMIF(CZ3:CZ60,B37,DA3:DA60)+SUMIF(DC3:DC60,B37,DB3:DB60)</f>
        <v>7</v>
      </c>
      <c r="G37" s="21">
        <f>SUMIF(DC3:DC60,B37,DA3:DA60)+SUMIF(CZ3:CZ60,B37,DB3:DB60)</f>
        <v>3</v>
      </c>
      <c r="H37" s="21">
        <f t="shared" ref="H37:H40" si="58">F37-G37+1000</f>
        <v>1004</v>
      </c>
      <c r="I37" s="21">
        <f t="shared" ref="I37:I40" si="59">C37*3+D37*1</f>
        <v>7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2</v>
      </c>
      <c r="N37" s="21" t="str">
        <f>INDEX(B37:B41,MATCH(1,M37:M41,0),0)</f>
        <v>Portugal</v>
      </c>
      <c r="O37" s="21">
        <f>INDEX(K37:K41,MATCH(N37,B37:B41,0),0)</f>
        <v>1</v>
      </c>
      <c r="P37" s="21" t="str">
        <f>IF(O38=1,N37,"")</f>
        <v>Portugal</v>
      </c>
      <c r="Q37" s="21" t="str">
        <f>IF(O39=2,N38,"")</f>
        <v/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>Portugal</v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1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2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2</v>
      </c>
      <c r="AA37" s="21">
        <f>Y37-Z37+1000</f>
        <v>1000</v>
      </c>
      <c r="AB37" s="21">
        <f t="shared" ref="AB37:AB40" si="60">IF(U37&lt;&gt;"",V37*3+W37*1,"")</f>
        <v>1</v>
      </c>
      <c r="AC37" s="21">
        <f>IF(U37&lt;&gt;"",VLOOKUP(U37,B4:H40,7,FALSE),"")</f>
        <v>1005</v>
      </c>
      <c r="AD37" s="21">
        <f>IF(U37&lt;&gt;"",VLOOKUP(U37,B4:H40,5,FALSE),"")</f>
        <v>8</v>
      </c>
      <c r="AE37" s="21">
        <f>IF(U37&lt;&gt;"",VLOOKUP(U37,B4:J40,9,FALSE),"")</f>
        <v>43</v>
      </c>
      <c r="AF37" s="21">
        <f t="shared" ref="AF37:AF40" si="61">AB37</f>
        <v>1</v>
      </c>
      <c r="AG37" s="21">
        <f>IF(U37&lt;&gt;"",RANK(AF37,AF37:AF41),"")</f>
        <v>1</v>
      </c>
      <c r="AH37" s="21">
        <f>IF(U37&lt;&gt;"",SUMPRODUCT((AF37:AF41=AF37)*(AA37:AA41&gt;AA37)),"")</f>
        <v>0</v>
      </c>
      <c r="AI37" s="21">
        <f>IF(U37&lt;&gt;"",SUMPRODUCT((AF37:AF41=AF37)*(AA37:AA41=AA37)*(Y37:Y41&gt;Y37)),"")</f>
        <v>0</v>
      </c>
      <c r="AJ37" s="21">
        <f>IF(U37&lt;&gt;"",SUMPRODUCT((AF37:AF41=AF37)*(AA37:AA41=AA37)*(Y37:Y41=Y37)*(AC37:AC41&gt;AC37)),"")</f>
        <v>0</v>
      </c>
      <c r="AK37" s="21">
        <f>IF(U37&lt;&gt;"",SUMPRODUCT((AF37:AF41=AF37)*(AA37:AA41=AA37)*(Y37:Y41=Y37)*(AC37:AC41=AC37)*(AD37:AD41&gt;AD37)),"")</f>
        <v>0</v>
      </c>
      <c r="AL37" s="21">
        <f>IF(U37&lt;&gt;"",SUMPRODUCT((AF37:AF41=AF37)*(AA37:AA41=AA37)*(Y37:Y41=Y37)*(AC37:AC41=AC37)*(AD37:AD41=AD37)*(AE37:AE41&gt;AE37)),"")</f>
        <v>0</v>
      </c>
      <c r="AM37" s="21">
        <f>IF(U37&lt;&gt;"",IF(AM77&lt;&gt;"",IF(T76=3,AM77,AM77+T76),SUM(AG37:AL37)),"")</f>
        <v>1</v>
      </c>
      <c r="AN37" s="21" t="str">
        <f>IF(U37&lt;&gt;"",INDEX(U37:U41,MATCH(1,AM37:AM41,0),0),"")</f>
        <v>Portugal</v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Portugal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3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0</v>
      </c>
      <c r="E38" s="21">
        <f>SUMPRODUCT((CZ3:CZ42=B38)*(DD3:DD42="L"))+SUMPRODUCT((DC3:DC42=B38)*(DE3:DE42="L"))</f>
        <v>2</v>
      </c>
      <c r="F38" s="21">
        <f>SUMIF(CZ3:CZ60,B38,DA3:DA60)+SUMIF(DC3:DC60,B38,DB3:DB60)</f>
        <v>4</v>
      </c>
      <c r="G38" s="21">
        <f>SUMIF(DC3:DC60,B38,DA3:DA60)+SUMIF(CZ3:CZ60,B38,DB3:DB60)</f>
        <v>6</v>
      </c>
      <c r="H38" s="21">
        <f t="shared" si="58"/>
        <v>998</v>
      </c>
      <c r="I38" s="21">
        <f t="shared" si="59"/>
        <v>3</v>
      </c>
      <c r="J38" s="21">
        <v>52</v>
      </c>
      <c r="K38" s="21">
        <f>IF(COUNTIF(I37:I41,4)&lt;&gt;4,RANK(I38,I37:I41),I78)</f>
        <v>3</v>
      </c>
      <c r="L38" s="21"/>
      <c r="M38" s="21">
        <f>SUMPRODUCT((K37:K40=K38)*(J37:J40&lt;J38))+K38</f>
        <v>3</v>
      </c>
      <c r="N38" s="21" t="str">
        <f>IF(DC42="S",INDEX(B37:B41,MATCH(2,M37:M41,0),0),"")</f>
        <v>France</v>
      </c>
      <c r="O38" s="21">
        <f>INDEX(K37:K41,MATCH(N38,B37:B41,0),0)</f>
        <v>1</v>
      </c>
      <c r="P38" s="21" t="str">
        <f>IF(P37&lt;&gt;"",N38,"")</f>
        <v>France</v>
      </c>
      <c r="Q38" s="21" t="str">
        <f>IF(Q37&lt;&gt;"",N39,"")</f>
        <v/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>France</v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1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2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2</v>
      </c>
      <c r="AA38" s="21">
        <f>Y38-Z38+1000</f>
        <v>1000</v>
      </c>
      <c r="AB38" s="21">
        <f t="shared" si="60"/>
        <v>1</v>
      </c>
      <c r="AC38" s="21">
        <f>IF(U38&lt;&gt;"",VLOOKUP(U38,B4:H40,7,FALSE),"")</f>
        <v>1004</v>
      </c>
      <c r="AD38" s="21">
        <f>IF(U38&lt;&gt;"",VLOOKUP(U38,B4:H40,5,FALSE),"")</f>
        <v>7</v>
      </c>
      <c r="AE38" s="21">
        <f>IF(U38&lt;&gt;"",VLOOKUP(U38,B4:J40,9,FALSE),"")</f>
        <v>49</v>
      </c>
      <c r="AF38" s="21">
        <f t="shared" si="61"/>
        <v>1</v>
      </c>
      <c r="AG38" s="21">
        <f>IF(U38&lt;&gt;"",RANK(AF38,AF37:AF41),"")</f>
        <v>1</v>
      </c>
      <c r="AH38" s="21">
        <f>IF(U38&lt;&gt;"",SUMPRODUCT((AF37:AF41=AF38)*(AA37:AA41&gt;AA38)),"")</f>
        <v>0</v>
      </c>
      <c r="AI38" s="21">
        <f>IF(U38&lt;&gt;"",SUMPRODUCT((AF37:AF41=AF38)*(AA37:AA41=AA38)*(Y37:Y41&gt;Y38)),"")</f>
        <v>0</v>
      </c>
      <c r="AJ38" s="21">
        <f>IF(U38&lt;&gt;"",SUMPRODUCT((AF37:AF41=AF38)*(AA37:AA41=AA38)*(Y37:Y41=Y38)*(AC37:AC41&gt;AC38)),"")</f>
        <v>1</v>
      </c>
      <c r="AK38" s="21">
        <f>IF(U38&lt;&gt;"",SUMPRODUCT((AF37:AF41=AF38)*(AA37:AA41=AA38)*(Y37:Y41=Y38)*(AC37:AC41=AC38)*(AD37:AD41&gt;AD38)),"")</f>
        <v>0</v>
      </c>
      <c r="AL38" s="21">
        <f>IF(U38&lt;&gt;"",SUMPRODUCT((AF37:AF41=AF38)*(AA37:AA41=AA38)*(Y37:Y41=Y38)*(AC37:AC41=AC38)*(AD37:AD41=AD38)*(AE37:AE41&gt;AE38)),"")</f>
        <v>0</v>
      </c>
      <c r="AM38" s="21">
        <f>IF(U38&lt;&gt;"",IF(AM78&lt;&gt;"",IF(T76=3,AM78,AM78+T76),SUM(AG38:AL38)),"")</f>
        <v>2</v>
      </c>
      <c r="AN38" s="21" t="str">
        <f>IF(U38&lt;&gt;"",INDEX(U37:U41,MATCH(2,AM37:AM41,0),0),"")</f>
        <v>France</v>
      </c>
      <c r="AO38" s="21" t="str">
        <f>IF(Q37&lt;&gt;"",Q37,"")</f>
        <v/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0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0</v>
      </c>
      <c r="AU38" s="21">
        <f>AS38-AT38+1000</f>
        <v>1000</v>
      </c>
      <c r="AV38" s="21" t="str">
        <f t="shared" ref="AV38:AV40" si="63">IF(AO38&lt;&gt;"",AP38*3+AQ38*1,"")</f>
        <v/>
      </c>
      <c r="AW38" s="21" t="str">
        <f>IF(AO38&lt;&gt;"",VLOOKUP(AO38,B4:H40,7,FALSE),"")</f>
        <v/>
      </c>
      <c r="AX38" s="21" t="str">
        <f>IF(AO38&lt;&gt;"",VLOOKUP(AO38,B4:H40,5,FALSE),"")</f>
        <v/>
      </c>
      <c r="AY38" s="21" t="str">
        <f>IF(AO38&lt;&gt;"",VLOOKUP(AO38,B4:J40,9,FALSE),"")</f>
        <v/>
      </c>
      <c r="AZ38" s="21" t="str">
        <f t="shared" ref="AZ38:AZ40" si="64">AV38</f>
        <v/>
      </c>
      <c r="BA38" s="21" t="str">
        <f>IF(AO38&lt;&gt;"",RANK(AZ38,AZ37:AZ40),"")</f>
        <v/>
      </c>
      <c r="BB38" s="21" t="str">
        <f>IF(AO38&lt;&gt;"",SUMPRODUCT((AZ37:AZ41=AZ38)*(AU37:AU41&gt;AU38)),"")</f>
        <v/>
      </c>
      <c r="BC38" s="21" t="str">
        <f>IF(AO38&lt;&gt;"",SUMPRODUCT((AZ37:AZ41=AZ38)*(AU37:AU41=AU38)*(AS37:AS41&gt;AS38)),"")</f>
        <v/>
      </c>
      <c r="BD38" s="21" t="str">
        <f>IF(AO38&lt;&gt;"",SUMPRODUCT((AZ37:AZ41=AZ38)*(AU37:AU41=AU38)*(AS37:AS41=AS38)*(AW37:AW41&gt;AW38)),"")</f>
        <v/>
      </c>
      <c r="BE38" s="21" t="str">
        <f>IF(AO38&lt;&gt;"",SUMPRODUCT((AZ37:AZ41=AZ38)*(AU37:AU41=AU38)*(AS37:AS41=AS38)*(AW37:AW41=AW38)*(AX37:AX41&gt;AX38)),"")</f>
        <v/>
      </c>
      <c r="BF38" s="21" t="str">
        <f>IF(AO38&lt;&gt;"",SUMPRODUCT((AZ37:AZ41=AZ38)*(AU37:AU41=AU38)*(AS37:AS41=AS38)*(AW37:AW41=AW38)*(AX37:AX41=AX38)*(AY37:AY41&gt;AY38)),"")</f>
        <v/>
      </c>
      <c r="BG38" s="21" t="str">
        <f>IF(AO38&lt;&gt;"",IF(BG78&lt;&gt;"",IF(AN76=3,BG78,BG78+AN76),SUM(BA38:BF38)+1),"")</f>
        <v/>
      </c>
      <c r="BH38" s="21" t="str">
        <f>IF(AO38&lt;&gt;"",INDEX(AO38:AO41,MATCH(2,BG38:BG41,0),0),"")</f>
        <v/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France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1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1</v>
      </c>
      <c r="G39" s="21">
        <f>SUMIF(DC3:DC60,B39,DA3:DA60)+SUMIF(CZ3:CZ60,B39,DB3:DB60)</f>
        <v>8</v>
      </c>
      <c r="H39" s="21">
        <f t="shared" si="58"/>
        <v>993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3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/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0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0</v>
      </c>
      <c r="AU39" s="21">
        <f>AS39-AT39+1000</f>
        <v>1000</v>
      </c>
      <c r="AV39" s="21" t="str">
        <f t="shared" si="63"/>
        <v/>
      </c>
      <c r="AW39" s="21" t="str">
        <f>IF(AO39&lt;&gt;"",VLOOKUP(AO39,B4:H40,7,FALSE),"")</f>
        <v/>
      </c>
      <c r="AX39" s="21" t="str">
        <f>IF(AO39&lt;&gt;"",VLOOKUP(AO39,B4:H40,5,FALSE),"")</f>
        <v/>
      </c>
      <c r="AY39" s="21" t="str">
        <f>IF(AO39&lt;&gt;"",VLOOKUP(AO39,B4:J40,9,FALSE),"")</f>
        <v/>
      </c>
      <c r="AZ39" s="21" t="str">
        <f t="shared" si="64"/>
        <v/>
      </c>
      <c r="BA39" s="21" t="str">
        <f>IF(AO39&lt;&gt;"",RANK(AZ39,AZ37:AZ40),"")</f>
        <v/>
      </c>
      <c r="BB39" s="21" t="str">
        <f>IF(AO39&lt;&gt;"",SUMPRODUCT((AZ37:AZ41=AZ39)*(AU37:AU41&gt;AU39)),"")</f>
        <v/>
      </c>
      <c r="BC39" s="21" t="str">
        <f>IF(AO39&lt;&gt;"",SUMPRODUCT((AZ37:AZ41=AZ39)*(AU37:AU41=AU39)*(AS37:AS41&gt;AS39)),"")</f>
        <v/>
      </c>
      <c r="BD39" s="21" t="str">
        <f>IF(AO39&lt;&gt;"",SUMPRODUCT((AZ37:AZ41=AZ39)*(AU37:AU41=AU39)*(AS37:AS41=AS39)*(AW37:AW41&gt;AW39)),"")</f>
        <v/>
      </c>
      <c r="BE39" s="21" t="str">
        <f>IF(AO39&lt;&gt;"",SUMPRODUCT((AZ37:AZ41=AZ39)*(AU37:AU41=AU39)*(AS37:AS41=AS39)*(AW37:AW41=AW39)*(AX37:AX41&gt;AX39)),"")</f>
        <v/>
      </c>
      <c r="BF39" s="21" t="str">
        <f>IF(AO39&lt;&gt;"",SUMPRODUCT((AZ37:AZ41=AZ39)*(AU37:AU41=AU39)*(AS37:AS41=AS39)*(AW37:AW41=AW39)*(AX37:AX41=AX39)*(AY37:AY41&gt;AY39)),"")</f>
        <v/>
      </c>
      <c r="BG39" s="21" t="str">
        <f>IF(AO39&lt;&gt;"",IF(BG79&lt;&gt;"",IF(AN76=3,BG79,BG79+AN76),SUM(BA39:BF39)+1),"")</f>
        <v/>
      </c>
      <c r="BH39" s="21" t="str">
        <f>IF(AO39&lt;&gt;"",INDEX(AO38:AO41,MATCH(3,BG38:BG41,0),0),"")</f>
        <v/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Germany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1</v>
      </c>
      <c r="B40" s="21" t="str">
        <f>Matches!AH33</f>
        <v>Portugal</v>
      </c>
      <c r="C40" s="21">
        <f>SUMPRODUCT((CZ3:CZ42=B40)*(DD3:DD42="W"))+SUMPRODUCT((DC3:DC42=B40)*(DE3:DE42="W"))</f>
        <v>2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0</v>
      </c>
      <c r="F40" s="21">
        <f>SUMIF(CZ3:CZ60,B40,DA3:DA60)+SUMIF(DC3:DC60,B40,DB3:DB60)</f>
        <v>8</v>
      </c>
      <c r="G40" s="21">
        <f>SUMIF(DC3:DC60,B40,DA3:DA60)+SUMIF(CZ3:CZ60,B40,DB3:DB60)</f>
        <v>3</v>
      </c>
      <c r="H40" s="21">
        <f t="shared" si="58"/>
        <v>1005</v>
      </c>
      <c r="I40" s="21">
        <f t="shared" si="59"/>
        <v>7</v>
      </c>
      <c r="J40" s="21">
        <v>43</v>
      </c>
      <c r="K40" s="21">
        <f>IF(COUNTIF(I37:I41,4)&lt;&gt;4,RANK(I40,I37:I41),I80)</f>
        <v>1</v>
      </c>
      <c r="L40" s="21"/>
      <c r="M40" s="21">
        <f>SUMPRODUCT((K37:K40=K40)*(J37:J40&lt;J40))+K40</f>
        <v>1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194" t="s">
        <v>93</v>
      </c>
    </row>
    <row r="43" spans="1:256" x14ac:dyDescent="0.15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15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15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15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15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15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15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15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 t="str">
        <f>IF(AO12&lt;&gt;"",SUMPRODUCT((AV11:AV14=AV12)*(AU11:AU14=AU12)*(AS11:AS14=AS12)*(AT11:AT14=AT12)),"")</f>
        <v/>
      </c>
      <c r="AO52" s="194" t="str">
        <f t="shared" ref="AO52:AO54" si="81">IF(AND(AN52&lt;&gt;"",AN52&gt;1),AO12,"")</f>
        <v/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194">
        <f>AS52-AT52+1000</f>
        <v>1000</v>
      </c>
      <c r="AV52" s="194" t="str">
        <f t="shared" ref="AV52:AV54" si="82">IF(AO52&lt;&gt;"",AP52*3+AQ52*1,"")</f>
        <v/>
      </c>
      <c r="AW52" s="194" t="str">
        <f>IF(AO52&lt;&gt;"",VLOOKUP(AO52,B4:H40,7,FALSE),"")</f>
        <v/>
      </c>
      <c r="AX52" s="194" t="str">
        <f>IF(AO52&lt;&gt;"",VLOOKUP(AO52,B4:H40,5,FALSE),"")</f>
        <v/>
      </c>
      <c r="AY52" s="194" t="str">
        <f>IF(AO52&lt;&gt;"",VLOOKUP(AO52,B4:J40,9,FALSE),"")</f>
        <v/>
      </c>
      <c r="AZ52" s="194" t="str">
        <f t="shared" ref="AZ52:AZ54" si="83">AV52</f>
        <v/>
      </c>
      <c r="BA52" s="194" t="str">
        <f>IF(AO52&lt;&gt;"",RANK(AZ52,AZ51:AZ54),"")</f>
        <v/>
      </c>
      <c r="BB52" s="194" t="str">
        <f>IF(AO52&lt;&gt;"",SUMPRODUCT((AZ51:AZ54=AZ52)*(AU51:AU54&gt;AU52)),"")</f>
        <v/>
      </c>
      <c r="BC52" s="194" t="str">
        <f>IF(AO52&lt;&gt;"",SUMPRODUCT((AZ51:AZ54=AZ52)*(AU51:AU54=AU52)*(AS51:AS54&gt;AS52)),"")</f>
        <v/>
      </c>
      <c r="BD52" s="194" t="str">
        <f>IF(AO52&lt;&gt;"",SUMPRODUCT((AZ51:AZ54=AZ52)*(AU51:AU54=AU52)*(AS51:AS54=AS52)*(AW51:AW54&gt;AW52)),"")</f>
        <v/>
      </c>
      <c r="BE52" s="194" t="str">
        <f>IF(AO52&lt;&gt;"",SUMPRODUCT((AZ51:AZ54=AZ52)*(AU51:AU54=AU52)*(AS51:AS54=AS52)*(AW51:AW54=AW52)*(AX51:AX54&gt;AX52)),"")</f>
        <v/>
      </c>
      <c r="BF52" s="194" t="str">
        <f>IF(AO52&lt;&gt;"",SUMPRODUCT((AZ51:AZ54=AZ52)*(AU51:AU54=AU52)*(AS51:AS54=AS52)*(AW51:AW54=AW52)*(AX51:AX54=AX52)*(AY51:AY54&gt;AY52)),"")</f>
        <v/>
      </c>
      <c r="BG52" s="194" t="str">
        <f>IF(AO52&lt;&gt;"",SUM(BA52:BF52)+1,"")</f>
        <v/>
      </c>
    </row>
    <row r="53" spans="2:59" x14ac:dyDescent="0.15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 t="str">
        <f>IF(AO13&lt;&gt;"",SUMPRODUCT((AV11:AV14=AV13)*(AU11:AU14=AU13)*(AS11:AS14=AS13)*(AT11:AT14=AT13)),"")</f>
        <v/>
      </c>
      <c r="AO53" s="194" t="str">
        <f t="shared" si="81"/>
        <v/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194">
        <f>AS53-AT53+1000</f>
        <v>1000</v>
      </c>
      <c r="AV53" s="194" t="str">
        <f t="shared" si="82"/>
        <v/>
      </c>
      <c r="AW53" s="194" t="str">
        <f>IF(AO53&lt;&gt;"",VLOOKUP(AO53,B4:H40,7,FALSE),"")</f>
        <v/>
      </c>
      <c r="AX53" s="194" t="str">
        <f>IF(AO53&lt;&gt;"",VLOOKUP(AO53,B4:H40,5,FALSE),"")</f>
        <v/>
      </c>
      <c r="AY53" s="194" t="str">
        <f>IF(AO53&lt;&gt;"",VLOOKUP(AO53,B4:J40,9,FALSE),"")</f>
        <v/>
      </c>
      <c r="AZ53" s="194" t="str">
        <f t="shared" si="83"/>
        <v/>
      </c>
      <c r="BA53" s="194" t="str">
        <f>IF(AO53&lt;&gt;"",RANK(AZ53,AZ51:AZ54),"")</f>
        <v/>
      </c>
      <c r="BB53" s="194" t="str">
        <f>IF(AO53&lt;&gt;"",SUMPRODUCT((AZ51:AZ54=AZ53)*(AU51:AU54&gt;AU53)),"")</f>
        <v/>
      </c>
      <c r="BC53" s="194" t="str">
        <f>IF(AO53&lt;&gt;"",SUMPRODUCT((AZ51:AZ54=AZ53)*(AU51:AU54=AU53)*(AS51:AS54&gt;AS53)),"")</f>
        <v/>
      </c>
      <c r="BD53" s="194" t="str">
        <f>IF(AO53&lt;&gt;"",SUMPRODUCT((AZ51:AZ54=AZ53)*(AU51:AU54=AU53)*(AS51:AS54=AS53)*(AW51:AW54&gt;AW53)),"")</f>
        <v/>
      </c>
      <c r="BE53" s="194" t="str">
        <f>IF(AO53&lt;&gt;"",SUMPRODUCT((AZ51:AZ54=AZ53)*(AU51:AU54=AU53)*(AS51:AS54=AS53)*(AW51:AW54=AW53)*(AX51:AX54&gt;AX53)),"")</f>
        <v/>
      </c>
      <c r="BF53" s="194" t="str">
        <f>IF(AO53&lt;&gt;"",SUMPRODUCT((AZ51:AZ54=AZ53)*(AU51:AU54=AU53)*(AS51:AS54=AS53)*(AW51:AW54=AW53)*(AX51:AX54=AX53)*(AY51:AY54&gt;AY53)),"")</f>
        <v/>
      </c>
      <c r="BG53" s="194" t="str">
        <f t="shared" ref="BG53:BG54" si="84">IF(AO53&lt;&gt;"",SUM(BA53:BF53)+1,"")</f>
        <v/>
      </c>
    </row>
    <row r="54" spans="2:59" x14ac:dyDescent="0.15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15">
      <c r="C55" s="194" t="s">
        <v>101</v>
      </c>
    </row>
    <row r="56" spans="2:59" x14ac:dyDescent="0.15">
      <c r="C56" s="194" t="s">
        <v>102</v>
      </c>
    </row>
    <row r="57" spans="2:59" x14ac:dyDescent="0.15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15">
      <c r="C58" s="194" t="s">
        <v>104</v>
      </c>
      <c r="I58" s="194">
        <f>SUMPRODUCT((I18:I21=I18)*(H18:H21=H18)*(F18:F21&gt;F18))+1</f>
        <v>1</v>
      </c>
      <c r="T58" s="194" t="str">
        <f>IF(U18&lt;&gt;"",SUMPRODUCT((AB18:AB21=AB18)*(AA18:AA21=AA18)*(Y18:Y21=Y18)*(Z18:Z21=Z18)),"")</f>
        <v/>
      </c>
      <c r="U58" s="194" t="str">
        <f>IF(AND(T58&lt;&gt;"",T58&gt;1),U18,"")</f>
        <v/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194">
        <f>Y58-Z58+1000</f>
        <v>1000</v>
      </c>
      <c r="AB58" s="194" t="str">
        <f>IF(U58&lt;&gt;"",V58*3+W58*1,"")</f>
        <v/>
      </c>
      <c r="AC58" s="194" t="str">
        <f>IF(U58&lt;&gt;"",VLOOKUP(U58,B4:H40,7,FALSE),"")</f>
        <v/>
      </c>
      <c r="AD58" s="194" t="str">
        <f>IF(U58&lt;&gt;"",VLOOKUP(U58,B4:H40,5,FALSE),"")</f>
        <v/>
      </c>
      <c r="AE58" s="194" t="str">
        <f>IF(U58&lt;&gt;"",VLOOKUP(U58,B4:J40,9,FALSE),"")</f>
        <v/>
      </c>
      <c r="AF58" s="194" t="str">
        <f>AB58</f>
        <v/>
      </c>
      <c r="AG58" s="194" t="str">
        <f>IF(U58&lt;&gt;"",RANK(AF58,AF58:AF61),"")</f>
        <v/>
      </c>
      <c r="AH58" s="194" t="str">
        <f>IF(U58&lt;&gt;"",SUMPRODUCT((AF58:AF61=AF58)*(AA58:AA61&gt;AA58)),"")</f>
        <v/>
      </c>
      <c r="AI58" s="194" t="str">
        <f>IF(U58&lt;&gt;"",SUMPRODUCT((AF58:AF61=AF58)*(AA58:AA61=AA58)*(Y58:Y61&gt;Y58)),"")</f>
        <v/>
      </c>
      <c r="AJ58" s="194" t="str">
        <f>IF(U58&lt;&gt;"",SUMPRODUCT((AF58:AF61=AF58)*(AA58:AA61=AA58)*(Y58:Y61=Y58)*(AC58:AC61&gt;AC58)),"")</f>
        <v/>
      </c>
      <c r="AK58" s="194" t="str">
        <f>IF(U58&lt;&gt;"",SUMPRODUCT((AF58:AF61=AF58)*(AA58:AA61=AA58)*(Y58:Y61=Y58)*(AC58:AC61=AC58)*(AD58:AD61&gt;AD58)),"")</f>
        <v/>
      </c>
      <c r="AL58" s="194" t="str">
        <f>IF(U58&lt;&gt;"",SUMPRODUCT((AF58:AF61=AF58)*(AA58:AA61=AA58)*(Y58:Y61=Y58)*(AC58:AC61=AC58)*(AD58:AD61=AD58)*(AE58:AE61&gt;AE58)),"")</f>
        <v/>
      </c>
      <c r="AM58" s="194" t="str">
        <f>IF(U58&lt;&gt;"",SUM(AG58:AL58),"")</f>
        <v/>
      </c>
    </row>
    <row r="59" spans="2:59" x14ac:dyDescent="0.15">
      <c r="C59" s="194" t="s">
        <v>105</v>
      </c>
      <c r="I59" s="194">
        <f>SUMPRODUCT((I18:I21=I19)*(H18:H21=H19)*(F18:F21&gt;F19))+1</f>
        <v>1</v>
      </c>
      <c r="T59" s="194" t="str">
        <f>IF(U19&lt;&gt;"",SUMPRODUCT((AB18:AB21=AB19)*(AA18:AA21=AA19)*(Y18:Y21=Y19)*(Z18:Z21=Z19)),"")</f>
        <v/>
      </c>
      <c r="U59" s="194" t="str">
        <f t="shared" ref="U59:U61" si="85">IF(AND(T59&lt;&gt;"",T59&gt;1),U19,"")</f>
        <v/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194">
        <f>Y59-Z59+1000</f>
        <v>1000</v>
      </c>
      <c r="AB59" s="194" t="str">
        <f t="shared" ref="AB59:AB61" si="86">IF(U59&lt;&gt;"",V59*3+W59*1,"")</f>
        <v/>
      </c>
      <c r="AC59" s="194" t="str">
        <f>IF(U59&lt;&gt;"",VLOOKUP(U59,B4:H40,7,FALSE),"")</f>
        <v/>
      </c>
      <c r="AD59" s="194" t="str">
        <f>IF(U59&lt;&gt;"",VLOOKUP(U59,B4:H40,5,FALSE),"")</f>
        <v/>
      </c>
      <c r="AE59" s="194" t="str">
        <f>IF(U59&lt;&gt;"",VLOOKUP(U59,B4:J40,9,FALSE),"")</f>
        <v/>
      </c>
      <c r="AF59" s="194" t="str">
        <f t="shared" ref="AF59:AF61" si="87">AB59</f>
        <v/>
      </c>
      <c r="AG59" s="194" t="str">
        <f>IF(U59&lt;&gt;"",RANK(AF59,AF58:AF61),"")</f>
        <v/>
      </c>
      <c r="AH59" s="194" t="str">
        <f>IF(U59&lt;&gt;"",SUMPRODUCT((AF58:AF61=AF59)*(AA58:AA61&gt;AA59)),"")</f>
        <v/>
      </c>
      <c r="AI59" s="194" t="str">
        <f>IF(U59&lt;&gt;"",SUMPRODUCT((AF58:AF61=AF59)*(AA58:AA61=AA59)*(Y58:Y61&gt;Y59)),"")</f>
        <v/>
      </c>
      <c r="AJ59" s="194" t="str">
        <f>IF(U59&lt;&gt;"",SUMPRODUCT((AF58:AF61=AF59)*(AA58:AA61=AA59)*(Y58:Y61=Y59)*(AC58:AC61&gt;AC59)),"")</f>
        <v/>
      </c>
      <c r="AK59" s="194" t="str">
        <f>IF(U59&lt;&gt;"",SUMPRODUCT((AF58:AF61=AF59)*(AA58:AA61=AA59)*(Y58:Y61=Y59)*(AC58:AC61=AC59)*(AD58:AD61&gt;AD59)),"")</f>
        <v/>
      </c>
      <c r="AL59" s="194" t="str">
        <f>IF(U59&lt;&gt;"",SUMPRODUCT((AF58:AF61=AF59)*(AA58:AA61=AA59)*(Y58:Y61=Y59)*(AC58:AC61=AC59)*(AD58:AD61=AD59)*(AE58:AE61&gt;AE59)),"")</f>
        <v/>
      </c>
      <c r="AM59" s="194" t="str">
        <f>IF(U59&lt;&gt;"",SUM(AG59:AL59),"")</f>
        <v/>
      </c>
      <c r="AN59" s="194" t="str">
        <f>IF(AO19&lt;&gt;"",SUMPRODUCT((AV18:AV21=AV19)*(AU18:AU21=AU19)*(AS18:AS21=AS19)*(AT18:AT21=AT19)),"")</f>
        <v/>
      </c>
      <c r="AO59" s="194" t="str">
        <f t="shared" ref="AO59:AO61" si="88">IF(AND(AN59&lt;&gt;"",AN59&gt;1),AO19,"")</f>
        <v/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194">
        <f>AS59-AT59+1000</f>
        <v>1000</v>
      </c>
      <c r="AV59" s="194" t="str">
        <f t="shared" ref="AV59:AV61" si="89">IF(AO59&lt;&gt;"",AP59*3+AQ59*1,"")</f>
        <v/>
      </c>
      <c r="AW59" s="194" t="str">
        <f>IF(AO59&lt;&gt;"",VLOOKUP(AO59,B4:H40,7,FALSE),"")</f>
        <v/>
      </c>
      <c r="AX59" s="194" t="str">
        <f>IF(AO59&lt;&gt;"",VLOOKUP(AO59,B4:H40,5,FALSE),"")</f>
        <v/>
      </c>
      <c r="AY59" s="194" t="str">
        <f>IF(AO59&lt;&gt;"",VLOOKUP(AO59,B4:J40,9,FALSE),"")</f>
        <v/>
      </c>
      <c r="AZ59" s="194" t="str">
        <f t="shared" ref="AZ59:AZ61" si="90">AV59</f>
        <v/>
      </c>
      <c r="BA59" s="194" t="str">
        <f>IF(AO59&lt;&gt;"",RANK(AZ59,AZ58:AZ61),"")</f>
        <v/>
      </c>
      <c r="BB59" s="194" t="str">
        <f>IF(AO59&lt;&gt;"",SUMPRODUCT((AZ58:AZ61=AZ59)*(AU58:AU61&gt;AU59)),"")</f>
        <v/>
      </c>
      <c r="BC59" s="194" t="str">
        <f>IF(AO59&lt;&gt;"",SUMPRODUCT((AZ58:AZ61=AZ59)*(AU58:AU61=AU59)*(AS58:AS61&gt;AS59)),"")</f>
        <v/>
      </c>
      <c r="BD59" s="194" t="str">
        <f>IF(AO59&lt;&gt;"",SUMPRODUCT((AZ58:AZ61=AZ59)*(AU58:AU61=AU59)*(AS58:AS61=AS59)*(AW58:AW61&gt;AW59)),"")</f>
        <v/>
      </c>
      <c r="BE59" s="194" t="str">
        <f>IF(AO59&lt;&gt;"",SUMPRODUCT((AZ58:AZ61=AZ59)*(AU58:AU61=AU59)*(AS58:AS61=AS59)*(AW58:AW61=AW59)*(AX58:AX61&gt;AX59)),"")</f>
        <v/>
      </c>
      <c r="BF59" s="194" t="str">
        <f>IF(AO59&lt;&gt;"",SUMPRODUCT((AZ58:AZ61=AZ59)*(AU58:AU61=AU59)*(AS58:AS61=AS59)*(AW58:AW61=AW59)*(AX58:AX61=AX59)*(AY58:AY61&gt;AY59)),"")</f>
        <v/>
      </c>
      <c r="BG59" s="194" t="str">
        <f>IF(AO59&lt;&gt;"",SUM(BA59:BF59)+1,"")</f>
        <v/>
      </c>
    </row>
    <row r="60" spans="2:59" x14ac:dyDescent="0.15">
      <c r="I60" s="194">
        <f>SUMPRODUCT((I18:I21=I20)*(H18:H21=H20)*(F18:F21&gt;F20))+1</f>
        <v>1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 t="str">
        <f>IF(AO20&lt;&gt;"",SUMPRODUCT((AV18:AV21=AV20)*(AU18:AU21=AU20)*(AS18:AS21=AS20)*(AT18:AT21=AT20)),"")</f>
        <v/>
      </c>
      <c r="AO60" s="194" t="str">
        <f t="shared" si="88"/>
        <v/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194">
        <f>AS60-AT60+1000</f>
        <v>1000</v>
      </c>
      <c r="AV60" s="194" t="str">
        <f t="shared" si="89"/>
        <v/>
      </c>
      <c r="AW60" s="194" t="str">
        <f>IF(AO60&lt;&gt;"",VLOOKUP(AO60,B4:H40,7,FALSE),"")</f>
        <v/>
      </c>
      <c r="AX60" s="194" t="str">
        <f>IF(AO60&lt;&gt;"",VLOOKUP(AO60,B4:H40,5,FALSE),"")</f>
        <v/>
      </c>
      <c r="AY60" s="194" t="str">
        <f>IF(AO60&lt;&gt;"",VLOOKUP(AO60,B4:J40,9,FALSE),"")</f>
        <v/>
      </c>
      <c r="AZ60" s="194" t="str">
        <f t="shared" si="90"/>
        <v/>
      </c>
      <c r="BA60" s="194" t="str">
        <f>IF(AO60&lt;&gt;"",RANK(AZ60,AZ58:AZ61),"")</f>
        <v/>
      </c>
      <c r="BB60" s="194" t="str">
        <f>IF(AO60&lt;&gt;"",SUMPRODUCT((AZ58:AZ61=AZ60)*(AU58:AU61&gt;AU60)),"")</f>
        <v/>
      </c>
      <c r="BC60" s="194" t="str">
        <f>IF(AO60&lt;&gt;"",SUMPRODUCT((AZ58:AZ61=AZ60)*(AU58:AU61=AU60)*(AS58:AS61&gt;AS60)),"")</f>
        <v/>
      </c>
      <c r="BD60" s="194" t="str">
        <f>IF(AO60&lt;&gt;"",SUMPRODUCT((AZ58:AZ61=AZ60)*(AU58:AU61=AU60)*(AS58:AS61=AS60)*(AW58:AW61&gt;AW60)),"")</f>
        <v/>
      </c>
      <c r="BE60" s="194" t="str">
        <f>IF(AO60&lt;&gt;"",SUMPRODUCT((AZ58:AZ61=AZ60)*(AU58:AU61=AU60)*(AS58:AS61=AS60)*(AW58:AW61=AW60)*(AX58:AX61&gt;AX60)),"")</f>
        <v/>
      </c>
      <c r="BF60" s="194" t="str">
        <f>IF(AO60&lt;&gt;"",SUMPRODUCT((AZ58:AZ61=AZ60)*(AU58:AU61=AU60)*(AS58:AS61=AS60)*(AW58:AW61=AW60)*(AX58:AX61=AX60)*(AY58:AY61&gt;AY60)),"")</f>
        <v/>
      </c>
      <c r="BG60" s="194" t="str">
        <f t="shared" ref="BG60:BG61" si="91">IF(AO60&lt;&gt;"",SUM(BA60:BF60)+1,"")</f>
        <v/>
      </c>
    </row>
    <row r="61" spans="2:59" x14ac:dyDescent="0.15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15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15">
      <c r="I65" s="194">
        <f>SUMPRODUCT((I25:I28=I25)*(H25:H28=H25)*(F25:F28&gt;F25))+1</f>
        <v>1</v>
      </c>
      <c r="T65" s="194">
        <f>IF(U25&lt;&gt;"",SUMPRODUCT((AB25:AB28=AB25)*(AA25:AA28=AA25)*(Y25:Y28=Y25)*(Z25:Z28=Z25)),"")</f>
        <v>2</v>
      </c>
      <c r="U65" s="194" t="str">
        <f>IF(AND(T65&lt;&gt;"",T65&gt;1),U25,"")</f>
        <v>Croatia</v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1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1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1</v>
      </c>
      <c r="AA65" s="194">
        <f>Y65-Z65+1000</f>
        <v>1000</v>
      </c>
      <c r="AB65" s="194">
        <f>IF(U65&lt;&gt;"",V65*3+W65*1,"")</f>
        <v>1</v>
      </c>
      <c r="AC65" s="194">
        <f>IF(U65&lt;&gt;"",VLOOKUP(U65,B4:H40,7,FALSE),"")</f>
        <v>1003</v>
      </c>
      <c r="AD65" s="194">
        <f>IF(U65&lt;&gt;"",VLOOKUP(U65,B4:H40,5,FALSE),"")</f>
        <v>5</v>
      </c>
      <c r="AE65" s="194">
        <f>IF(U65&lt;&gt;"",VLOOKUP(U65,B4:J40,9,FALSE),"")</f>
        <v>46</v>
      </c>
      <c r="AF65" s="194">
        <f>AB65</f>
        <v>1</v>
      </c>
      <c r="AG65" s="194">
        <f>IF(U65&lt;&gt;"",RANK(AF65,AF65:AF68),"")</f>
        <v>1</v>
      </c>
      <c r="AH65" s="194">
        <f>IF(U65&lt;&gt;"",SUMPRODUCT((AF65:AF68=AF65)*(AA65:AA68&gt;AA65)),"")</f>
        <v>0</v>
      </c>
      <c r="AI65" s="194">
        <f>IF(U65&lt;&gt;"",SUMPRODUCT((AF65:AF68=AF65)*(AA65:AA68=AA65)*(Y65:Y68&gt;Y65)),"")</f>
        <v>0</v>
      </c>
      <c r="AJ65" s="194">
        <f>IF(U65&lt;&gt;"",SUMPRODUCT((AF65:AF68=AF65)*(AA65:AA68=AA65)*(Y65:Y68=Y65)*(AC65:AC68&gt;AC65)),"")</f>
        <v>0</v>
      </c>
      <c r="AK65" s="194">
        <f>IF(U65&lt;&gt;"",SUMPRODUCT((AF65:AF68=AF65)*(AA65:AA68=AA65)*(Y65:Y68=Y65)*(AC65:AC68=AC65)*(AD65:AD68&gt;AD65)),"")</f>
        <v>1</v>
      </c>
      <c r="AL65" s="194">
        <f>IF(U65&lt;&gt;"",SUMPRODUCT((AF65:AF68=AF65)*(AA65:AA68=AA65)*(Y65:Y68=Y65)*(AC65:AC68=AC65)*(AD65:AD68=AD65)*(AE65:AE68&gt;AE65)),"")</f>
        <v>0</v>
      </c>
      <c r="AM65" s="194">
        <f>IF(U65&lt;&gt;"",SUM(AG65:AL65),"")</f>
        <v>2</v>
      </c>
    </row>
    <row r="66" spans="9:59" x14ac:dyDescent="0.15">
      <c r="I66" s="194">
        <f>SUMPRODUCT((I25:I28=I26)*(H25:H28=H26)*(F25:F28&gt;F26))+1</f>
        <v>1</v>
      </c>
      <c r="T66" s="194">
        <f>IF(U26&lt;&gt;"",SUMPRODUCT((AB25:AB28=AB26)*(AA25:AA28=AA26)*(Y25:Y28=Y26)*(Z25:Z28=Z26)),"")</f>
        <v>2</v>
      </c>
      <c r="U66" s="194" t="str">
        <f t="shared" ref="U66:U68" si="92">IF(AND(T66&lt;&gt;"",T66&gt;1),U26,"")</f>
        <v>England</v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1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1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1</v>
      </c>
      <c r="AA66" s="194">
        <f>Y66-Z66+1000</f>
        <v>1000</v>
      </c>
      <c r="AB66" s="194">
        <f t="shared" ref="AB66:AB68" si="93">IF(U66&lt;&gt;"",V66*3+W66*1,"")</f>
        <v>1</v>
      </c>
      <c r="AC66" s="194">
        <f>IF(U66&lt;&gt;"",VLOOKUP(U66,B4:H40,7,FALSE),"")</f>
        <v>1003</v>
      </c>
      <c r="AD66" s="194">
        <f>IF(U66&lt;&gt;"",VLOOKUP(U66,B4:H40,5,FALSE),"")</f>
        <v>6</v>
      </c>
      <c r="AE66" s="194">
        <f>IF(U66&lt;&gt;"",VLOOKUP(U66,B4:J40,9,FALSE),"")</f>
        <v>53</v>
      </c>
      <c r="AF66" s="194">
        <f t="shared" ref="AF66:AF68" si="94">AB66</f>
        <v>1</v>
      </c>
      <c r="AG66" s="194">
        <f>IF(U66&lt;&gt;"",RANK(AF66,AF65:AF68),"")</f>
        <v>1</v>
      </c>
      <c r="AH66" s="194">
        <f>IF(U66&lt;&gt;"",SUMPRODUCT((AF65:AF68=AF66)*(AA65:AA68&gt;AA66)),"")</f>
        <v>0</v>
      </c>
      <c r="AI66" s="194">
        <f>IF(U66&lt;&gt;"",SUMPRODUCT((AF65:AF68=AF66)*(AA65:AA68=AA66)*(Y65:Y68&gt;Y66)),"")</f>
        <v>0</v>
      </c>
      <c r="AJ66" s="194">
        <f>IF(U66&lt;&gt;"",SUMPRODUCT((AF65:AF68=AF66)*(AA65:AA68=AA66)*(Y65:Y68=Y66)*(AC65:AC68&gt;AC66)),"")</f>
        <v>0</v>
      </c>
      <c r="AK66" s="194">
        <f>IF(U66&lt;&gt;"",SUMPRODUCT((AF65:AF68=AF66)*(AA65:AA68=AA66)*(Y65:Y68=Y66)*(AC65:AC68=AC66)*(AD65:AD68&gt;AD66)),"")</f>
        <v>0</v>
      </c>
      <c r="AL66" s="194">
        <f>IF(U66&lt;&gt;"",SUMPRODUCT((AF65:AF68=AF66)*(AA65:AA68=AA66)*(Y65:Y68=Y66)*(AC65:AC68=AC66)*(AD65:AD68=AD66)*(AE65:AE68&gt;AE66)),"")</f>
        <v>0</v>
      </c>
      <c r="AM66" s="194">
        <f>IF(U66&lt;&gt;"",SUM(AG66:AL66),"")</f>
        <v>1</v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15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15">
      <c r="I68" s="194">
        <f>SUMPRODUCT((I25:I28=I28)*(H25:H28=H28)*(F25:F28&gt;F28))+1</f>
        <v>2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15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15">
      <c r="I71" s="194">
        <f>SUMPRODUCT((I31:I34=I31)*(H31:H34=H31)*(F31:F34&gt;F31))+1</f>
        <v>1</v>
      </c>
      <c r="T71" s="194">
        <f>IF(U31&lt;&gt;"",SUMPRODUCT((AB31:AB34=AB31)*(AA31:AA34=AA31)*(Y31:Y34=Y31)*(Z31:Z34=Z31)),"")</f>
        <v>2</v>
      </c>
      <c r="U71" s="194" t="str">
        <f>IF(AND(T71&lt;&gt;"",T71&gt;1),U31,"")</f>
        <v>Poland</v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1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2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2</v>
      </c>
      <c r="AA71" s="194">
        <f>Y71-Z71+1000</f>
        <v>1000</v>
      </c>
      <c r="AB71" s="194">
        <f>IF(U71&lt;&gt;"",V71*3+W71*1,"")</f>
        <v>1</v>
      </c>
      <c r="AC71" s="194">
        <f>IF(U71&lt;&gt;"",VLOOKUP(U71,B4:H40,7,FALSE),"")</f>
        <v>1004</v>
      </c>
      <c r="AD71" s="194">
        <f>IF(U71&lt;&gt;"",VLOOKUP(U71,B4:H40,5,FALSE),"")</f>
        <v>7</v>
      </c>
      <c r="AE71" s="194">
        <f>IF(U71&lt;&gt;"",VLOOKUP(U71,B4:J40,9,FALSE),"")</f>
        <v>48</v>
      </c>
      <c r="AF71" s="194">
        <f>AB71</f>
        <v>1</v>
      </c>
      <c r="AG71" s="194">
        <f>IF(U71&lt;&gt;"",RANK(AF71,AF71:AF74),"")</f>
        <v>1</v>
      </c>
      <c r="AH71" s="194">
        <f>IF(U71&lt;&gt;"",SUMPRODUCT((AF71:AF74=AF71)*(AA71:AA74&gt;AA71)),"")</f>
        <v>0</v>
      </c>
      <c r="AI71" s="194">
        <f>IF(U71&lt;&gt;"",SUMPRODUCT((AF71:AF74=AF71)*(AA71:AA74=AA71)*(Y71:Y74&gt;Y71)),"")</f>
        <v>0</v>
      </c>
      <c r="AJ71" s="194">
        <f>IF(U71&lt;&gt;"",SUMPRODUCT((AF71:AF74=AF71)*(AA71:AA74=AA71)*(Y71:Y74=Y71)*(AC71:AC74&gt;AC71)),"")</f>
        <v>0</v>
      </c>
      <c r="AK71" s="194">
        <f>IF(U71&lt;&gt;"",SUMPRODUCT((AF71:AF74=AF71)*(AA71:AA74=AA71)*(Y71:Y74=Y71)*(AC71:AC74=AC71)*(AD71:AD74&gt;AD71)),"")</f>
        <v>0</v>
      </c>
      <c r="AL71" s="194">
        <f>IF(U71&lt;&gt;"",SUMPRODUCT((AF71:AF74=AF71)*(AA71:AA74=AA71)*(Y71:Y74=Y71)*(AC71:AC74=AC71)*(AD71:AD74=AD71)*(AE71:AE74&gt;AE71)),"")</f>
        <v>0</v>
      </c>
      <c r="AM71" s="194">
        <f>IF(U71&lt;&gt;"",SUM(AG71:AL71),"")</f>
        <v>1</v>
      </c>
    </row>
    <row r="72" spans="9:59" x14ac:dyDescent="0.15">
      <c r="I72" s="194">
        <f>SUMPRODUCT((I31:I34=I32)*(H31:H34=H32)*(F31:F34&gt;F32))+1</f>
        <v>1</v>
      </c>
      <c r="T72" s="194">
        <f>IF(U32&lt;&gt;"",SUMPRODUCT((AB31:AB34=AB32)*(AA31:AA34=AA32)*(Y31:Y34=Y32)*(Z31:Z34=Z32)),"")</f>
        <v>2</v>
      </c>
      <c r="U72" s="194" t="str">
        <f t="shared" ref="U72:U74" si="99">IF(AND(T72&lt;&gt;"",T72&gt;1),U32,"")</f>
        <v>Spain</v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1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2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2</v>
      </c>
      <c r="AA72" s="194">
        <f>Y72-Z72+1000</f>
        <v>1000</v>
      </c>
      <c r="AB72" s="194">
        <f t="shared" ref="AB72:AB74" si="100">IF(U72&lt;&gt;"",V72*3+W72*1,"")</f>
        <v>1</v>
      </c>
      <c r="AC72" s="194">
        <f>IF(U72&lt;&gt;"",VLOOKUP(U72,B4:H40,7,FALSE),"")</f>
        <v>1003</v>
      </c>
      <c r="AD72" s="194">
        <f>IF(U72&lt;&gt;"",VLOOKUP(U72,B4:H40,5,FALSE),"")</f>
        <v>6</v>
      </c>
      <c r="AE72" s="194">
        <f>IF(U72&lt;&gt;"",VLOOKUP(U72,B4:J40,9,FALSE),"")</f>
        <v>51</v>
      </c>
      <c r="AF72" s="194">
        <f t="shared" ref="AF72:AF74" si="101">AB72</f>
        <v>1</v>
      </c>
      <c r="AG72" s="194">
        <f>IF(U72&lt;&gt;"",RANK(AF72,AF71:AF74),"")</f>
        <v>1</v>
      </c>
      <c r="AH72" s="194">
        <f>IF(U72&lt;&gt;"",SUMPRODUCT((AF71:AF74=AF72)*(AA71:AA74&gt;AA72)),"")</f>
        <v>0</v>
      </c>
      <c r="AI72" s="194">
        <f>IF(U72&lt;&gt;"",SUMPRODUCT((AF71:AF74=AF72)*(AA71:AA74=AA72)*(Y71:Y74&gt;Y72)),"")</f>
        <v>0</v>
      </c>
      <c r="AJ72" s="194">
        <f>IF(U72&lt;&gt;"",SUMPRODUCT((AF71:AF74=AF72)*(AA71:AA74=AA72)*(Y71:Y74=Y72)*(AC71:AC74&gt;AC72)),"")</f>
        <v>1</v>
      </c>
      <c r="AK72" s="194">
        <f>IF(U72&lt;&gt;"",SUMPRODUCT((AF71:AF74=AF72)*(AA71:AA74=AA72)*(Y71:Y74=Y72)*(AC71:AC74=AC72)*(AD71:AD74&gt;AD72)),"")</f>
        <v>0</v>
      </c>
      <c r="AL72" s="194">
        <f>IF(U72&lt;&gt;"",SUMPRODUCT((AF71:AF74=AF72)*(AA71:AA74=AA72)*(Y71:Y74=Y72)*(AC71:AC74=AC72)*(AD71:AD74=AD72)*(AE71:AE74&gt;AE72)),"")</f>
        <v>0</v>
      </c>
      <c r="AM72" s="194">
        <f>IF(U72&lt;&gt;"",SUM(AG72:AL72),"")</f>
        <v>2</v>
      </c>
      <c r="AN72" s="194" t="str">
        <f>IF(AO32&lt;&gt;"",SUMPRODUCT((AV31:AV34=AV32)*(AU31:AU34=AU32)*(AS31:AS34=AS32)*(AT31:AT34=AT32)),"")</f>
        <v/>
      </c>
      <c r="AO72" s="194" t="str">
        <f t="shared" ref="AO72:AO74" si="102">IF(AND(AN72&lt;&gt;"",AN72&gt;1),AO32,"")</f>
        <v/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194">
        <f>AS72-AT72+1000</f>
        <v>1000</v>
      </c>
      <c r="AV72" s="194" t="str">
        <f t="shared" ref="AV72:AV74" si="103">IF(AO72&lt;&gt;"",AP72*3+AQ72*1,"")</f>
        <v/>
      </c>
      <c r="AW72" s="194" t="str">
        <f>IF(AO72&lt;&gt;"",VLOOKUP(AO72,B4:H40,7,FALSE),"")</f>
        <v/>
      </c>
      <c r="AX72" s="194" t="str">
        <f>IF(AO72&lt;&gt;"",VLOOKUP(AO72,B4:H40,5,FALSE),"")</f>
        <v/>
      </c>
      <c r="AY72" s="194" t="str">
        <f>IF(AO72&lt;&gt;"",VLOOKUP(AO72,B4:J40,9,FALSE),"")</f>
        <v/>
      </c>
      <c r="AZ72" s="194" t="str">
        <f t="shared" ref="AZ72:AZ74" si="104">AV72</f>
        <v/>
      </c>
      <c r="BA72" s="194" t="str">
        <f>IF(AO72&lt;&gt;"",RANK(AZ72,AZ71:AZ74),"")</f>
        <v/>
      </c>
      <c r="BB72" s="194" t="str">
        <f>IF(AO72&lt;&gt;"",SUMPRODUCT((AZ71:AZ74=AZ72)*(AU71:AU74&gt;AU72)),"")</f>
        <v/>
      </c>
      <c r="BC72" s="194" t="str">
        <f>IF(AO72&lt;&gt;"",SUMPRODUCT((AZ71:AZ74=AZ72)*(AU71:AU74=AU72)*(AS71:AS74&gt;AS72)),"")</f>
        <v/>
      </c>
      <c r="BD72" s="194" t="str">
        <f>IF(AO72&lt;&gt;"",SUMPRODUCT((AZ71:AZ74=AZ72)*(AU71:AU74=AU72)*(AS71:AS74=AS72)*(AW71:AW74&gt;AW72)),"")</f>
        <v/>
      </c>
      <c r="BE72" s="194" t="str">
        <f>IF(AO72&lt;&gt;"",SUMPRODUCT((AZ71:AZ74=AZ72)*(AU71:AU74=AU72)*(AS71:AS74=AS72)*(AW71:AW74=AW72)*(AX71:AX74&gt;AX72)),"")</f>
        <v/>
      </c>
      <c r="BF72" s="194" t="str">
        <f>IF(AO72&lt;&gt;"",SUMPRODUCT((AZ71:AZ74=AZ72)*(AU71:AU74=AU72)*(AS71:AS74=AS72)*(AW71:AW74=AW72)*(AX71:AX74=AX72)*(AY71:AY74&gt;AY72)),"")</f>
        <v/>
      </c>
      <c r="BG72" s="194" t="str">
        <f>IF(AO72&lt;&gt;"",SUM(BA72:BF72)+1,"")</f>
        <v/>
      </c>
    </row>
    <row r="73" spans="9:59" x14ac:dyDescent="0.15">
      <c r="I73" s="194">
        <f>SUMPRODUCT((I31:I34=I33)*(H31:H34=H33)*(F31:F34&gt;F33))+1</f>
        <v>1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 t="str">
        <f>IF(AO33&lt;&gt;"",SUMPRODUCT((AV31:AV34=AV33)*(AU31:AU34=AU33)*(AS31:AS34=AS33)*(AT31:AT34=AT33)),"")</f>
        <v/>
      </c>
      <c r="AO73" s="194" t="str">
        <f t="shared" si="102"/>
        <v/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194">
        <f>AS73-AT73+1000</f>
        <v>1000</v>
      </c>
      <c r="AV73" s="194" t="str">
        <f t="shared" si="103"/>
        <v/>
      </c>
      <c r="AW73" s="194" t="str">
        <f>IF(AO73&lt;&gt;"",VLOOKUP(AO73,B4:H40,7,FALSE),"")</f>
        <v/>
      </c>
      <c r="AX73" s="194" t="str">
        <f>IF(AO73&lt;&gt;"",VLOOKUP(AO73,B4:H40,5,FALSE),"")</f>
        <v/>
      </c>
      <c r="AY73" s="194" t="str">
        <f>IF(AO73&lt;&gt;"",VLOOKUP(AO73,B4:J40,9,FALSE),"")</f>
        <v/>
      </c>
      <c r="AZ73" s="194" t="str">
        <f t="shared" si="104"/>
        <v/>
      </c>
      <c r="BA73" s="194" t="str">
        <f>IF(AO73&lt;&gt;"",RANK(AZ73,AZ71:AZ74),"")</f>
        <v/>
      </c>
      <c r="BB73" s="194" t="str">
        <f>IF(AO73&lt;&gt;"",SUMPRODUCT((AZ71:AZ74=AZ73)*(AU71:AU74&gt;AU73)),"")</f>
        <v/>
      </c>
      <c r="BC73" s="194" t="str">
        <f>IF(AO73&lt;&gt;"",SUMPRODUCT((AZ71:AZ74=AZ73)*(AU71:AU74=AU73)*(AS71:AS74&gt;AS73)),"")</f>
        <v/>
      </c>
      <c r="BD73" s="194" t="str">
        <f>IF(AO73&lt;&gt;"",SUMPRODUCT((AZ71:AZ74=AZ73)*(AU71:AU74=AU73)*(AS71:AS74=AS73)*(AW71:AW74&gt;AW73)),"")</f>
        <v/>
      </c>
      <c r="BE73" s="194" t="str">
        <f>IF(AO73&lt;&gt;"",SUMPRODUCT((AZ71:AZ74=AZ73)*(AU71:AU74=AU73)*(AS71:AS74=AS73)*(AW71:AW74=AW73)*(AX71:AX74&gt;AX73)),"")</f>
        <v/>
      </c>
      <c r="BF73" s="194" t="str">
        <f>IF(AO73&lt;&gt;"",SUMPRODUCT((AZ71:AZ74=AZ73)*(AU71:AU74=AU73)*(AS71:AS74=AS73)*(AW71:AW74=AW73)*(AX71:AX74=AX73)*(AY71:AY74&gt;AY73)),"")</f>
        <v/>
      </c>
      <c r="BG73" s="194" t="str">
        <f t="shared" ref="BG73:BG74" si="105">IF(AO73&lt;&gt;"",SUM(BA73:BF73)+1,"")</f>
        <v/>
      </c>
    </row>
    <row r="74" spans="9:59" x14ac:dyDescent="0.15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15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15">
      <c r="I77" s="194">
        <f>SUMPRODUCT((I37:I40=I37)*(H37:H40=H37)*(F37:F40&gt;F37))+1</f>
        <v>1</v>
      </c>
      <c r="T77" s="194">
        <f>IF(U37&lt;&gt;"",SUMPRODUCT((AB37:AB40=AB37)*(AA37:AA40=AA37)*(Y37:Y40=Y37)*(Z37:Z40=Z37)),"")</f>
        <v>2</v>
      </c>
      <c r="U77" s="194" t="str">
        <f>IF(AND(T77&lt;&gt;"",T77&gt;1),U37,"")</f>
        <v>Portugal</v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1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2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2</v>
      </c>
      <c r="AA77" s="194">
        <f>Y77-Z77+1000</f>
        <v>1000</v>
      </c>
      <c r="AB77" s="194">
        <f>IF(U77&lt;&gt;"",V77*3+W77*1,"")</f>
        <v>1</v>
      </c>
      <c r="AC77" s="194">
        <f>IF(U77&lt;&gt;"",VLOOKUP(U77,B4:H40,7,FALSE),"")</f>
        <v>1005</v>
      </c>
      <c r="AD77" s="194">
        <f>IF(U77&lt;&gt;"",VLOOKUP(U77,B4:H40,5,FALSE),"")</f>
        <v>8</v>
      </c>
      <c r="AE77" s="194">
        <f>IF(U77&lt;&gt;"",VLOOKUP(U77,B4:J40,9,FALSE),"")</f>
        <v>43</v>
      </c>
      <c r="AF77" s="194">
        <f>AB77</f>
        <v>1</v>
      </c>
      <c r="AG77" s="194">
        <f>IF(U77&lt;&gt;"",RANK(AF77,AF77:AF80),"")</f>
        <v>1</v>
      </c>
      <c r="AH77" s="194">
        <f>IF(U77&lt;&gt;"",SUMPRODUCT((AF77:AF80=AF77)*(AA77:AA80&gt;AA77)),"")</f>
        <v>0</v>
      </c>
      <c r="AI77" s="194">
        <f>IF(U77&lt;&gt;"",SUMPRODUCT((AF77:AF80=AF77)*(AA77:AA80=AA77)*(Y77:Y80&gt;Y77)),"")</f>
        <v>0</v>
      </c>
      <c r="AJ77" s="194">
        <f>IF(U77&lt;&gt;"",SUMPRODUCT((AF77:AF80=AF77)*(AA77:AA80=AA77)*(Y77:Y80=Y77)*(AC77:AC80&gt;AC77)),"")</f>
        <v>0</v>
      </c>
      <c r="AK77" s="194">
        <f>IF(U77&lt;&gt;"",SUMPRODUCT((AF77:AF80=AF77)*(AA77:AA80=AA77)*(Y77:Y80=Y77)*(AC77:AC80=AC77)*(AD77:AD80&gt;AD77)),"")</f>
        <v>0</v>
      </c>
      <c r="AL77" s="194">
        <f>IF(U77&lt;&gt;"",SUMPRODUCT((AF77:AF80=AF77)*(AA77:AA80=AA77)*(Y77:Y80=Y77)*(AC77:AC80=AC77)*(AD77:AD80=AD77)*(AE77:AE80&gt;AE77)),"")</f>
        <v>0</v>
      </c>
      <c r="AM77" s="194">
        <f>IF(U77&lt;&gt;"",SUM(AG77:AL77),"")</f>
        <v>1</v>
      </c>
    </row>
    <row r="78" spans="9:59" x14ac:dyDescent="0.15">
      <c r="I78" s="194">
        <f>SUMPRODUCT((I37:I40=I38)*(H37:H40=H38)*(F37:F40&gt;F38))+1</f>
        <v>1</v>
      </c>
      <c r="T78" s="194">
        <f>IF(U38&lt;&gt;"",SUMPRODUCT((AB37:AB40=AB38)*(AA37:AA40=AA38)*(Y37:Y40=Y38)*(Z37:Z40=Z38)),"")</f>
        <v>2</v>
      </c>
      <c r="U78" s="194" t="str">
        <f t="shared" ref="U78:U80" si="106">IF(AND(T78&lt;&gt;"",T78&gt;1),U38,"")</f>
        <v>France</v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1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2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2</v>
      </c>
      <c r="AA78" s="194">
        <f>Y78-Z78+1000</f>
        <v>1000</v>
      </c>
      <c r="AB78" s="194">
        <f t="shared" ref="AB78:AB80" si="107">IF(U78&lt;&gt;"",V78*3+W78*1,"")</f>
        <v>1</v>
      </c>
      <c r="AC78" s="194">
        <f>IF(U78&lt;&gt;"",VLOOKUP(U78,B4:H40,7,FALSE),"")</f>
        <v>1004</v>
      </c>
      <c r="AD78" s="194">
        <f>IF(U78&lt;&gt;"",VLOOKUP(U78,B4:H40,5,FALSE),"")</f>
        <v>7</v>
      </c>
      <c r="AE78" s="194">
        <f>IF(U78&lt;&gt;"",VLOOKUP(U78,B4:J40,9,FALSE),"")</f>
        <v>49</v>
      </c>
      <c r="AF78" s="194">
        <f t="shared" ref="AF78:AF80" si="108">AB78</f>
        <v>1</v>
      </c>
      <c r="AG78" s="194">
        <f>IF(U78&lt;&gt;"",RANK(AF78,AF77:AF80),"")</f>
        <v>1</v>
      </c>
      <c r="AH78" s="194">
        <f>IF(U78&lt;&gt;"",SUMPRODUCT((AF77:AF80=AF78)*(AA77:AA80&gt;AA78)),"")</f>
        <v>0</v>
      </c>
      <c r="AI78" s="194">
        <f>IF(U78&lt;&gt;"",SUMPRODUCT((AF77:AF80=AF78)*(AA77:AA80=AA78)*(Y77:Y80&gt;Y78)),"")</f>
        <v>0</v>
      </c>
      <c r="AJ78" s="194">
        <f>IF(U78&lt;&gt;"",SUMPRODUCT((AF77:AF80=AF78)*(AA77:AA80=AA78)*(Y77:Y80=Y78)*(AC77:AC80&gt;AC78)),"")</f>
        <v>1</v>
      </c>
      <c r="AK78" s="194">
        <f>IF(U78&lt;&gt;"",SUMPRODUCT((AF77:AF80=AF78)*(AA77:AA80=AA78)*(Y77:Y80=Y78)*(AC77:AC80=AC78)*(AD77:AD80&gt;AD78)),"")</f>
        <v>0</v>
      </c>
      <c r="AL78" s="194">
        <f>IF(U78&lt;&gt;"",SUMPRODUCT((AF77:AF80=AF78)*(AA77:AA80=AA78)*(Y77:Y80=Y78)*(AC77:AC80=AC78)*(AD77:AD80=AD78)*(AE77:AE80&gt;AE78)),"")</f>
        <v>0</v>
      </c>
      <c r="AM78" s="194">
        <f>IF(U78&lt;&gt;"",SUM(AG78:AL78),"")</f>
        <v>2</v>
      </c>
      <c r="AN78" s="194" t="str">
        <f>IF(AO38&lt;&gt;"",SUMPRODUCT((AV37:AV40=AV38)*(AU37:AU40=AU38)*(AS37:AS40=AS38)*(AT37:AT40=AT38)),"")</f>
        <v/>
      </c>
      <c r="AO78" s="194" t="str">
        <f t="shared" ref="AO78:AO80" si="109">IF(AND(AN78&lt;&gt;"",AN78&gt;1),AO38,"")</f>
        <v/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194">
        <f>AS78-AT78+1000</f>
        <v>1000</v>
      </c>
      <c r="AV78" s="194" t="str">
        <f t="shared" ref="AV78:AV80" si="110">IF(AO78&lt;&gt;"",AP78*3+AQ78*1,"")</f>
        <v/>
      </c>
      <c r="AW78" s="194" t="str">
        <f>IF(AO78&lt;&gt;"",VLOOKUP(AO78,B4:H40,7,FALSE),"")</f>
        <v/>
      </c>
      <c r="AX78" s="194" t="str">
        <f>IF(AO78&lt;&gt;"",VLOOKUP(AO78,B4:H40,5,FALSE),"")</f>
        <v/>
      </c>
      <c r="AY78" s="194" t="str">
        <f>IF(AO78&lt;&gt;"",VLOOKUP(AO78,B4:J40,9,FALSE),"")</f>
        <v/>
      </c>
      <c r="AZ78" s="194" t="str">
        <f t="shared" ref="AZ78:AZ80" si="111">AV78</f>
        <v/>
      </c>
      <c r="BA78" s="194" t="str">
        <f>IF(AO78&lt;&gt;"",RANK(AZ78,AZ77:AZ80),"")</f>
        <v/>
      </c>
      <c r="BB78" s="194" t="str">
        <f>IF(AO78&lt;&gt;"",SUMPRODUCT((AZ77:AZ80=AZ78)*(AU77:AU80&gt;AU78)),"")</f>
        <v/>
      </c>
      <c r="BC78" s="194" t="str">
        <f>IF(AO78&lt;&gt;"",SUMPRODUCT((AZ77:AZ80=AZ78)*(AU77:AU80=AU78)*(AS77:AS80&gt;AS78)),"")</f>
        <v/>
      </c>
      <c r="BD78" s="194" t="str">
        <f>IF(AO78&lt;&gt;"",SUMPRODUCT((AZ77:AZ80=AZ78)*(AU77:AU80=AU78)*(AS77:AS80=AS78)*(AW77:AW80&gt;AW78)),"")</f>
        <v/>
      </c>
      <c r="BE78" s="194" t="str">
        <f>IF(AO78&lt;&gt;"",SUMPRODUCT((AZ77:AZ80=AZ78)*(AU77:AU80=AU78)*(AS77:AS80=AS78)*(AW77:AW80=AW78)*(AX77:AX80&gt;AX78)),"")</f>
        <v/>
      </c>
      <c r="BF78" s="194" t="str">
        <f>IF(AO78&lt;&gt;"",SUMPRODUCT((AZ77:AZ80=AZ78)*(AU77:AU80=AU78)*(AS77:AS80=AS78)*(AW77:AW80=AW78)*(AX77:AX80=AX78)*(AY77:AY80&gt;AY78)),"")</f>
        <v/>
      </c>
      <c r="BG78" s="194" t="str">
        <f>IF(AO78&lt;&gt;"",SUM(BA78:BF78)+1,"")</f>
        <v/>
      </c>
    </row>
    <row r="79" spans="9:59" x14ac:dyDescent="0.15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 t="str">
        <f>IF(AO39&lt;&gt;"",SUMPRODUCT((AV37:AV40=AV39)*(AU37:AU40=AU39)*(AS37:AS40=AS39)*(AT37:AT40=AT39)),"")</f>
        <v/>
      </c>
      <c r="AO79" s="194" t="str">
        <f t="shared" si="109"/>
        <v/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194">
        <f>AS79-AT79+1000</f>
        <v>1000</v>
      </c>
      <c r="AV79" s="194" t="str">
        <f t="shared" si="110"/>
        <v/>
      </c>
      <c r="AW79" s="194" t="str">
        <f>IF(AO79&lt;&gt;"",VLOOKUP(AO79,B4:H40,7,FALSE),"")</f>
        <v/>
      </c>
      <c r="AX79" s="194" t="str">
        <f>IF(AO79&lt;&gt;"",VLOOKUP(AO79,B4:H40,5,FALSE),"")</f>
        <v/>
      </c>
      <c r="AY79" s="194" t="str">
        <f>IF(AO79&lt;&gt;"",VLOOKUP(AO79,B4:J40,9,FALSE),"")</f>
        <v/>
      </c>
      <c r="AZ79" s="194" t="str">
        <f t="shared" si="111"/>
        <v/>
      </c>
      <c r="BA79" s="194" t="str">
        <f>IF(AO79&lt;&gt;"",RANK(AZ79,AZ77:AZ80),"")</f>
        <v/>
      </c>
      <c r="BB79" s="194" t="str">
        <f>IF(AO79&lt;&gt;"",SUMPRODUCT((AZ77:AZ80=AZ79)*(AU77:AU80&gt;AU79)),"")</f>
        <v/>
      </c>
      <c r="BC79" s="194" t="str">
        <f>IF(AO79&lt;&gt;"",SUMPRODUCT((AZ77:AZ80=AZ79)*(AU77:AU80=AU79)*(AS77:AS80&gt;AS79)),"")</f>
        <v/>
      </c>
      <c r="BD79" s="194" t="str">
        <f>IF(AO79&lt;&gt;"",SUMPRODUCT((AZ77:AZ80=AZ79)*(AU77:AU80=AU79)*(AS77:AS80=AS79)*(AW77:AW80&gt;AW79)),"")</f>
        <v/>
      </c>
      <c r="BE79" s="194" t="str">
        <f>IF(AO79&lt;&gt;"",SUMPRODUCT((AZ77:AZ80=AZ79)*(AU77:AU80=AU79)*(AS77:AS80=AS79)*(AW77:AW80=AW79)*(AX77:AX80&gt;AX79)),"")</f>
        <v/>
      </c>
      <c r="BF79" s="194" t="str">
        <f>IF(AO79&lt;&gt;"",SUMPRODUCT((AZ77:AZ80=AZ79)*(AU77:AU80=AU79)*(AS77:AS80=AS79)*(AW77:AW80=AW79)*(AX77:AX80=AX79)*(AY77:AY80&gt;AY79)),"")</f>
        <v/>
      </c>
      <c r="BG79" s="194" t="str">
        <f t="shared" ref="BG79:BG80" si="112">IF(AO79&lt;&gt;"",SUM(BA79:BF79)+1,"")</f>
        <v/>
      </c>
    </row>
    <row r="80" spans="9:59" x14ac:dyDescent="0.15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15">
      <c r="C88" s="194" t="str">
        <f>Matches!B49</f>
        <v>France</v>
      </c>
    </row>
    <row r="89" spans="3:3" x14ac:dyDescent="0.15">
      <c r="C89" s="194" t="str">
        <f>Matches!B50</f>
        <v>Belgium</v>
      </c>
    </row>
    <row r="90" spans="3:3" x14ac:dyDescent="0.15">
      <c r="C90" s="194" t="str">
        <f>Matches!B51</f>
        <v>England</v>
      </c>
    </row>
    <row r="91" spans="3:3" x14ac:dyDescent="0.15">
      <c r="C91" s="194" t="str">
        <f>Matches!B52</f>
        <v>Portugal</v>
      </c>
    </row>
    <row r="93" spans="3:3" x14ac:dyDescent="0.15">
      <c r="C93" s="194" t="str">
        <f>Matches!B55</f>
        <v>England</v>
      </c>
    </row>
    <row r="94" spans="3:3" x14ac:dyDescent="0.15">
      <c r="C94" s="194" t="str">
        <f>Matches!B56</f>
        <v>France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Thomas Camilleri</cp:lastModifiedBy>
  <cp:lastPrinted>2021-06-02T07:28:15Z</cp:lastPrinted>
  <dcterms:created xsi:type="dcterms:W3CDTF">2021-04-26T08:42:41Z</dcterms:created>
  <dcterms:modified xsi:type="dcterms:W3CDTF">2021-06-06T21:23:13Z</dcterms:modified>
</cp:coreProperties>
</file>