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lukeaarohi/pyfiles/EURO2020/phase_II/"/>
    </mc:Choice>
  </mc:AlternateContent>
  <xr:revisionPtr revIDLastSave="0" documentId="8_{0F445A83-FA3C-044E-B2E9-710DD9A59CA7}" xr6:coauthVersionLast="47" xr6:coauthVersionMax="47" xr10:uidLastSave="{00000000-0000-0000-0000-000000000000}"/>
  <bookViews>
    <workbookView xWindow="0" yWindow="500" windowWidth="23260" windowHeight="13180" xr2:uid="{00000000-000D-0000-FFFF-FFFF00000000}"/>
  </bookViews>
  <sheets>
    <sheet name="Matches" sheetId="2" r:id="rId1"/>
    <sheet name="INTERNAL_USE_ONLY" sheetId="4" r:id="rId2"/>
    <sheet name="Setup | Game Regulation" sheetId="1" state="hidden" r:id="rId3"/>
    <sheet name="Dummy Table" sheetId="3" state="hidden" r:id="rId4"/>
  </sheets>
  <externalReferences>
    <externalReference r:id="rId5"/>
  </externalReferences>
  <definedNames>
    <definedName name="Champion">"                                    © journalSHEET.com"</definedName>
    <definedName name="CurrentRound">Matches!$A$10</definedName>
    <definedName name="MaxROund">Matches!$A$9</definedName>
    <definedName name="Pick1">OFFSET(#REF!,0,0,#REF!,1)</definedName>
    <definedName name="Pick10">OFFSET(#REF!,0,0,#REF!,1)</definedName>
    <definedName name="Pick100">OFFSET(#REF!,0,0,#REF!,1)</definedName>
    <definedName name="Pick11">OFFSET(#REF!,0,0,#REF!,1)</definedName>
    <definedName name="Pick12">OFFSET(#REF!,0,0,#REF!,1)</definedName>
    <definedName name="Pick13">OFFSET(#REF!,0,0,#REF!,1)</definedName>
    <definedName name="Pick14">OFFSET(#REF!,0,0,#REF!,1)</definedName>
    <definedName name="Pick15">OFFSET(#REF!,0,0,#REF!,1)</definedName>
    <definedName name="Pick16">OFFSET(#REF!,0,0,#REF!,1)</definedName>
    <definedName name="Pick17">OFFSET(#REF!,0,0,#REF!,1)</definedName>
    <definedName name="Pick18">OFFSET(#REF!,0,0,#REF!,1)</definedName>
    <definedName name="Pick19">OFFSET(#REF!,0,0,#REF!,1)</definedName>
    <definedName name="Pick2">OFFSET(#REF!,0,0,#REF!,1)</definedName>
    <definedName name="Pick20">OFFSET(#REF!,0,0,#REF!,1)</definedName>
    <definedName name="Pick21">OFFSET(#REF!,0,0,#REF!,1)</definedName>
    <definedName name="Pick22">OFFSET(#REF!,0,0,#REF!,1)</definedName>
    <definedName name="Pick23">OFFSET(#REF!,0,0,#REF!,1)</definedName>
    <definedName name="Pick24">OFFSET(#REF!,0,0,#REF!,1)</definedName>
    <definedName name="Pick25">OFFSET(#REF!,0,0,#REF!,1)</definedName>
    <definedName name="Pick26">OFFSET(#REF!,0,0,#REF!,1)</definedName>
    <definedName name="Pick27">OFFSET(#REF!,0,0,#REF!,1)</definedName>
    <definedName name="Pick28">OFFSET(#REF!,0,0,#REF!,1)</definedName>
    <definedName name="Pick29">OFFSET(#REF!,0,0,#REF!,1)</definedName>
    <definedName name="Pick3">OFFSET(#REF!,0,0,#REF!,1)</definedName>
    <definedName name="Pick30">OFFSET(#REF!,0,0,#REF!,1)</definedName>
    <definedName name="Pick31">OFFSET(#REF!,0,0,#REF!,1)</definedName>
    <definedName name="Pick32">OFFSET(#REF!,0,0,#REF!,1)</definedName>
    <definedName name="Pick33">OFFSET(#REF!,0,0,#REF!,1)</definedName>
    <definedName name="Pick34">OFFSET(#REF!,0,0,#REF!,1)</definedName>
    <definedName name="Pick35">OFFSET(#REF!,0,0,#REF!,1)</definedName>
    <definedName name="Pick36">OFFSET(#REF!,0,0,#REF!,1)</definedName>
    <definedName name="Pick37">OFFSET(#REF!,0,0,#REF!,1)</definedName>
    <definedName name="Pick38">OFFSET(#REF!,0,0,#REF!,1)</definedName>
    <definedName name="Pick39">OFFSET(#REF!,0,0,#REF!,1)</definedName>
    <definedName name="Pick4">OFFSET(#REF!,0,0,#REF!,1)</definedName>
    <definedName name="Pick40">OFFSET(#REF!,0,0,#REF!,1)</definedName>
    <definedName name="Pick41">OFFSET(#REF!,0,0,#REF!,1)</definedName>
    <definedName name="Pick42">OFFSET(#REF!,0,0,#REF!,1)</definedName>
    <definedName name="Pick43">OFFSET(#REF!,0,0,#REF!,1)</definedName>
    <definedName name="Pick44">OFFSET(#REF!,0,0,#REF!,1)</definedName>
    <definedName name="Pick45">OFFSET(#REF!,0,0,#REF!,1)</definedName>
    <definedName name="Pick46">OFFSET(#REF!,0,0,#REF!,1)</definedName>
    <definedName name="Pick47">OFFSET(#REF!,0,0,#REF!,1)</definedName>
    <definedName name="Pick48">OFFSET(#REF!,0,0,#REF!,1)</definedName>
    <definedName name="Pick49">OFFSET(#REF!,0,0,#REF!,1)</definedName>
    <definedName name="Pick5">OFFSET(#REF!,0,0,#REF!,1)</definedName>
    <definedName name="Pick50">OFFSET(#REF!,0,0,#REF!,1)</definedName>
    <definedName name="Pick51">OFFSET(#REF!,0,0,#REF!,1)</definedName>
    <definedName name="Pick52">OFFSET(#REF!,0,0,#REF!,1)</definedName>
    <definedName name="Pick53">OFFSET(#REF!,0,0,#REF!,1)</definedName>
    <definedName name="Pick54">OFFSET(#REF!,0,0,#REF!,1)</definedName>
    <definedName name="Pick55">OFFSET(#REF!,0,0,#REF!,1)</definedName>
    <definedName name="Pick56">OFFSET(#REF!,0,0,#REF!,1)</definedName>
    <definedName name="Pick57">OFFSET(#REF!,0,0,#REF!,1)</definedName>
    <definedName name="Pick58">OFFSET(#REF!,0,0,#REF!,1)</definedName>
    <definedName name="Pick59">OFFSET(#REF!,0,0,#REF!,1)</definedName>
    <definedName name="Pick6">OFFSET(#REF!,0,0,#REF!,1)</definedName>
    <definedName name="Pick60">OFFSET(#REF!,0,0,#REF!,1)</definedName>
    <definedName name="Pick61">OFFSET(#REF!,0,0,#REF!,1)</definedName>
    <definedName name="Pick62">OFFSET(#REF!,0,0,#REF!,1)</definedName>
    <definedName name="Pick63">OFFSET(#REF!,0,0,#REF!,1)</definedName>
    <definedName name="Pick64">OFFSET(#REF!,0,0,#REF!,1)</definedName>
    <definedName name="Pick65">OFFSET(#REF!,0,0,#REF!,1)</definedName>
    <definedName name="Pick66">OFFSET(#REF!,0,0,#REF!,1)</definedName>
    <definedName name="Pick67">OFFSET(#REF!,0,0,#REF!,1)</definedName>
    <definedName name="Pick68">OFFSET(#REF!,0,0,#REF!,1)</definedName>
    <definedName name="Pick69">OFFSET(#REF!,0,0,#REF!,1)</definedName>
    <definedName name="Pick7">OFFSET(#REF!,0,0,#REF!,1)</definedName>
    <definedName name="Pick70">OFFSET(#REF!,0,0,#REF!,1)</definedName>
    <definedName name="Pick71">OFFSET(#REF!,0,0,#REF!,1)</definedName>
    <definedName name="Pick72">OFFSET(#REF!,0,0,#REF!,1)</definedName>
    <definedName name="Pick73">OFFSET(#REF!,0,0,#REF!,1)</definedName>
    <definedName name="Pick74">OFFSET(#REF!,0,0,#REF!,1)</definedName>
    <definedName name="Pick75">OFFSET(#REF!,0,0,#REF!,1)</definedName>
    <definedName name="Pick76">OFFSET(#REF!,0,0,#REF!,1)</definedName>
    <definedName name="Pick77">OFFSET(#REF!,0,0,#REF!,1)</definedName>
    <definedName name="Pick78">OFFSET(#REF!,0,0,#REF!,1)</definedName>
    <definedName name="Pick79">OFFSET(#REF!,0,0,#REF!,1)</definedName>
    <definedName name="Pick8">OFFSET(#REF!,0,0,#REF!,1)</definedName>
    <definedName name="Pick80">OFFSET(#REF!,0,0,#REF!,1)</definedName>
    <definedName name="Pick81">OFFSET(#REF!,0,0,#REF!,1)</definedName>
    <definedName name="Pick82">OFFSET(#REF!,0,0,#REF!,1)</definedName>
    <definedName name="Pick83">OFFSET(#REF!,0,0,#REF!,1)</definedName>
    <definedName name="Pick84">OFFSET(#REF!,0,0,#REF!,1)</definedName>
    <definedName name="Pick85">OFFSET(#REF!,0,0,#REF!,1)</definedName>
    <definedName name="Pick86">OFFSET(#REF!,0,0,#REF!,1)</definedName>
    <definedName name="Pick87">OFFSET(#REF!,0,0,#REF!,1)</definedName>
    <definedName name="Pick88">OFFSET(#REF!,0,0,#REF!,1)</definedName>
    <definedName name="Pick89">OFFSET(#REF!,0,0,#REF!,1)</definedName>
    <definedName name="Pick9">OFFSET(#REF!,0,0,#REF!,1)</definedName>
    <definedName name="Pick90">OFFSET(#REF!,0,0,#REF!,1)</definedName>
    <definedName name="Pick91">OFFSET(#REF!,0,0,#REF!,1)</definedName>
    <definedName name="Pick92">OFFSET(#REF!,0,0,#REF!,1)</definedName>
    <definedName name="Pick93">OFFSET(#REF!,0,0,#REF!,1)</definedName>
    <definedName name="Pick94">OFFSET(#REF!,0,0,#REF!,1)</definedName>
    <definedName name="Pick95">OFFSET(#REF!,0,0,#REF!,1)</definedName>
    <definedName name="Pick96">OFFSET(#REF!,0,0,#REF!,1)</definedName>
    <definedName name="Pick97">OFFSET(#REF!,0,0,#REF!,1)</definedName>
    <definedName name="Pick98">OFFSET(#REF!,0,0,#REF!,1)</definedName>
    <definedName name="Pick99">OFFSET(#REF!,0,0,#REF!,1)</definedName>
    <definedName name="Players">#REF!</definedName>
    <definedName name="PoolTeam">'Dummy Table'!$B$50:$B$75</definedName>
    <definedName name="_xlnm.Print_Area" localSheetId="0">Matches!$B$1:$AD$69</definedName>
    <definedName name="_xlnm.Print_Area" localSheetId="2">'Setup | Game Regulation'!$B$1:$P$29</definedName>
    <definedName name="Qual3">Matches!$P$43:$P$46</definedName>
    <definedName name="QualifiedCountries">'Dummy Table'!$DW$18:$DW$33</definedName>
    <definedName name="Round1">Matches!$M$11:$M$22</definedName>
    <definedName name="Round2">Matches!$M$23:$M$34</definedName>
    <definedName name="Round3">Matches!$M$35:$M$46</definedName>
    <definedName name="Round4">Matches!$M$48:$M$55</definedName>
    <definedName name="Round5">Matches!$M$56:$M$59</definedName>
    <definedName name="Round6">Matches!$M$60:$M$61</definedName>
    <definedName name="Round7">Matches!$M$62</definedName>
    <definedName name="Team">'[1]Countries and Timezone'!$C$7:$C$38</definedName>
    <definedName name="TeamParticipant">'Setup | Game Regulation'!$C$5:$C$28</definedName>
    <definedName name="Teams">'Setup | Game Regulation'!$C$5:$C$20</definedName>
    <definedName name="Venues">'Dummy Table'!$C$50:$C$59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4" i="4" l="1"/>
  <c r="B33" i="4"/>
  <c r="B31" i="4"/>
  <c r="B30" i="4"/>
  <c r="B29" i="4"/>
  <c r="B28" i="4"/>
  <c r="B24" i="4"/>
  <c r="B25" i="4"/>
  <c r="B26" i="4"/>
  <c r="B23" i="4"/>
  <c r="B20" i="4"/>
  <c r="B21" i="4"/>
  <c r="B22" i="4"/>
  <c r="B19" i="4"/>
  <c r="B11" i="4"/>
  <c r="B12" i="4"/>
  <c r="B13" i="4"/>
  <c r="B14" i="4"/>
  <c r="B15" i="4"/>
  <c r="B16" i="4"/>
  <c r="B17" i="4"/>
  <c r="B10" i="4"/>
  <c r="B3" i="4"/>
  <c r="B4" i="4"/>
  <c r="B5" i="4"/>
  <c r="B6" i="4"/>
  <c r="B7" i="4"/>
  <c r="B8" i="4"/>
  <c r="B9" i="4"/>
  <c r="B2" i="4"/>
  <c r="AI62" i="2"/>
  <c r="AH62" i="2"/>
  <c r="AH49" i="2"/>
  <c r="AI49" i="2"/>
  <c r="AH50" i="2"/>
  <c r="AI50" i="2"/>
  <c r="AH51" i="2"/>
  <c r="AI51" i="2"/>
  <c r="AH52" i="2"/>
  <c r="AI52" i="2"/>
  <c r="AH53" i="2"/>
  <c r="AI53" i="2"/>
  <c r="AH54" i="2"/>
  <c r="AI54" i="2"/>
  <c r="AH55" i="2"/>
  <c r="AI55" i="2"/>
  <c r="AH56" i="2"/>
  <c r="AI56" i="2"/>
  <c r="AH57" i="2"/>
  <c r="AI57" i="2"/>
  <c r="AH58" i="2"/>
  <c r="AI58" i="2"/>
  <c r="AH59" i="2"/>
  <c r="AI59" i="2"/>
  <c r="AH60" i="2"/>
  <c r="AI60" i="2"/>
  <c r="AH61" i="2"/>
  <c r="AI61" i="2"/>
  <c r="AI48" i="2"/>
  <c r="AH48" i="2"/>
  <c r="M46" i="2"/>
  <c r="AK62" i="2" l="1"/>
  <c r="AJ62" i="2"/>
  <c r="AK60" i="2"/>
  <c r="AJ60" i="2"/>
  <c r="AJ61" i="2"/>
  <c r="AK61" i="2"/>
  <c r="AJ58" i="2"/>
  <c r="AK58" i="2"/>
  <c r="AJ57" i="2"/>
  <c r="AK57" i="2"/>
  <c r="AJ56" i="2"/>
  <c r="AK56" i="2"/>
  <c r="AJ59" i="2"/>
  <c r="AK59" i="2"/>
  <c r="AK55" i="2"/>
  <c r="AJ55" i="2"/>
  <c r="AK54" i="2"/>
  <c r="AJ54" i="2"/>
  <c r="AJ53" i="2"/>
  <c r="AK53" i="2"/>
  <c r="AJ52" i="2"/>
  <c r="AK52" i="2"/>
  <c r="AK48" i="2"/>
  <c r="AJ48" i="2"/>
  <c r="AK49" i="2"/>
  <c r="AJ49" i="2"/>
  <c r="AJ50" i="2"/>
  <c r="AK50" i="2"/>
  <c r="AJ51" i="2"/>
  <c r="AK51" i="2"/>
  <c r="DC38" i="3"/>
  <c r="DB38" i="3"/>
  <c r="DA38" i="3"/>
  <c r="CZ38" i="3"/>
  <c r="DC37" i="3"/>
  <c r="DB37" i="3"/>
  <c r="DA37" i="3"/>
  <c r="CZ37" i="3"/>
  <c r="S37" i="3"/>
  <c r="CC40" i="3" s="1"/>
  <c r="DC36" i="3"/>
  <c r="DB36" i="3"/>
  <c r="DA36" i="3"/>
  <c r="CZ36" i="3"/>
  <c r="DC35" i="3"/>
  <c r="DB35" i="3"/>
  <c r="DA35" i="3"/>
  <c r="CZ35" i="3"/>
  <c r="DC34" i="3"/>
  <c r="DB34" i="3"/>
  <c r="DA34" i="3"/>
  <c r="CZ34" i="3"/>
  <c r="DC33" i="3"/>
  <c r="DB33" i="3"/>
  <c r="DA33" i="3"/>
  <c r="CZ33" i="3"/>
  <c r="DC32" i="3"/>
  <c r="DB32" i="3"/>
  <c r="DA32" i="3"/>
  <c r="CZ32" i="3"/>
  <c r="DC31" i="3"/>
  <c r="DB31" i="3"/>
  <c r="DA31" i="3"/>
  <c r="CZ31" i="3"/>
  <c r="S31" i="3"/>
  <c r="CC34" i="3" s="1"/>
  <c r="CV34" i="3" s="1"/>
  <c r="DC30" i="3"/>
  <c r="DB30" i="3"/>
  <c r="DA30" i="3"/>
  <c r="CZ30" i="3"/>
  <c r="CC30" i="3"/>
  <c r="DC29" i="3"/>
  <c r="DB29" i="3"/>
  <c r="DA29" i="3"/>
  <c r="CZ29" i="3"/>
  <c r="DC28" i="3"/>
  <c r="DB28" i="3"/>
  <c r="DA28" i="3"/>
  <c r="CZ28" i="3"/>
  <c r="DC27" i="3"/>
  <c r="DB27" i="3"/>
  <c r="DA27" i="3"/>
  <c r="DD27" i="3" s="1"/>
  <c r="DE27" i="3" s="1"/>
  <c r="CZ27" i="3"/>
  <c r="DC26" i="3"/>
  <c r="DB26" i="3"/>
  <c r="DA26" i="3"/>
  <c r="CZ26" i="3"/>
  <c r="DC25" i="3"/>
  <c r="DB25" i="3"/>
  <c r="DA25" i="3"/>
  <c r="DD25" i="3" s="1"/>
  <c r="DE25" i="3" s="1"/>
  <c r="CZ25" i="3"/>
  <c r="S25" i="3"/>
  <c r="S26" i="3" s="1"/>
  <c r="DC24" i="3"/>
  <c r="DB24" i="3"/>
  <c r="DA24" i="3"/>
  <c r="CZ24" i="3"/>
  <c r="DC23" i="3"/>
  <c r="DB23" i="3"/>
  <c r="DA23" i="3"/>
  <c r="CZ23" i="3"/>
  <c r="DC22" i="3"/>
  <c r="DB22" i="3"/>
  <c r="DA22" i="3"/>
  <c r="CZ22" i="3"/>
  <c r="DC21" i="3"/>
  <c r="DB21" i="3"/>
  <c r="DA21" i="3"/>
  <c r="CZ21" i="3"/>
  <c r="DC20" i="3"/>
  <c r="DB20" i="3"/>
  <c r="DA20" i="3"/>
  <c r="DD20" i="3" s="1"/>
  <c r="DE20" i="3" s="1"/>
  <c r="CZ20" i="3"/>
  <c r="DC19" i="3"/>
  <c r="DB19" i="3"/>
  <c r="DA19" i="3"/>
  <c r="CZ19" i="3"/>
  <c r="DC18" i="3"/>
  <c r="DB18" i="3"/>
  <c r="DA18" i="3"/>
  <c r="CZ18" i="3"/>
  <c r="S18" i="3"/>
  <c r="S19" i="3" s="1"/>
  <c r="DC17" i="3"/>
  <c r="DB17" i="3"/>
  <c r="DA17" i="3"/>
  <c r="CZ17" i="3"/>
  <c r="DC16" i="3"/>
  <c r="DB16" i="3"/>
  <c r="DA16" i="3"/>
  <c r="CZ16" i="3"/>
  <c r="DC15" i="3"/>
  <c r="DB15" i="3"/>
  <c r="DA15" i="3"/>
  <c r="CZ15" i="3"/>
  <c r="DC14" i="3"/>
  <c r="DB14" i="3"/>
  <c r="DA14" i="3"/>
  <c r="CZ14" i="3"/>
  <c r="DC13" i="3"/>
  <c r="DB13" i="3"/>
  <c r="DA13" i="3"/>
  <c r="CZ13" i="3"/>
  <c r="DC12" i="3"/>
  <c r="DB12" i="3"/>
  <c r="DA12" i="3"/>
  <c r="CZ12" i="3"/>
  <c r="DC11" i="3"/>
  <c r="DB11" i="3"/>
  <c r="DA11" i="3"/>
  <c r="CZ11" i="3"/>
  <c r="S11" i="3"/>
  <c r="CC14" i="3" s="1"/>
  <c r="DC10" i="3"/>
  <c r="DB10" i="3"/>
  <c r="DA10" i="3"/>
  <c r="CZ10" i="3"/>
  <c r="DC9" i="3"/>
  <c r="DB9" i="3"/>
  <c r="DA9" i="3"/>
  <c r="CZ9" i="3"/>
  <c r="DC8" i="3"/>
  <c r="DB8" i="3"/>
  <c r="DA8" i="3"/>
  <c r="CZ8" i="3"/>
  <c r="DC7" i="3"/>
  <c r="DB7" i="3"/>
  <c r="DA7" i="3"/>
  <c r="CZ7" i="3"/>
  <c r="DC6" i="3"/>
  <c r="DB6" i="3"/>
  <c r="DA6" i="3"/>
  <c r="CZ6" i="3"/>
  <c r="DC5" i="3"/>
  <c r="DB5" i="3"/>
  <c r="DA5" i="3"/>
  <c r="CZ5" i="3"/>
  <c r="DC4" i="3"/>
  <c r="DB4" i="3"/>
  <c r="DA4" i="3"/>
  <c r="CZ4" i="3"/>
  <c r="S4" i="3"/>
  <c r="CC7" i="3" s="1"/>
  <c r="DC3" i="3"/>
  <c r="DB3" i="3"/>
  <c r="DA3" i="3"/>
  <c r="CZ3" i="3"/>
  <c r="BG1" i="3"/>
  <c r="A62" i="2"/>
  <c r="A61" i="2"/>
  <c r="A59" i="2"/>
  <c r="A55" i="2"/>
  <c r="A46" i="2"/>
  <c r="M45" i="2"/>
  <c r="M44" i="2"/>
  <c r="M43" i="2"/>
  <c r="M42" i="2"/>
  <c r="M41" i="2"/>
  <c r="M40" i="2"/>
  <c r="M39" i="2"/>
  <c r="M38" i="2"/>
  <c r="M37" i="2"/>
  <c r="M36" i="2"/>
  <c r="M35" i="2"/>
  <c r="M34" i="2"/>
  <c r="A34" i="2"/>
  <c r="AH33" i="2"/>
  <c r="B40" i="3" s="1"/>
  <c r="M33" i="2"/>
  <c r="AH32" i="2"/>
  <c r="B39" i="3" s="1"/>
  <c r="M32" i="2"/>
  <c r="AH31" i="2"/>
  <c r="B38" i="3" s="1"/>
  <c r="M31" i="2"/>
  <c r="AH30" i="2"/>
  <c r="B37" i="3" s="1"/>
  <c r="M30" i="2"/>
  <c r="AH29" i="2"/>
  <c r="B34" i="3" s="1"/>
  <c r="M29" i="2"/>
  <c r="AH28" i="2"/>
  <c r="B33" i="3" s="1"/>
  <c r="M28" i="2"/>
  <c r="AH27" i="2"/>
  <c r="B32" i="3" s="1"/>
  <c r="M27" i="2"/>
  <c r="AH26" i="2"/>
  <c r="B31" i="3" s="1"/>
  <c r="M26" i="2"/>
  <c r="AH25" i="2"/>
  <c r="B28" i="3" s="1"/>
  <c r="M25" i="2"/>
  <c r="AH24" i="2"/>
  <c r="B27" i="3" s="1"/>
  <c r="M24" i="2"/>
  <c r="AH23" i="2"/>
  <c r="B26" i="3" s="1"/>
  <c r="M23" i="2"/>
  <c r="AH22" i="2"/>
  <c r="B25" i="3" s="1"/>
  <c r="M22" i="2"/>
  <c r="A22" i="2"/>
  <c r="AH21" i="2"/>
  <c r="B21" i="3" s="1"/>
  <c r="M21" i="2"/>
  <c r="AH20" i="2"/>
  <c r="B20" i="3" s="1"/>
  <c r="M20" i="2"/>
  <c r="AH19" i="2"/>
  <c r="B19" i="3" s="1"/>
  <c r="M19" i="2"/>
  <c r="AH18" i="2"/>
  <c r="B18" i="3" s="1"/>
  <c r="M18" i="2"/>
  <c r="AH17" i="2"/>
  <c r="B14" i="3" s="1"/>
  <c r="M17" i="2"/>
  <c r="AH16" i="2"/>
  <c r="B13" i="3" s="1"/>
  <c r="M16" i="2"/>
  <c r="AH15" i="2"/>
  <c r="B12" i="3" s="1"/>
  <c r="M15" i="2"/>
  <c r="AH14" i="2"/>
  <c r="B11" i="3" s="1"/>
  <c r="M14" i="2"/>
  <c r="AH13" i="2"/>
  <c r="B7" i="3" s="1"/>
  <c r="M13" i="2"/>
  <c r="AH12" i="2"/>
  <c r="B6" i="3" s="1"/>
  <c r="M12" i="2"/>
  <c r="AH11" i="2"/>
  <c r="B5" i="3" s="1"/>
  <c r="M11" i="2"/>
  <c r="AH10" i="2"/>
  <c r="B4" i="3" s="1"/>
  <c r="DD17" i="3" l="1"/>
  <c r="DE17" i="3" s="1"/>
  <c r="DD10" i="3"/>
  <c r="DE10" i="3" s="1"/>
  <c r="DD26" i="3"/>
  <c r="DE26" i="3" s="1"/>
  <c r="DD30" i="3"/>
  <c r="DE30" i="3" s="1"/>
  <c r="DD32" i="3"/>
  <c r="DE32" i="3" s="1"/>
  <c r="DD34" i="3"/>
  <c r="DE34" i="3" s="1"/>
  <c r="DD15" i="3"/>
  <c r="DE15" i="3" s="1"/>
  <c r="DD16" i="3"/>
  <c r="DE16" i="3" s="1"/>
  <c r="DD14" i="3"/>
  <c r="DE14" i="3" s="1"/>
  <c r="DD4" i="3"/>
  <c r="DE4" i="3" s="1"/>
  <c r="DD36" i="3"/>
  <c r="DE36" i="3" s="1"/>
  <c r="DD37" i="3"/>
  <c r="DE37" i="3" s="1"/>
  <c r="DD19" i="3"/>
  <c r="DE19" i="3" s="1"/>
  <c r="DD13" i="3"/>
  <c r="DE13" i="3" s="1"/>
  <c r="DD38" i="3"/>
  <c r="DE38" i="3" s="1"/>
  <c r="DD3" i="3"/>
  <c r="DE3" i="3" s="1"/>
  <c r="DD11" i="3"/>
  <c r="DE11" i="3" s="1"/>
  <c r="DD12" i="3"/>
  <c r="DE12" i="3" s="1"/>
  <c r="DD28" i="3"/>
  <c r="DE28" i="3" s="1"/>
  <c r="DD29" i="3"/>
  <c r="DE29" i="3" s="1"/>
  <c r="DD35" i="3"/>
  <c r="DE35" i="3" s="1"/>
  <c r="DD5" i="3"/>
  <c r="DE5" i="3" s="1"/>
  <c r="DD6" i="3"/>
  <c r="DE6" i="3" s="1"/>
  <c r="DD7" i="3"/>
  <c r="DE7" i="3" s="1"/>
  <c r="DD8" i="3"/>
  <c r="DE8" i="3" s="1"/>
  <c r="DD9" i="3"/>
  <c r="DE9" i="3" s="1"/>
  <c r="DD18" i="3"/>
  <c r="DE18" i="3" s="1"/>
  <c r="DD21" i="3"/>
  <c r="DE21" i="3" s="1"/>
  <c r="DD22" i="3"/>
  <c r="DE22" i="3" s="1"/>
  <c r="DD23" i="3"/>
  <c r="DE23" i="3" s="1"/>
  <c r="DD24" i="3"/>
  <c r="DE24" i="3" s="1"/>
  <c r="DD31" i="3"/>
  <c r="DE31" i="3" s="1"/>
  <c r="DD33" i="3"/>
  <c r="DE33" i="3" s="1"/>
  <c r="A10" i="2"/>
  <c r="S5" i="3"/>
  <c r="G13" i="3"/>
  <c r="F13" i="3"/>
  <c r="CS7" i="3"/>
  <c r="CO7" i="3"/>
  <c r="CK7" i="3"/>
  <c r="CG7" i="3"/>
  <c r="CV7" i="3"/>
  <c r="CR7" i="3"/>
  <c r="CJ7" i="3"/>
  <c r="CN7" i="3" s="1"/>
  <c r="CU7" i="3"/>
  <c r="CQ7" i="3"/>
  <c r="CM7" i="3"/>
  <c r="CT7" i="3"/>
  <c r="CP7" i="3"/>
  <c r="CL7" i="3"/>
  <c r="CH7" i="3"/>
  <c r="G27" i="3"/>
  <c r="F27" i="3"/>
  <c r="G33" i="3"/>
  <c r="F33" i="3"/>
  <c r="G37" i="3"/>
  <c r="F37" i="3"/>
  <c r="G39" i="3"/>
  <c r="F39" i="3"/>
  <c r="CV40" i="3"/>
  <c r="CR40" i="3"/>
  <c r="CT40" i="3"/>
  <c r="CQ40" i="3"/>
  <c r="CM40" i="3"/>
  <c r="CP40" i="3"/>
  <c r="CL40" i="3"/>
  <c r="CH40" i="3"/>
  <c r="CU40" i="3"/>
  <c r="CO40" i="3"/>
  <c r="CK40" i="3"/>
  <c r="CG40" i="3"/>
  <c r="CS40" i="3"/>
  <c r="CJ40" i="3"/>
  <c r="CN40" i="3" s="1"/>
  <c r="G11" i="3"/>
  <c r="F11" i="3"/>
  <c r="G20" i="3"/>
  <c r="F20" i="3"/>
  <c r="G25" i="3"/>
  <c r="F25" i="3"/>
  <c r="G31" i="3"/>
  <c r="F31" i="3"/>
  <c r="B51" i="3"/>
  <c r="G5" i="3"/>
  <c r="F5" i="3"/>
  <c r="B53" i="3"/>
  <c r="G7" i="3"/>
  <c r="F7" i="3"/>
  <c r="G12" i="3"/>
  <c r="F12" i="3"/>
  <c r="G14" i="3"/>
  <c r="F14" i="3"/>
  <c r="F19" i="3"/>
  <c r="G19" i="3"/>
  <c r="G21" i="3"/>
  <c r="F21" i="3"/>
  <c r="CT34" i="3"/>
  <c r="CP34" i="3"/>
  <c r="CL34" i="3"/>
  <c r="CH34" i="3"/>
  <c r="CS34" i="3"/>
  <c r="CO34" i="3"/>
  <c r="CK34" i="3"/>
  <c r="CG34" i="3"/>
  <c r="CR34" i="3"/>
  <c r="CJ34" i="3"/>
  <c r="CN34" i="3" s="1"/>
  <c r="CU34" i="3"/>
  <c r="CQ34" i="3"/>
  <c r="CM34" i="3"/>
  <c r="B50" i="3"/>
  <c r="G4" i="3"/>
  <c r="F4" i="3"/>
  <c r="G26" i="3"/>
  <c r="F26" i="3"/>
  <c r="F28" i="3"/>
  <c r="G28" i="3"/>
  <c r="F32" i="3"/>
  <c r="G32" i="3"/>
  <c r="G34" i="3"/>
  <c r="F34" i="3"/>
  <c r="G38" i="3"/>
  <c r="F38" i="3"/>
  <c r="F40" i="3"/>
  <c r="G40" i="3"/>
  <c r="CV14" i="3"/>
  <c r="CR14" i="3"/>
  <c r="CJ14" i="3"/>
  <c r="CN14" i="3" s="1"/>
  <c r="CU14" i="3"/>
  <c r="CQ14" i="3"/>
  <c r="CM14" i="3"/>
  <c r="CT14" i="3"/>
  <c r="CP14" i="3"/>
  <c r="CL14" i="3"/>
  <c r="CH14" i="3"/>
  <c r="CS14" i="3"/>
  <c r="CO14" i="3"/>
  <c r="CK14" i="3"/>
  <c r="CG14" i="3"/>
  <c r="B52" i="3"/>
  <c r="G6" i="3"/>
  <c r="F6" i="3"/>
  <c r="G18" i="3"/>
  <c r="F18" i="3"/>
  <c r="S12" i="3"/>
  <c r="CC21" i="3"/>
  <c r="CC28" i="3"/>
  <c r="S38" i="3"/>
  <c r="S32" i="3"/>
  <c r="CE7" i="3" l="1"/>
  <c r="D20" i="3"/>
  <c r="CD14" i="3"/>
  <c r="D14" i="3"/>
  <c r="C7" i="3"/>
  <c r="D33" i="3"/>
  <c r="E28" i="3"/>
  <c r="C34" i="3"/>
  <c r="D37" i="3"/>
  <c r="CF7" i="3"/>
  <c r="E13" i="3"/>
  <c r="E39" i="3"/>
  <c r="E25" i="3"/>
  <c r="D5" i="3"/>
  <c r="E20" i="3"/>
  <c r="C32" i="3"/>
  <c r="E40" i="3"/>
  <c r="C4" i="3"/>
  <c r="D13" i="3"/>
  <c r="CD40" i="3"/>
  <c r="CE40" i="3"/>
  <c r="E37" i="3"/>
  <c r="E33" i="3"/>
  <c r="C27" i="3"/>
  <c r="CE14" i="3"/>
  <c r="CF14" i="3"/>
  <c r="C40" i="3"/>
  <c r="C38" i="3"/>
  <c r="C28" i="3"/>
  <c r="D26" i="3"/>
  <c r="C21" i="3"/>
  <c r="D19" i="3"/>
  <c r="E14" i="3"/>
  <c r="E12" i="3"/>
  <c r="D12" i="3"/>
  <c r="E5" i="3"/>
  <c r="C31" i="3"/>
  <c r="E11" i="3"/>
  <c r="D11" i="3"/>
  <c r="E6" i="3"/>
  <c r="D38" i="3"/>
  <c r="D34" i="3"/>
  <c r="D32" i="3"/>
  <c r="E26" i="3"/>
  <c r="D4" i="3"/>
  <c r="D21" i="3"/>
  <c r="E19" i="3"/>
  <c r="E7" i="3"/>
  <c r="D7" i="3"/>
  <c r="D31" i="3"/>
  <c r="C25" i="3"/>
  <c r="C20" i="3"/>
  <c r="CF40" i="3"/>
  <c r="C39" i="3"/>
  <c r="C33" i="3"/>
  <c r="D27" i="3"/>
  <c r="C13" i="3"/>
  <c r="E18" i="3"/>
  <c r="D18" i="3"/>
  <c r="D6" i="3"/>
  <c r="C18" i="3"/>
  <c r="C6" i="3"/>
  <c r="D40" i="3"/>
  <c r="E38" i="3"/>
  <c r="E34" i="3"/>
  <c r="E32" i="3"/>
  <c r="D28" i="3"/>
  <c r="C26" i="3"/>
  <c r="E4" i="3"/>
  <c r="E21" i="3"/>
  <c r="C19" i="3"/>
  <c r="C14" i="3"/>
  <c r="C12" i="3"/>
  <c r="C5" i="3"/>
  <c r="E31" i="3"/>
  <c r="D25" i="3"/>
  <c r="C11" i="3"/>
  <c r="D39" i="3"/>
  <c r="C37" i="3"/>
  <c r="E27" i="3"/>
  <c r="CD7" i="3"/>
  <c r="CI34" i="3"/>
  <c r="H31" i="3"/>
  <c r="H27" i="3"/>
  <c r="H20" i="3"/>
  <c r="H13" i="3"/>
  <c r="CI40" i="3"/>
  <c r="H33" i="3"/>
  <c r="H18" i="3"/>
  <c r="H6" i="3"/>
  <c r="H12" i="3"/>
  <c r="H37" i="3"/>
  <c r="H34" i="3"/>
  <c r="H38" i="3"/>
  <c r="CU28" i="3"/>
  <c r="CQ28" i="3"/>
  <c r="CM28" i="3"/>
  <c r="CE28" i="3"/>
  <c r="CT28" i="3"/>
  <c r="CP28" i="3"/>
  <c r="CL28" i="3"/>
  <c r="CH28" i="3"/>
  <c r="CD28" i="3"/>
  <c r="CV29" i="3"/>
  <c r="CS28" i="3"/>
  <c r="CO28" i="3"/>
  <c r="CK28" i="3"/>
  <c r="CG28" i="3"/>
  <c r="CV28" i="3"/>
  <c r="CR28" i="3"/>
  <c r="CJ28" i="3"/>
  <c r="CN28" i="3" s="1"/>
  <c r="CF28" i="3"/>
  <c r="H26" i="3"/>
  <c r="H7" i="3"/>
  <c r="H5" i="3"/>
  <c r="H11" i="3"/>
  <c r="H39" i="3"/>
  <c r="CV21" i="3"/>
  <c r="CR21" i="3"/>
  <c r="CJ21" i="3"/>
  <c r="CN21" i="3" s="1"/>
  <c r="CF21" i="3"/>
  <c r="CU21" i="3"/>
  <c r="CQ21" i="3"/>
  <c r="CM21" i="3"/>
  <c r="CE21" i="3"/>
  <c r="CT21" i="3"/>
  <c r="CP21" i="3"/>
  <c r="CL21" i="3"/>
  <c r="CH21" i="3"/>
  <c r="CD21" i="3"/>
  <c r="CS21" i="3"/>
  <c r="CO21" i="3"/>
  <c r="CK21" i="3"/>
  <c r="CG21" i="3"/>
  <c r="CI14" i="3"/>
  <c r="H32" i="3"/>
  <c r="H4" i="3"/>
  <c r="H21" i="3"/>
  <c r="H19" i="3"/>
  <c r="H14" i="3"/>
  <c r="H25" i="3"/>
  <c r="CI7" i="3"/>
  <c r="H40" i="3"/>
  <c r="H28" i="3"/>
  <c r="I27" i="3" l="1"/>
  <c r="I14" i="3"/>
  <c r="I20" i="3"/>
  <c r="I7" i="3"/>
  <c r="I28" i="3"/>
  <c r="I38" i="3"/>
  <c r="I32" i="3"/>
  <c r="I33" i="3"/>
  <c r="I31" i="3"/>
  <c r="I13" i="3"/>
  <c r="I5" i="3"/>
  <c r="I34" i="3"/>
  <c r="I40" i="3"/>
  <c r="I37" i="3"/>
  <c r="I4" i="3"/>
  <c r="I19" i="3"/>
  <c r="I6" i="3"/>
  <c r="I39" i="3"/>
  <c r="I21" i="3"/>
  <c r="I26" i="3"/>
  <c r="I11" i="3"/>
  <c r="I12" i="3"/>
  <c r="I25" i="3"/>
  <c r="I18" i="3"/>
  <c r="CI28" i="3"/>
  <c r="CI21" i="3"/>
  <c r="I73" i="3" l="1"/>
  <c r="K27" i="3"/>
  <c r="I72" i="3"/>
  <c r="I60" i="3"/>
  <c r="K32" i="3"/>
  <c r="I71" i="3"/>
  <c r="K34" i="3"/>
  <c r="I74" i="3"/>
  <c r="K33" i="3"/>
  <c r="K31" i="3"/>
  <c r="K20" i="3"/>
  <c r="K5" i="3"/>
  <c r="I58" i="3"/>
  <c r="I59" i="3"/>
  <c r="K19" i="3"/>
  <c r="I52" i="3"/>
  <c r="K40" i="3"/>
  <c r="I53" i="3"/>
  <c r="I77" i="3"/>
  <c r="I51" i="3"/>
  <c r="I80" i="3"/>
  <c r="K14" i="3"/>
  <c r="K7" i="3"/>
  <c r="I79" i="3"/>
  <c r="I46" i="3"/>
  <c r="K6" i="3"/>
  <c r="K38" i="3"/>
  <c r="K21" i="3"/>
  <c r="I45" i="3"/>
  <c r="K4" i="3"/>
  <c r="I47" i="3"/>
  <c r="I44" i="3"/>
  <c r="K28" i="3"/>
  <c r="K39" i="3"/>
  <c r="I61" i="3"/>
  <c r="K18" i="3"/>
  <c r="I78" i="3"/>
  <c r="K37" i="3"/>
  <c r="I65" i="3"/>
  <c r="K11" i="3"/>
  <c r="I66" i="3"/>
  <c r="K12" i="3"/>
  <c r="I67" i="3"/>
  <c r="K13" i="3"/>
  <c r="I68" i="3"/>
  <c r="K26" i="3"/>
  <c r="K25" i="3"/>
  <c r="I54" i="3"/>
  <c r="M32" i="3" l="1"/>
  <c r="M33" i="3"/>
  <c r="M34" i="3"/>
  <c r="M31" i="3"/>
  <c r="M6" i="3"/>
  <c r="M26" i="3"/>
  <c r="M19" i="3"/>
  <c r="M21" i="3"/>
  <c r="M20" i="3"/>
  <c r="M38" i="3"/>
  <c r="M18" i="3"/>
  <c r="M12" i="3"/>
  <c r="M39" i="3"/>
  <c r="M37" i="3"/>
  <c r="M4" i="3"/>
  <c r="M27" i="3"/>
  <c r="M40" i="3"/>
  <c r="M7" i="3"/>
  <c r="M5" i="3"/>
  <c r="M13" i="3" a="1"/>
  <c r="M13" i="3" s="1"/>
  <c r="M25" i="3"/>
  <c r="M14" i="3"/>
  <c r="M28" i="3"/>
  <c r="M11" i="3"/>
  <c r="N25" i="3" l="1"/>
  <c r="O25" i="3" s="1"/>
  <c r="N20" i="3"/>
  <c r="O20" i="3" s="1"/>
  <c r="N39" i="3"/>
  <c r="O39" i="3" s="1"/>
  <c r="N33" i="3"/>
  <c r="O33" i="3" s="1"/>
  <c r="N31" i="3"/>
  <c r="O31" i="3" s="1"/>
  <c r="N32" i="3"/>
  <c r="O32" i="3" s="1"/>
  <c r="N34" i="3"/>
  <c r="O34" i="3" s="1"/>
  <c r="N13" i="3"/>
  <c r="O13" i="3" s="1"/>
  <c r="N18" i="3"/>
  <c r="O18" i="3" s="1"/>
  <c r="N4" i="3"/>
  <c r="O4" i="3" s="1"/>
  <c r="N19" i="3"/>
  <c r="O19" i="3" s="1"/>
  <c r="N21" i="3"/>
  <c r="O21" i="3" s="1"/>
  <c r="N37" i="3"/>
  <c r="O37" i="3" s="1"/>
  <c r="N40" i="3"/>
  <c r="O40" i="3" s="1"/>
  <c r="R37" i="3" s="1"/>
  <c r="R38" i="3" s="1"/>
  <c r="N5" i="3"/>
  <c r="O5" i="3" s="1"/>
  <c r="N6" i="3"/>
  <c r="O6" i="3" s="1"/>
  <c r="N7" i="3"/>
  <c r="O7" i="3" s="1"/>
  <c r="N26" i="3"/>
  <c r="O26" i="3" s="1"/>
  <c r="N14" i="3"/>
  <c r="O14" i="3" s="1"/>
  <c r="N38" i="3"/>
  <c r="O38" i="3" s="1"/>
  <c r="N27" i="3"/>
  <c r="O27" i="3" s="1"/>
  <c r="N28" i="3"/>
  <c r="O28" i="3" s="1"/>
  <c r="N11" i="3"/>
  <c r="O11" i="3" s="1"/>
  <c r="N12" i="3"/>
  <c r="O12" i="3" s="1"/>
  <c r="P25" i="3" l="1"/>
  <c r="U25" i="3" s="1"/>
  <c r="AD25" i="3" s="1"/>
  <c r="Q25" i="3"/>
  <c r="Q26" i="3" s="1"/>
  <c r="Q27" i="3" s="1"/>
  <c r="R18" i="3"/>
  <c r="R19" i="3" s="1"/>
  <c r="R20" i="3" s="1"/>
  <c r="R4" i="3"/>
  <c r="BI6" i="3" s="1"/>
  <c r="BQ6" i="3" s="1"/>
  <c r="Q11" i="3"/>
  <c r="AO12" i="3" s="1"/>
  <c r="AW12" i="3" s="1"/>
  <c r="Q31" i="3"/>
  <c r="Q32" i="3" s="1"/>
  <c r="Q33" i="3" s="1"/>
  <c r="R11" i="3"/>
  <c r="R12" i="3" s="1"/>
  <c r="R13" i="3" s="1"/>
  <c r="R25" i="3"/>
  <c r="R26" i="3" s="1"/>
  <c r="BI28" i="3" s="1"/>
  <c r="R31" i="3"/>
  <c r="BI33" i="3" s="1"/>
  <c r="Q18" i="3"/>
  <c r="Q4" i="3"/>
  <c r="Q5" i="3" s="1"/>
  <c r="Q37" i="3"/>
  <c r="P31" i="3"/>
  <c r="P32" i="3" s="1"/>
  <c r="P33" i="3" s="1"/>
  <c r="P4" i="3"/>
  <c r="P5" i="3" s="1"/>
  <c r="U5" i="3" s="1"/>
  <c r="P18" i="3"/>
  <c r="P19" i="3" s="1"/>
  <c r="U19" i="3" s="1"/>
  <c r="BI39" i="3"/>
  <c r="P37" i="3"/>
  <c r="U37" i="3" s="1"/>
  <c r="P11" i="3"/>
  <c r="U11" i="3" s="1"/>
  <c r="AE11" i="3" s="1"/>
  <c r="BI40" i="3"/>
  <c r="R39" i="3"/>
  <c r="AC25" i="3" l="1"/>
  <c r="AE25" i="3"/>
  <c r="P26" i="3"/>
  <c r="U26" i="3" s="1"/>
  <c r="AC26" i="3" s="1"/>
  <c r="AO26" i="3"/>
  <c r="AY26" i="3" s="1"/>
  <c r="AO27" i="3"/>
  <c r="AY27" i="3" s="1"/>
  <c r="BI21" i="3"/>
  <c r="BQ21" i="3" s="1"/>
  <c r="AX12" i="3"/>
  <c r="R5" i="3"/>
  <c r="BI7" i="3" s="1"/>
  <c r="BM6" i="3" s="1"/>
  <c r="BR6" i="3"/>
  <c r="BI20" i="3"/>
  <c r="BS20" i="3" s="1"/>
  <c r="AY12" i="3"/>
  <c r="BS6" i="3"/>
  <c r="Q12" i="3"/>
  <c r="AO13" i="3" s="1"/>
  <c r="AY13" i="3" s="1"/>
  <c r="AO32" i="3"/>
  <c r="AX32" i="3" s="1"/>
  <c r="AO33" i="3"/>
  <c r="AW33" i="3" s="1"/>
  <c r="BI13" i="3"/>
  <c r="BR13" i="3" s="1"/>
  <c r="BI14" i="3"/>
  <c r="R27" i="3"/>
  <c r="BI27" i="3"/>
  <c r="BR27" i="3" s="1"/>
  <c r="R32" i="3"/>
  <c r="BI34" i="3" s="1"/>
  <c r="BM33" i="3" s="1"/>
  <c r="AO19" i="3"/>
  <c r="Q19" i="3"/>
  <c r="AO5" i="3"/>
  <c r="AW5" i="3" s="1"/>
  <c r="Q38" i="3"/>
  <c r="AO38" i="3"/>
  <c r="BR39" i="3"/>
  <c r="U31" i="3"/>
  <c r="AD31" i="3" s="1"/>
  <c r="AC11" i="3"/>
  <c r="U32" i="3"/>
  <c r="AC32" i="3" s="1"/>
  <c r="BS39" i="3"/>
  <c r="U4" i="3"/>
  <c r="AD4" i="3" s="1"/>
  <c r="BK39" i="3"/>
  <c r="P6" i="3"/>
  <c r="U6" i="3" s="1"/>
  <c r="P20" i="3"/>
  <c r="P21" i="3" s="1"/>
  <c r="U21" i="3" s="1"/>
  <c r="U18" i="3"/>
  <c r="AE18" i="3" s="1"/>
  <c r="AD11" i="3"/>
  <c r="P38" i="3"/>
  <c r="U38" i="3" s="1"/>
  <c r="AD38" i="3" s="1"/>
  <c r="AD37" i="3"/>
  <c r="AC37" i="3"/>
  <c r="AE37" i="3"/>
  <c r="BQ39" i="3"/>
  <c r="P12" i="3"/>
  <c r="BL39" i="3"/>
  <c r="BM39" i="3"/>
  <c r="BJ39" i="3"/>
  <c r="BN39" i="3"/>
  <c r="AC19" i="3"/>
  <c r="AE19" i="3"/>
  <c r="AD19" i="3"/>
  <c r="AD5" i="3"/>
  <c r="AC5" i="3"/>
  <c r="AE5" i="3"/>
  <c r="BS28" i="3"/>
  <c r="BR28" i="3"/>
  <c r="BQ28" i="3"/>
  <c r="AO6" i="3"/>
  <c r="Q6" i="3"/>
  <c r="U33" i="3"/>
  <c r="P34" i="3"/>
  <c r="U34" i="3" s="1"/>
  <c r="BQ33" i="3"/>
  <c r="BS33" i="3"/>
  <c r="BR33" i="3"/>
  <c r="AO34" i="3"/>
  <c r="Q34" i="3"/>
  <c r="BS40" i="3"/>
  <c r="BK40" i="3"/>
  <c r="BR40" i="3"/>
  <c r="BN40" i="3"/>
  <c r="BJ40" i="3"/>
  <c r="BQ40" i="3"/>
  <c r="BM40" i="3"/>
  <c r="BL40" i="3"/>
  <c r="AO28" i="3"/>
  <c r="Q28" i="3"/>
  <c r="AW27" i="3" l="1"/>
  <c r="AX27" i="3"/>
  <c r="AD26" i="3"/>
  <c r="AE26" i="3"/>
  <c r="AX26" i="3"/>
  <c r="AW26" i="3"/>
  <c r="AY33" i="3"/>
  <c r="BS7" i="3"/>
  <c r="BQ7" i="3"/>
  <c r="P27" i="3"/>
  <c r="P28" i="3" s="1"/>
  <c r="U28" i="3" s="1"/>
  <c r="AE28" i="3" s="1"/>
  <c r="BK7" i="3"/>
  <c r="BN6" i="3"/>
  <c r="BO6" i="3" s="1"/>
  <c r="BR20" i="3"/>
  <c r="BM21" i="3"/>
  <c r="BQ20" i="3"/>
  <c r="BJ20" i="3"/>
  <c r="BR21" i="3"/>
  <c r="BL21" i="3"/>
  <c r="BL20" i="3"/>
  <c r="BR7" i="3"/>
  <c r="BK21" i="3"/>
  <c r="BL7" i="3"/>
  <c r="BL6" i="3"/>
  <c r="BS21" i="3"/>
  <c r="BM7" i="3"/>
  <c r="BK6" i="3"/>
  <c r="BK20" i="3"/>
  <c r="AW13" i="3"/>
  <c r="AX13" i="3"/>
  <c r="BJ21" i="3"/>
  <c r="BJ7" i="3"/>
  <c r="BJ6" i="3"/>
  <c r="BN20" i="3"/>
  <c r="BN21" i="3"/>
  <c r="BN7" i="3"/>
  <c r="BM20" i="3"/>
  <c r="Q13" i="3"/>
  <c r="R6" i="3"/>
  <c r="BK14" i="3"/>
  <c r="BM14" i="3"/>
  <c r="AX33" i="3"/>
  <c r="BS14" i="3"/>
  <c r="BL14" i="3"/>
  <c r="BQ14" i="3"/>
  <c r="BJ14" i="3"/>
  <c r="BK13" i="3"/>
  <c r="BN14" i="3"/>
  <c r="BR14" i="3"/>
  <c r="AX5" i="3"/>
  <c r="BL28" i="3"/>
  <c r="AE32" i="3"/>
  <c r="BM28" i="3"/>
  <c r="AY32" i="3"/>
  <c r="BJ28" i="3"/>
  <c r="BN28" i="3"/>
  <c r="BN27" i="3"/>
  <c r="BK28" i="3"/>
  <c r="AW32" i="3"/>
  <c r="R33" i="3"/>
  <c r="BL27" i="3"/>
  <c r="BQ27" i="3"/>
  <c r="BK27" i="3"/>
  <c r="BS13" i="3"/>
  <c r="BQ13" i="3"/>
  <c r="BN13" i="3"/>
  <c r="AD32" i="3"/>
  <c r="BJ13" i="3"/>
  <c r="BS27" i="3"/>
  <c r="BJ27" i="3"/>
  <c r="BM27" i="3"/>
  <c r="BL13" i="3"/>
  <c r="BM13" i="3"/>
  <c r="AY5" i="3"/>
  <c r="BP39" i="3"/>
  <c r="BT39" i="3" s="1"/>
  <c r="BP40" i="3"/>
  <c r="BT40" i="3" s="1"/>
  <c r="Q20" i="3"/>
  <c r="AO20" i="3"/>
  <c r="AY19" i="3"/>
  <c r="AW19" i="3"/>
  <c r="AX19" i="3"/>
  <c r="U20" i="3"/>
  <c r="V19" i="3" s="1"/>
  <c r="AW38" i="3"/>
  <c r="AX38" i="3"/>
  <c r="AY38" i="3"/>
  <c r="AO39" i="3"/>
  <c r="Q39" i="3"/>
  <c r="AE31" i="3"/>
  <c r="AC31" i="3"/>
  <c r="P39" i="3"/>
  <c r="AC4" i="3"/>
  <c r="AE4" i="3"/>
  <c r="AD18" i="3"/>
  <c r="AE38" i="3"/>
  <c r="P7" i="3"/>
  <c r="U7" i="3" s="1"/>
  <c r="Z4" i="3" s="1"/>
  <c r="AC38" i="3"/>
  <c r="AC18" i="3"/>
  <c r="P13" i="3"/>
  <c r="U12" i="3"/>
  <c r="BP6" i="3"/>
  <c r="BT6" i="3" s="1"/>
  <c r="BO39" i="3"/>
  <c r="BO40" i="3"/>
  <c r="BK33" i="3"/>
  <c r="BJ33" i="3"/>
  <c r="BN33" i="3"/>
  <c r="BO33" i="3" s="1"/>
  <c r="BL33" i="3"/>
  <c r="AP27" i="3"/>
  <c r="V32" i="3"/>
  <c r="X32" i="3"/>
  <c r="Y32" i="3"/>
  <c r="Z32" i="3"/>
  <c r="W32" i="3"/>
  <c r="AS33" i="3"/>
  <c r="AC33" i="3"/>
  <c r="Y33" i="3"/>
  <c r="X33" i="3"/>
  <c r="AE33" i="3"/>
  <c r="W33" i="3"/>
  <c r="AD33" i="3"/>
  <c r="Z33" i="3"/>
  <c r="V33" i="3"/>
  <c r="Z31" i="3"/>
  <c r="X31" i="3"/>
  <c r="V31" i="3"/>
  <c r="W31" i="3"/>
  <c r="Y31" i="3"/>
  <c r="AT33" i="3"/>
  <c r="AQ33" i="3"/>
  <c r="AR33" i="3"/>
  <c r="AD20" i="3"/>
  <c r="AR27" i="3"/>
  <c r="AS27" i="3"/>
  <c r="AO7" i="3"/>
  <c r="AS6" i="3" s="1"/>
  <c r="Q7" i="3"/>
  <c r="AY28" i="3"/>
  <c r="AQ28" i="3"/>
  <c r="AX28" i="3"/>
  <c r="AT28" i="3"/>
  <c r="AP28" i="3"/>
  <c r="AW28" i="3"/>
  <c r="AS28" i="3"/>
  <c r="AR28" i="3"/>
  <c r="AR26" i="3"/>
  <c r="AP26" i="3"/>
  <c r="AS26" i="3"/>
  <c r="AQ26" i="3"/>
  <c r="AT26" i="3"/>
  <c r="AX34" i="3"/>
  <c r="AT34" i="3"/>
  <c r="AP34" i="3"/>
  <c r="AW34" i="3"/>
  <c r="AS34" i="3"/>
  <c r="AR34" i="3"/>
  <c r="AY34" i="3"/>
  <c r="AQ34" i="3"/>
  <c r="AV34" i="3" s="1"/>
  <c r="AS32" i="3"/>
  <c r="AR32" i="3"/>
  <c r="AQ32" i="3"/>
  <c r="AT32" i="3"/>
  <c r="AP32" i="3"/>
  <c r="BR34" i="3"/>
  <c r="BN34" i="3"/>
  <c r="BJ34" i="3"/>
  <c r="BQ34" i="3"/>
  <c r="BM34" i="3"/>
  <c r="BL34" i="3"/>
  <c r="BS34" i="3"/>
  <c r="BK34" i="3"/>
  <c r="AT27" i="3"/>
  <c r="AQ27" i="3"/>
  <c r="AW6" i="3"/>
  <c r="AY6" i="3"/>
  <c r="AX6" i="3"/>
  <c r="AC6" i="3"/>
  <c r="AE6" i="3"/>
  <c r="AD6" i="3"/>
  <c r="AE21" i="3"/>
  <c r="AD21" i="3"/>
  <c r="AC21" i="3"/>
  <c r="CD34" i="3"/>
  <c r="AD34" i="3"/>
  <c r="Z34" i="3"/>
  <c r="V34" i="3"/>
  <c r="AC34" i="3"/>
  <c r="Y34" i="3"/>
  <c r="CF34" i="3"/>
  <c r="X34" i="3"/>
  <c r="CE34" i="3"/>
  <c r="AE34" i="3"/>
  <c r="W34" i="3"/>
  <c r="AP33" i="3"/>
  <c r="AV33" i="3" l="1"/>
  <c r="V21" i="3"/>
  <c r="Y19" i="3"/>
  <c r="Y18" i="3"/>
  <c r="V20" i="3"/>
  <c r="Y21" i="3"/>
  <c r="Z20" i="3"/>
  <c r="X19" i="3"/>
  <c r="Z18" i="3"/>
  <c r="W19" i="3"/>
  <c r="AB19" i="3" s="1"/>
  <c r="AF19" i="3" s="1"/>
  <c r="X18" i="3"/>
  <c r="Z21" i="3"/>
  <c r="AA21" i="3" s="1"/>
  <c r="W21" i="3"/>
  <c r="Z19" i="3"/>
  <c r="AA19" i="3" s="1"/>
  <c r="W18" i="3"/>
  <c r="Y20" i="3"/>
  <c r="X21" i="3"/>
  <c r="AC20" i="3"/>
  <c r="BP7" i="3"/>
  <c r="BT7" i="3" s="1"/>
  <c r="AC28" i="3"/>
  <c r="AD28" i="3"/>
  <c r="U27" i="3"/>
  <c r="Z28" i="3" s="1"/>
  <c r="BP13" i="3"/>
  <c r="BT13" i="3" s="1"/>
  <c r="BO21" i="3"/>
  <c r="BP14" i="3"/>
  <c r="BT14" i="3" s="1"/>
  <c r="BP20" i="3"/>
  <c r="BT20" i="3" s="1"/>
  <c r="BP21" i="3"/>
  <c r="BT21" i="3" s="1"/>
  <c r="AZ34" i="3"/>
  <c r="BO7" i="3"/>
  <c r="BO20" i="3"/>
  <c r="BO14" i="3"/>
  <c r="Q14" i="3"/>
  <c r="AO14" i="3"/>
  <c r="BO28" i="3"/>
  <c r="BP28" i="3"/>
  <c r="BT28" i="3" s="1"/>
  <c r="BO27" i="3"/>
  <c r="V18" i="3"/>
  <c r="AB18" i="3" s="1"/>
  <c r="AF18" i="3" s="1"/>
  <c r="AE20" i="3"/>
  <c r="X20" i="3"/>
  <c r="W20" i="3"/>
  <c r="BP27" i="3"/>
  <c r="BT27" i="3" s="1"/>
  <c r="BO13" i="3"/>
  <c r="AZ33" i="3"/>
  <c r="AV32" i="3"/>
  <c r="BU39" i="3"/>
  <c r="BU40" i="3"/>
  <c r="BW40" i="3"/>
  <c r="BP33" i="3"/>
  <c r="BT33" i="3" s="1"/>
  <c r="AV26" i="3"/>
  <c r="AZ26" i="3" s="1"/>
  <c r="AV28" i="3"/>
  <c r="AZ28" i="3" s="1"/>
  <c r="BW39" i="3"/>
  <c r="AX20" i="3"/>
  <c r="AW20" i="3"/>
  <c r="AY20" i="3"/>
  <c r="Q21" i="3"/>
  <c r="AO21" i="3"/>
  <c r="BZ39" i="3"/>
  <c r="BX39" i="3"/>
  <c r="BX40" i="3"/>
  <c r="BV40" i="3"/>
  <c r="BV39" i="3"/>
  <c r="BZ40" i="3"/>
  <c r="BY39" i="3"/>
  <c r="BY40" i="3"/>
  <c r="AV27" i="3"/>
  <c r="Y7" i="3"/>
  <c r="X6" i="3"/>
  <c r="AC7" i="3"/>
  <c r="Y6" i="3"/>
  <c r="V7" i="3"/>
  <c r="Z7" i="3"/>
  <c r="V6" i="3"/>
  <c r="AD7" i="3"/>
  <c r="Y4" i="3"/>
  <c r="AA4" i="3" s="1"/>
  <c r="Z6" i="3"/>
  <c r="W7" i="3"/>
  <c r="AE7" i="3"/>
  <c r="W6" i="3"/>
  <c r="X7" i="3"/>
  <c r="W5" i="3"/>
  <c r="AO40" i="3"/>
  <c r="Q40" i="3"/>
  <c r="AY39" i="3"/>
  <c r="AX39" i="3"/>
  <c r="AW39" i="3"/>
  <c r="Z5" i="3"/>
  <c r="X5" i="3"/>
  <c r="X4" i="3"/>
  <c r="V5" i="3"/>
  <c r="V4" i="3"/>
  <c r="Y5" i="3"/>
  <c r="W4" i="3"/>
  <c r="P40" i="3"/>
  <c r="U40" i="3" s="1"/>
  <c r="U39" i="3"/>
  <c r="AE12" i="3"/>
  <c r="AD12" i="3"/>
  <c r="AC12" i="3"/>
  <c r="P14" i="3"/>
  <c r="U14" i="3" s="1"/>
  <c r="U13" i="3"/>
  <c r="BW6" i="3"/>
  <c r="BY6" i="3"/>
  <c r="BU6" i="3"/>
  <c r="BZ6" i="3"/>
  <c r="BV6" i="3"/>
  <c r="BX6" i="3"/>
  <c r="BV7" i="3"/>
  <c r="BX7" i="3"/>
  <c r="BZ7" i="3"/>
  <c r="BW7" i="3"/>
  <c r="BU7" i="3"/>
  <c r="AB34" i="3"/>
  <c r="AF34" i="3" s="1"/>
  <c r="AB33" i="3"/>
  <c r="AF33" i="3" s="1"/>
  <c r="AU33" i="3"/>
  <c r="AB21" i="3"/>
  <c r="AF21" i="3" s="1"/>
  <c r="AB31" i="3"/>
  <c r="AB32" i="3"/>
  <c r="AF32" i="3" s="1"/>
  <c r="AA31" i="3"/>
  <c r="AA32" i="3"/>
  <c r="AQ5" i="3"/>
  <c r="AR6" i="3"/>
  <c r="AP6" i="3"/>
  <c r="AT6" i="3"/>
  <c r="AU6" i="3" s="1"/>
  <c r="AR5" i="3"/>
  <c r="AP5" i="3"/>
  <c r="AS5" i="3"/>
  <c r="AQ6" i="3"/>
  <c r="BP34" i="3"/>
  <c r="BT34" i="3" s="1"/>
  <c r="BU34" i="3" s="1"/>
  <c r="BO34" i="3"/>
  <c r="AA34" i="3"/>
  <c r="AU34" i="3"/>
  <c r="AN74" i="3" s="1"/>
  <c r="AO74" i="3" s="1"/>
  <c r="AU28" i="3"/>
  <c r="AU32" i="3"/>
  <c r="AU26" i="3"/>
  <c r="AW7" i="3"/>
  <c r="AS7" i="3"/>
  <c r="AR7" i="3"/>
  <c r="AY7" i="3"/>
  <c r="AQ7" i="3"/>
  <c r="AX7" i="3"/>
  <c r="AT7" i="3"/>
  <c r="AP7" i="3"/>
  <c r="AT5" i="3"/>
  <c r="AU27" i="3"/>
  <c r="AA33" i="3"/>
  <c r="AA20" i="3" l="1"/>
  <c r="X26" i="3"/>
  <c r="AA18" i="3"/>
  <c r="AB20" i="3"/>
  <c r="AF20" i="3" s="1"/>
  <c r="Y25" i="3"/>
  <c r="X25" i="3"/>
  <c r="W28" i="3"/>
  <c r="Z25" i="3"/>
  <c r="AD27" i="3"/>
  <c r="V25" i="3"/>
  <c r="W25" i="3"/>
  <c r="BY7" i="3"/>
  <c r="V28" i="3"/>
  <c r="Y27" i="3"/>
  <c r="Y26" i="3"/>
  <c r="X28" i="3"/>
  <c r="X27" i="3"/>
  <c r="Y28" i="3"/>
  <c r="AA28" i="3" s="1"/>
  <c r="V26" i="3"/>
  <c r="V27" i="3"/>
  <c r="Z26" i="3"/>
  <c r="AC27" i="3"/>
  <c r="W26" i="3"/>
  <c r="AB26" i="3" s="1"/>
  <c r="AF26" i="3" s="1"/>
  <c r="Z27" i="3"/>
  <c r="AE27" i="3"/>
  <c r="W27" i="3"/>
  <c r="AB27" i="3" s="1"/>
  <c r="AF27" i="3" s="1"/>
  <c r="BY14" i="3"/>
  <c r="BU13" i="3"/>
  <c r="BU14" i="3"/>
  <c r="BZ27" i="3"/>
  <c r="BW14" i="3"/>
  <c r="BY27" i="3"/>
  <c r="BV13" i="3"/>
  <c r="BZ14" i="3"/>
  <c r="BY28" i="3"/>
  <c r="BX13" i="3"/>
  <c r="BY13" i="3"/>
  <c r="BW13" i="3"/>
  <c r="BV20" i="3"/>
  <c r="BZ13" i="3"/>
  <c r="BX14" i="3"/>
  <c r="BV14" i="3"/>
  <c r="BX20" i="3"/>
  <c r="BU21" i="3"/>
  <c r="BW20" i="3"/>
  <c r="BZ21" i="3"/>
  <c r="BX21" i="3"/>
  <c r="BY21" i="3"/>
  <c r="BZ20" i="3"/>
  <c r="BW21" i="3"/>
  <c r="BY20" i="3"/>
  <c r="BV21" i="3"/>
  <c r="BU20" i="3"/>
  <c r="AY74" i="3"/>
  <c r="AW74" i="3"/>
  <c r="AX74" i="3"/>
  <c r="AB28" i="3"/>
  <c r="AF28" i="3" s="1"/>
  <c r="AB25" i="3"/>
  <c r="AF25" i="3" s="1"/>
  <c r="AS13" i="3"/>
  <c r="AR12" i="3"/>
  <c r="AP13" i="3"/>
  <c r="AY14" i="3"/>
  <c r="AR13" i="3"/>
  <c r="AQ14" i="3"/>
  <c r="AW14" i="3"/>
  <c r="AT13" i="3"/>
  <c r="AS14" i="3"/>
  <c r="AQ13" i="3"/>
  <c r="AQ12" i="3"/>
  <c r="AX14" i="3"/>
  <c r="AT12" i="3"/>
  <c r="AR14" i="3"/>
  <c r="AP14" i="3"/>
  <c r="AS12" i="3"/>
  <c r="AT14" i="3"/>
  <c r="AP12" i="3"/>
  <c r="BU27" i="3"/>
  <c r="BZ28" i="3"/>
  <c r="BV28" i="3"/>
  <c r="BW27" i="3"/>
  <c r="BV27" i="3"/>
  <c r="BX27" i="3"/>
  <c r="BU28" i="3"/>
  <c r="BX28" i="3"/>
  <c r="BW28" i="3"/>
  <c r="AN73" i="3"/>
  <c r="AO73" i="3" s="1"/>
  <c r="AW73" i="3" s="1"/>
  <c r="AZ32" i="3"/>
  <c r="BD33" i="3" s="1"/>
  <c r="AN72" i="3"/>
  <c r="AO72" i="3" s="1"/>
  <c r="AR74" i="3" s="1"/>
  <c r="AA6" i="3"/>
  <c r="CA40" i="3"/>
  <c r="AN66" i="3"/>
  <c r="AO66" i="3" s="1"/>
  <c r="AY66" i="3" s="1"/>
  <c r="CA39" i="3"/>
  <c r="AN68" i="3"/>
  <c r="AO68" i="3" s="1"/>
  <c r="AW68" i="3" s="1"/>
  <c r="AT20" i="3"/>
  <c r="AQ20" i="3"/>
  <c r="AY21" i="3"/>
  <c r="AQ21" i="3"/>
  <c r="AW21" i="3"/>
  <c r="AT19" i="3"/>
  <c r="AS21" i="3"/>
  <c r="AS20" i="3"/>
  <c r="AS19" i="3"/>
  <c r="AP20" i="3"/>
  <c r="AV20" i="3" s="1"/>
  <c r="AR21" i="3"/>
  <c r="AP21" i="3"/>
  <c r="AP19" i="3"/>
  <c r="AQ19" i="3"/>
  <c r="AR20" i="3"/>
  <c r="AX21" i="3"/>
  <c r="AV21" i="3"/>
  <c r="AZ21" i="3" s="1"/>
  <c r="AT21" i="3"/>
  <c r="AR19" i="3"/>
  <c r="AZ27" i="3"/>
  <c r="BC26" i="3" s="1"/>
  <c r="AN67" i="3"/>
  <c r="AO67" i="3" s="1"/>
  <c r="BD28" i="3"/>
  <c r="AA7" i="3"/>
  <c r="AB6" i="3"/>
  <c r="AF6" i="3" s="1"/>
  <c r="AB7" i="3"/>
  <c r="AF7" i="3" s="1"/>
  <c r="AB5" i="3"/>
  <c r="AF5" i="3" s="1"/>
  <c r="AQ38" i="3"/>
  <c r="AR38" i="3"/>
  <c r="AP39" i="3"/>
  <c r="AP38" i="3"/>
  <c r="AX40" i="3"/>
  <c r="AT40" i="3"/>
  <c r="AR39" i="3"/>
  <c r="AT39" i="3"/>
  <c r="AS38" i="3"/>
  <c r="AP40" i="3"/>
  <c r="AR40" i="3"/>
  <c r="AS39" i="3"/>
  <c r="AY40" i="3"/>
  <c r="AQ39" i="3"/>
  <c r="AQ40" i="3"/>
  <c r="AW40" i="3"/>
  <c r="AS40" i="3"/>
  <c r="AT38" i="3"/>
  <c r="AA5" i="3"/>
  <c r="AB4" i="3"/>
  <c r="AF4" i="3" s="1"/>
  <c r="V37" i="3"/>
  <c r="AD39" i="3"/>
  <c r="X37" i="3"/>
  <c r="W37" i="3"/>
  <c r="W38" i="3"/>
  <c r="Z39" i="3"/>
  <c r="Y37" i="3"/>
  <c r="X38" i="3"/>
  <c r="V39" i="3"/>
  <c r="Z38" i="3"/>
  <c r="Y38" i="3"/>
  <c r="AC39" i="3"/>
  <c r="V38" i="3"/>
  <c r="AB38" i="3" s="1"/>
  <c r="AF38" i="3" s="1"/>
  <c r="Y39" i="3"/>
  <c r="AE39" i="3"/>
  <c r="W39" i="3"/>
  <c r="X39" i="3"/>
  <c r="Z37" i="3"/>
  <c r="Y40" i="3"/>
  <c r="X40" i="3"/>
  <c r="AC40" i="3"/>
  <c r="AE40" i="3"/>
  <c r="W40" i="3"/>
  <c r="AD40" i="3"/>
  <c r="Z40" i="3"/>
  <c r="V40" i="3"/>
  <c r="W12" i="3"/>
  <c r="W13" i="3"/>
  <c r="V12" i="3"/>
  <c r="AD13" i="3"/>
  <c r="V11" i="3"/>
  <c r="Z13" i="3"/>
  <c r="W11" i="3"/>
  <c r="Z12" i="3"/>
  <c r="Y11" i="3"/>
  <c r="V13" i="3"/>
  <c r="AB13" i="3" s="1"/>
  <c r="AF13" i="3" s="1"/>
  <c r="X11" i="3"/>
  <c r="AC13" i="3"/>
  <c r="Z11" i="3"/>
  <c r="Y13" i="3"/>
  <c r="AE13" i="3"/>
  <c r="X13" i="3"/>
  <c r="X12" i="3"/>
  <c r="Y12" i="3"/>
  <c r="Z14" i="3"/>
  <c r="V14" i="3"/>
  <c r="AD14" i="3"/>
  <c r="AC14" i="3"/>
  <c r="Y14" i="3"/>
  <c r="X14" i="3"/>
  <c r="AE14" i="3"/>
  <c r="W14" i="3"/>
  <c r="CA7" i="3"/>
  <c r="CA6" i="3"/>
  <c r="AI20" i="3"/>
  <c r="T58" i="3"/>
  <c r="U58" i="3" s="1"/>
  <c r="AD58" i="3" s="1"/>
  <c r="T74" i="3"/>
  <c r="U74" i="3" s="1"/>
  <c r="AH18" i="3"/>
  <c r="AI18" i="3"/>
  <c r="AK18" i="3"/>
  <c r="AJ18" i="3"/>
  <c r="AL18" i="3"/>
  <c r="AG18" i="3"/>
  <c r="AF31" i="3"/>
  <c r="AL33" i="3" s="1"/>
  <c r="T71" i="3"/>
  <c r="U71" i="3" s="1"/>
  <c r="T72" i="3"/>
  <c r="U72" i="3" s="1"/>
  <c r="T73" i="3"/>
  <c r="U73" i="3" s="1"/>
  <c r="T61" i="3"/>
  <c r="U61" i="3" s="1"/>
  <c r="AJ20" i="3"/>
  <c r="T60" i="3"/>
  <c r="U60" i="3" s="1"/>
  <c r="AJ21" i="3"/>
  <c r="AG21" i="3"/>
  <c r="AL21" i="3"/>
  <c r="AI21" i="3"/>
  <c r="AH21" i="3"/>
  <c r="AK21" i="3"/>
  <c r="AK20" i="3"/>
  <c r="AI19" i="3"/>
  <c r="AK19" i="3"/>
  <c r="AJ19" i="3"/>
  <c r="AL19" i="3"/>
  <c r="AG19" i="3"/>
  <c r="AH19" i="3"/>
  <c r="T59" i="3"/>
  <c r="U59" i="3" s="1"/>
  <c r="AL20" i="3"/>
  <c r="AH20" i="3"/>
  <c r="AG20" i="3"/>
  <c r="AU5" i="3"/>
  <c r="AV5" i="3"/>
  <c r="AZ5" i="3" s="1"/>
  <c r="BU33" i="3"/>
  <c r="AV6" i="3"/>
  <c r="AZ6" i="3" s="1"/>
  <c r="AV7" i="3"/>
  <c r="AZ7" i="3" s="1"/>
  <c r="BV34" i="3"/>
  <c r="BX33" i="3"/>
  <c r="BX34" i="3"/>
  <c r="BW33" i="3"/>
  <c r="BY34" i="3"/>
  <c r="BY33" i="3"/>
  <c r="BZ34" i="3"/>
  <c r="BZ33" i="3"/>
  <c r="BV33" i="3"/>
  <c r="BW34" i="3"/>
  <c r="AU7" i="3"/>
  <c r="AA25" i="3" l="1"/>
  <c r="AA26" i="3"/>
  <c r="AA27" i="3"/>
  <c r="CA13" i="3"/>
  <c r="CB14" i="3" s="1"/>
  <c r="CA20" i="3"/>
  <c r="CB21" i="3" s="1"/>
  <c r="CA14" i="3"/>
  <c r="CA21" i="3"/>
  <c r="BD26" i="3"/>
  <c r="AA13" i="3"/>
  <c r="BC34" i="3"/>
  <c r="BE34" i="3"/>
  <c r="BF34" i="3"/>
  <c r="BD34" i="3"/>
  <c r="AQ74" i="3"/>
  <c r="BB34" i="3"/>
  <c r="AP74" i="3"/>
  <c r="AV74" i="3" s="1"/>
  <c r="AZ74" i="3" s="1"/>
  <c r="BA34" i="3"/>
  <c r="AV12" i="3"/>
  <c r="AZ12" i="3" s="1"/>
  <c r="AV14" i="3"/>
  <c r="AZ14" i="3" s="1"/>
  <c r="AV13" i="3"/>
  <c r="AG5" i="3"/>
  <c r="T67" i="3"/>
  <c r="U67" i="3" s="1"/>
  <c r="AE67" i="3" s="1"/>
  <c r="T68" i="3"/>
  <c r="U68" i="3" s="1"/>
  <c r="AC68" i="3" s="1"/>
  <c r="AU13" i="3"/>
  <c r="AU12" i="3"/>
  <c r="AG6" i="3"/>
  <c r="AU14" i="3"/>
  <c r="CA27" i="3"/>
  <c r="CA28" i="3"/>
  <c r="BF33" i="3"/>
  <c r="BB33" i="3"/>
  <c r="BE33" i="3"/>
  <c r="BC33" i="3"/>
  <c r="AQ73" i="3"/>
  <c r="AS73" i="3"/>
  <c r="AX73" i="3"/>
  <c r="BA33" i="3"/>
  <c r="AT73" i="3"/>
  <c r="AP73" i="3"/>
  <c r="AR73" i="3"/>
  <c r="AY73" i="3"/>
  <c r="AX72" i="3"/>
  <c r="AY72" i="3"/>
  <c r="AW72" i="3"/>
  <c r="AS72" i="3"/>
  <c r="AS74" i="3"/>
  <c r="AT74" i="3"/>
  <c r="AR72" i="3"/>
  <c r="AQ72" i="3"/>
  <c r="AT72" i="3"/>
  <c r="AP72" i="3"/>
  <c r="BB32" i="3"/>
  <c r="BD32" i="3"/>
  <c r="BA32" i="3"/>
  <c r="BF32" i="3"/>
  <c r="BE32" i="3"/>
  <c r="BC32" i="3"/>
  <c r="CB39" i="3"/>
  <c r="CB40" i="3"/>
  <c r="AX66" i="3"/>
  <c r="AU19" i="3"/>
  <c r="AW66" i="3"/>
  <c r="CB13" i="3"/>
  <c r="AH26" i="3"/>
  <c r="AT66" i="3"/>
  <c r="AY68" i="3"/>
  <c r="AS66" i="3"/>
  <c r="AG4" i="3"/>
  <c r="T66" i="3"/>
  <c r="U66" i="3" s="1"/>
  <c r="AC66" i="3" s="1"/>
  <c r="AG7" i="3"/>
  <c r="AI26" i="3"/>
  <c r="AR68" i="3"/>
  <c r="AL4" i="3"/>
  <c r="T65" i="3"/>
  <c r="U65" i="3" s="1"/>
  <c r="AL7" i="3"/>
  <c r="AX68" i="3"/>
  <c r="T45" i="3"/>
  <c r="U45" i="3" s="1"/>
  <c r="AE45" i="3" s="1"/>
  <c r="AJ6" i="3"/>
  <c r="AU20" i="3"/>
  <c r="AS68" i="3"/>
  <c r="AV19" i="3"/>
  <c r="AZ19" i="3" s="1"/>
  <c r="AU21" i="3"/>
  <c r="AN61" i="3" s="1"/>
  <c r="AO61" i="3" s="1"/>
  <c r="AI6" i="3"/>
  <c r="AH5" i="3"/>
  <c r="AK5" i="3"/>
  <c r="AH7" i="3"/>
  <c r="T46" i="3"/>
  <c r="U46" i="3" s="1"/>
  <c r="AD46" i="3" s="1"/>
  <c r="AZ20" i="3"/>
  <c r="AJ5" i="3"/>
  <c r="AI4" i="3"/>
  <c r="AH4" i="3"/>
  <c r="AI7" i="3"/>
  <c r="AL6" i="3"/>
  <c r="AL5" i="3"/>
  <c r="T47" i="3"/>
  <c r="U47" i="3" s="1"/>
  <c r="AE47" i="3" s="1"/>
  <c r="AJ4" i="3"/>
  <c r="AJ7" i="3"/>
  <c r="T44" i="3"/>
  <c r="U44" i="3" s="1"/>
  <c r="AC44" i="3" s="1"/>
  <c r="AH6" i="3"/>
  <c r="AI5" i="3"/>
  <c r="AK6" i="3"/>
  <c r="AK4" i="3"/>
  <c r="AK7" i="3"/>
  <c r="BF28" i="3"/>
  <c r="BB26" i="3"/>
  <c r="AP66" i="3"/>
  <c r="BA28" i="3"/>
  <c r="BE26" i="3"/>
  <c r="AQ66" i="3"/>
  <c r="BE28" i="3"/>
  <c r="BF26" i="3"/>
  <c r="BC28" i="3"/>
  <c r="AY67" i="3"/>
  <c r="AX67" i="3"/>
  <c r="AW67" i="3"/>
  <c r="AR67" i="3"/>
  <c r="AS67" i="3"/>
  <c r="AT67" i="3"/>
  <c r="AQ67" i="3"/>
  <c r="AP68" i="3"/>
  <c r="BE27" i="3"/>
  <c r="BC27" i="3"/>
  <c r="BD27" i="3"/>
  <c r="BF27" i="3"/>
  <c r="BB27" i="3"/>
  <c r="BA27" i="3"/>
  <c r="AQ68" i="3"/>
  <c r="AT68" i="3"/>
  <c r="BB28" i="3"/>
  <c r="BA26" i="3"/>
  <c r="AR66" i="3"/>
  <c r="AP67" i="3"/>
  <c r="AU40" i="3"/>
  <c r="AA38" i="3"/>
  <c r="AU39" i="3"/>
  <c r="AV38" i="3"/>
  <c r="AZ38" i="3" s="1"/>
  <c r="AV40" i="3"/>
  <c r="AZ40" i="3" s="1"/>
  <c r="AU38" i="3"/>
  <c r="AV39" i="3"/>
  <c r="AB40" i="3"/>
  <c r="AF40" i="3" s="1"/>
  <c r="AA39" i="3"/>
  <c r="AB39" i="3"/>
  <c r="AF39" i="3" s="1"/>
  <c r="AB37" i="3"/>
  <c r="AF37" i="3" s="1"/>
  <c r="AA37" i="3"/>
  <c r="AB14" i="3"/>
  <c r="AF14" i="3" s="1"/>
  <c r="AA40" i="3"/>
  <c r="AJ34" i="3"/>
  <c r="AA11" i="3"/>
  <c r="AI27" i="3"/>
  <c r="AB12" i="3"/>
  <c r="AF12" i="3" s="1"/>
  <c r="AA12" i="3"/>
  <c r="AA14" i="3"/>
  <c r="AB11" i="3"/>
  <c r="AG27" i="3"/>
  <c r="CB6" i="3"/>
  <c r="CB7" i="3"/>
  <c r="AL27" i="3"/>
  <c r="AG26" i="3"/>
  <c r="AL26" i="3"/>
  <c r="AJ27" i="3"/>
  <c r="AI28" i="3"/>
  <c r="AC58" i="3"/>
  <c r="AL32" i="3"/>
  <c r="AI32" i="3"/>
  <c r="W58" i="3"/>
  <c r="AG32" i="3"/>
  <c r="AI34" i="3"/>
  <c r="AC67" i="3"/>
  <c r="AD67" i="3"/>
  <c r="AE58" i="3"/>
  <c r="AE60" i="3"/>
  <c r="AD60" i="3"/>
  <c r="AC60" i="3"/>
  <c r="X60" i="3"/>
  <c r="W60" i="3"/>
  <c r="Z60" i="3"/>
  <c r="Y60" i="3"/>
  <c r="V60" i="3"/>
  <c r="AC71" i="3"/>
  <c r="AD71" i="3"/>
  <c r="AE71" i="3"/>
  <c r="V71" i="3"/>
  <c r="Y71" i="3"/>
  <c r="X71" i="3"/>
  <c r="W71" i="3"/>
  <c r="Z71" i="3"/>
  <c r="V74" i="3"/>
  <c r="Y74" i="3"/>
  <c r="AE74" i="3"/>
  <c r="AD74" i="3"/>
  <c r="X74" i="3"/>
  <c r="W74" i="3"/>
  <c r="Z74" i="3"/>
  <c r="AC74" i="3"/>
  <c r="Z58" i="3"/>
  <c r="T57" i="3"/>
  <c r="AK33" i="3"/>
  <c r="AD59" i="3"/>
  <c r="AE59" i="3"/>
  <c r="AC59" i="3"/>
  <c r="V59" i="3"/>
  <c r="W59" i="3"/>
  <c r="X59" i="3"/>
  <c r="Z59" i="3"/>
  <c r="Y59" i="3"/>
  <c r="Y58" i="3"/>
  <c r="AK31" i="3"/>
  <c r="AJ31" i="3"/>
  <c r="AL31" i="3"/>
  <c r="AG31" i="3"/>
  <c r="AH31" i="3"/>
  <c r="AI31" i="3"/>
  <c r="AG34" i="3"/>
  <c r="AG33" i="3"/>
  <c r="AH25" i="3"/>
  <c r="AI25" i="3"/>
  <c r="AK25" i="3"/>
  <c r="AJ25" i="3"/>
  <c r="AL25" i="3"/>
  <c r="AG25" i="3"/>
  <c r="AG28" i="3"/>
  <c r="AK27" i="3"/>
  <c r="AH34" i="3"/>
  <c r="AL28" i="3"/>
  <c r="AJ32" i="3"/>
  <c r="AH28" i="3"/>
  <c r="AE61" i="3"/>
  <c r="AD61" i="3"/>
  <c r="X61" i="3"/>
  <c r="W61" i="3"/>
  <c r="Z61" i="3"/>
  <c r="AC61" i="3"/>
  <c r="V61" i="3"/>
  <c r="Y61" i="3"/>
  <c r="AJ26" i="3"/>
  <c r="AE73" i="3"/>
  <c r="AC73" i="3"/>
  <c r="W73" i="3"/>
  <c r="V73" i="3"/>
  <c r="Y73" i="3"/>
  <c r="X73" i="3"/>
  <c r="AD73" i="3"/>
  <c r="Z73" i="3"/>
  <c r="AK28" i="3"/>
  <c r="V58" i="3"/>
  <c r="AL34" i="3"/>
  <c r="AH33" i="3"/>
  <c r="AH27" i="3"/>
  <c r="AH32" i="3"/>
  <c r="AK32" i="3"/>
  <c r="AK34" i="3"/>
  <c r="AK26" i="3"/>
  <c r="AD72" i="3"/>
  <c r="AE72" i="3"/>
  <c r="AC72" i="3"/>
  <c r="W72" i="3"/>
  <c r="Y72" i="3"/>
  <c r="X72" i="3"/>
  <c r="V72" i="3"/>
  <c r="Z72" i="3"/>
  <c r="AE66" i="3"/>
  <c r="AJ28" i="3"/>
  <c r="X58" i="3"/>
  <c r="AJ33" i="3"/>
  <c r="AI33" i="3"/>
  <c r="AN45" i="3"/>
  <c r="AO45" i="3" s="1"/>
  <c r="CA34" i="3"/>
  <c r="CA33" i="3"/>
  <c r="BC6" i="3"/>
  <c r="AN47" i="3"/>
  <c r="AO47" i="3" s="1"/>
  <c r="BF6" i="3"/>
  <c r="BA7" i="3"/>
  <c r="BD7" i="3"/>
  <c r="BC7" i="3"/>
  <c r="BB7" i="3"/>
  <c r="BE7" i="3"/>
  <c r="BF7" i="3"/>
  <c r="BF5" i="3"/>
  <c r="BB5" i="3"/>
  <c r="BE5" i="3"/>
  <c r="BA5" i="3"/>
  <c r="BD5" i="3"/>
  <c r="BC5" i="3"/>
  <c r="BA6" i="3"/>
  <c r="BD6" i="3"/>
  <c r="BB6" i="3"/>
  <c r="AN46" i="3"/>
  <c r="AO46" i="3" s="1"/>
  <c r="BE6" i="3"/>
  <c r="AE68" i="3" l="1"/>
  <c r="AD68" i="3"/>
  <c r="CB20" i="3"/>
  <c r="CB28" i="3"/>
  <c r="AV67" i="3"/>
  <c r="AZ67" i="3" s="1"/>
  <c r="AZ13" i="3"/>
  <c r="BC14" i="3" s="1"/>
  <c r="AN53" i="3"/>
  <c r="AO53" i="3" s="1"/>
  <c r="AN52" i="3"/>
  <c r="AO52" i="3" s="1"/>
  <c r="AN54" i="3"/>
  <c r="AO54" i="3" s="1"/>
  <c r="AD45" i="3"/>
  <c r="Z68" i="3"/>
  <c r="AC45" i="3"/>
  <c r="V66" i="3"/>
  <c r="AD66" i="3"/>
  <c r="W66" i="3"/>
  <c r="AG39" i="3"/>
  <c r="Y66" i="3"/>
  <c r="V68" i="3"/>
  <c r="W68" i="3"/>
  <c r="V65" i="3"/>
  <c r="Y67" i="3"/>
  <c r="X68" i="3"/>
  <c r="V67" i="3"/>
  <c r="Z66" i="3"/>
  <c r="X66" i="3"/>
  <c r="X67" i="3"/>
  <c r="CB27" i="3"/>
  <c r="X65" i="3"/>
  <c r="AN70" i="3"/>
  <c r="AU73" i="3"/>
  <c r="Y65" i="3"/>
  <c r="W65" i="3"/>
  <c r="Y68" i="3"/>
  <c r="Z67" i="3"/>
  <c r="AE65" i="3"/>
  <c r="AE44" i="3"/>
  <c r="AD65" i="3"/>
  <c r="AD44" i="3"/>
  <c r="AC65" i="3"/>
  <c r="Z65" i="3"/>
  <c r="W67" i="3"/>
  <c r="V47" i="3"/>
  <c r="Z44" i="3"/>
  <c r="X47" i="3"/>
  <c r="T43" i="3"/>
  <c r="AV73" i="3"/>
  <c r="AZ73" i="3" s="1"/>
  <c r="AV72" i="3"/>
  <c r="AZ72" i="3" s="1"/>
  <c r="BA74" i="3" s="1"/>
  <c r="AU74" i="3"/>
  <c r="BD74" i="3" s="1"/>
  <c r="AU72" i="3"/>
  <c r="Y46" i="3"/>
  <c r="X44" i="3"/>
  <c r="Y45" i="3"/>
  <c r="AC46" i="3"/>
  <c r="AD47" i="3"/>
  <c r="Z45" i="3"/>
  <c r="X45" i="3"/>
  <c r="Y44" i="3"/>
  <c r="W45" i="3"/>
  <c r="Y47" i="3"/>
  <c r="W44" i="3"/>
  <c r="V45" i="3"/>
  <c r="Z46" i="3"/>
  <c r="V44" i="3"/>
  <c r="X46" i="3"/>
  <c r="Z47" i="3"/>
  <c r="W46" i="3"/>
  <c r="AU66" i="3"/>
  <c r="AE46" i="3"/>
  <c r="AC47" i="3"/>
  <c r="V46" i="3"/>
  <c r="AN64" i="3"/>
  <c r="AU67" i="3"/>
  <c r="AN60" i="3"/>
  <c r="AO60" i="3" s="1"/>
  <c r="AY60" i="3" s="1"/>
  <c r="T64" i="3"/>
  <c r="AU68" i="3"/>
  <c r="W47" i="3"/>
  <c r="AN59" i="3"/>
  <c r="AO59" i="3" s="1"/>
  <c r="AX59" i="3" s="1"/>
  <c r="BE20" i="3"/>
  <c r="BC20" i="3"/>
  <c r="BD20" i="3"/>
  <c r="BA20" i="3"/>
  <c r="BF20" i="3"/>
  <c r="BB20" i="3"/>
  <c r="BF21" i="3"/>
  <c r="BD21" i="3"/>
  <c r="BE21" i="3"/>
  <c r="BD19" i="3"/>
  <c r="BC19" i="3"/>
  <c r="BA19" i="3"/>
  <c r="BB19" i="3"/>
  <c r="BE19" i="3"/>
  <c r="BF19" i="3"/>
  <c r="BA21" i="3"/>
  <c r="AY61" i="3"/>
  <c r="AW61" i="3"/>
  <c r="AX61" i="3"/>
  <c r="BC21" i="3"/>
  <c r="BB21" i="3"/>
  <c r="AV66" i="3"/>
  <c r="AZ66" i="3" s="1"/>
  <c r="AV68" i="3"/>
  <c r="AZ68" i="3" s="1"/>
  <c r="AG37" i="3"/>
  <c r="AN78" i="3"/>
  <c r="AO78" i="3" s="1"/>
  <c r="AZ39" i="3"/>
  <c r="BD38" i="3" s="1"/>
  <c r="AN79" i="3"/>
  <c r="AO79" i="3" s="1"/>
  <c r="AN80" i="3"/>
  <c r="AO80" i="3" s="1"/>
  <c r="BB40" i="3"/>
  <c r="BE40" i="3"/>
  <c r="BA40" i="3"/>
  <c r="AG40" i="3"/>
  <c r="AK37" i="3"/>
  <c r="AG38" i="3"/>
  <c r="AH37" i="3"/>
  <c r="AK39" i="3"/>
  <c r="AL39" i="3"/>
  <c r="AI37" i="3"/>
  <c r="AI38" i="3"/>
  <c r="AI39" i="3"/>
  <c r="AL37" i="3"/>
  <c r="AH40" i="3"/>
  <c r="AJ37" i="3"/>
  <c r="AJ40" i="3"/>
  <c r="AH38" i="3"/>
  <c r="AK38" i="3"/>
  <c r="AL40" i="3"/>
  <c r="AK40" i="3"/>
  <c r="AJ38" i="3"/>
  <c r="T80" i="3"/>
  <c r="U80" i="3" s="1"/>
  <c r="AH39" i="3"/>
  <c r="AJ39" i="3"/>
  <c r="AL38" i="3"/>
  <c r="T77" i="3"/>
  <c r="U77" i="3" s="1"/>
  <c r="T78" i="3"/>
  <c r="U78" i="3" s="1"/>
  <c r="AI40" i="3"/>
  <c r="T79" i="3"/>
  <c r="U79" i="3" s="1"/>
  <c r="AB58" i="3"/>
  <c r="AF58" i="3" s="1"/>
  <c r="AB68" i="3"/>
  <c r="AF68" i="3" s="1"/>
  <c r="AB59" i="3"/>
  <c r="AF59" i="3" s="1"/>
  <c r="T51" i="3"/>
  <c r="U51" i="3" s="1"/>
  <c r="T53" i="3"/>
  <c r="U53" i="3" s="1"/>
  <c r="AF11" i="3"/>
  <c r="AH14" i="3" s="1"/>
  <c r="T52" i="3"/>
  <c r="U52" i="3" s="1"/>
  <c r="T54" i="3"/>
  <c r="U54" i="3" s="1"/>
  <c r="AB60" i="3"/>
  <c r="AF60" i="3" s="1"/>
  <c r="AB72" i="3"/>
  <c r="AF72" i="3" s="1"/>
  <c r="AB71" i="3"/>
  <c r="AF71" i="3" s="1"/>
  <c r="AA58" i="3"/>
  <c r="CB33" i="3"/>
  <c r="T70" i="3"/>
  <c r="AA61" i="3"/>
  <c r="AA59" i="3"/>
  <c r="AB61" i="3"/>
  <c r="AF61" i="3" s="1"/>
  <c r="AA71" i="3"/>
  <c r="AA73" i="3"/>
  <c r="AB73" i="3"/>
  <c r="AF73" i="3" s="1"/>
  <c r="AA74" i="3"/>
  <c r="AB74" i="3"/>
  <c r="AF74" i="3" s="1"/>
  <c r="AA60" i="3"/>
  <c r="AA72" i="3"/>
  <c r="AY45" i="3"/>
  <c r="AX45" i="3"/>
  <c r="AW45" i="3"/>
  <c r="CB34" i="3"/>
  <c r="AN43" i="3"/>
  <c r="AW46" i="3"/>
  <c r="AS46" i="3"/>
  <c r="AR46" i="3"/>
  <c r="AY46" i="3"/>
  <c r="AQ46" i="3"/>
  <c r="AX46" i="3"/>
  <c r="AT46" i="3"/>
  <c r="AP46" i="3"/>
  <c r="AS45" i="3"/>
  <c r="AP45" i="3"/>
  <c r="AR47" i="3"/>
  <c r="AY47" i="3"/>
  <c r="AQ47" i="3"/>
  <c r="AX47" i="3"/>
  <c r="AT47" i="3"/>
  <c r="AP47" i="3"/>
  <c r="AW47" i="3"/>
  <c r="AS47" i="3"/>
  <c r="AQ45" i="3"/>
  <c r="AR45" i="3"/>
  <c r="AT45" i="3"/>
  <c r="AB46" i="3" l="1"/>
  <c r="AF46" i="3" s="1"/>
  <c r="AA46" i="3"/>
  <c r="AA68" i="3"/>
  <c r="AR61" i="3"/>
  <c r="AQ61" i="3"/>
  <c r="AV61" i="3" s="1"/>
  <c r="AZ61" i="3" s="1"/>
  <c r="AP61" i="3"/>
  <c r="BC74" i="3"/>
  <c r="BF74" i="3"/>
  <c r="BE74" i="3"/>
  <c r="BB74" i="3"/>
  <c r="BG74" i="3" s="1"/>
  <c r="BG34" i="3" s="1"/>
  <c r="AB66" i="3"/>
  <c r="AF66" i="3" s="1"/>
  <c r="AA67" i="3"/>
  <c r="BD14" i="3"/>
  <c r="AB65" i="3"/>
  <c r="AF65" i="3" s="1"/>
  <c r="BB14" i="3"/>
  <c r="BA14" i="3"/>
  <c r="AA65" i="3"/>
  <c r="BF14" i="3"/>
  <c r="BC12" i="3"/>
  <c r="BD12" i="3"/>
  <c r="BE14" i="3"/>
  <c r="BB12" i="3"/>
  <c r="AW52" i="3"/>
  <c r="AT52" i="3"/>
  <c r="AR52" i="3"/>
  <c r="AP52" i="3"/>
  <c r="AQ52" i="3"/>
  <c r="AS52" i="3"/>
  <c r="AX52" i="3"/>
  <c r="AY52" i="3"/>
  <c r="AT53" i="3"/>
  <c r="AQ53" i="3"/>
  <c r="AP53" i="3"/>
  <c r="AW53" i="3"/>
  <c r="AY53" i="3"/>
  <c r="AX53" i="3"/>
  <c r="AS53" i="3"/>
  <c r="AR53" i="3"/>
  <c r="BA12" i="3"/>
  <c r="BD13" i="3"/>
  <c r="BA13" i="3"/>
  <c r="BF13" i="3"/>
  <c r="BB13" i="3"/>
  <c r="BC13" i="3"/>
  <c r="BE13" i="3"/>
  <c r="BE12" i="3"/>
  <c r="AW54" i="3"/>
  <c r="AP54" i="3"/>
  <c r="AT54" i="3"/>
  <c r="AQ54" i="3"/>
  <c r="AX54" i="3"/>
  <c r="AS54" i="3"/>
  <c r="AR54" i="3"/>
  <c r="AY54" i="3"/>
  <c r="BF12" i="3"/>
  <c r="AA66" i="3"/>
  <c r="AB45" i="3"/>
  <c r="AF45" i="3" s="1"/>
  <c r="AG44" i="3" s="1"/>
  <c r="AB44" i="3"/>
  <c r="AF44" i="3" s="1"/>
  <c r="AB47" i="3"/>
  <c r="AF47" i="3" s="1"/>
  <c r="AB67" i="3"/>
  <c r="AF67" i="3" s="1"/>
  <c r="AA44" i="3"/>
  <c r="BA73" i="3"/>
  <c r="BE73" i="3"/>
  <c r="BC38" i="3"/>
  <c r="BA38" i="3"/>
  <c r="BA72" i="3"/>
  <c r="AA47" i="3"/>
  <c r="BB73" i="3"/>
  <c r="BC73" i="3"/>
  <c r="BF72" i="3"/>
  <c r="BC72" i="3"/>
  <c r="BE72" i="3"/>
  <c r="BD72" i="3"/>
  <c r="BF73" i="3"/>
  <c r="BB72" i="3"/>
  <c r="BD73" i="3"/>
  <c r="AA45" i="3"/>
  <c r="AT61" i="3"/>
  <c r="AX60" i="3"/>
  <c r="AS61" i="3"/>
  <c r="AR59" i="3"/>
  <c r="AT59" i="3"/>
  <c r="AW59" i="3"/>
  <c r="AP59" i="3"/>
  <c r="AY59" i="3"/>
  <c r="AP60" i="3"/>
  <c r="AS60" i="3"/>
  <c r="AW60" i="3"/>
  <c r="AN57" i="3"/>
  <c r="AS59" i="3"/>
  <c r="AQ60" i="3"/>
  <c r="AT60" i="3"/>
  <c r="AQ59" i="3"/>
  <c r="AR60" i="3"/>
  <c r="BF68" i="3"/>
  <c r="BB68" i="3"/>
  <c r="BE68" i="3"/>
  <c r="BD68" i="3"/>
  <c r="BC68" i="3"/>
  <c r="BA68" i="3"/>
  <c r="BA66" i="3"/>
  <c r="BB66" i="3"/>
  <c r="BC66" i="3"/>
  <c r="BF66" i="3"/>
  <c r="BE66" i="3"/>
  <c r="BD66" i="3"/>
  <c r="BB67" i="3"/>
  <c r="BF67" i="3"/>
  <c r="BD67" i="3"/>
  <c r="BA67" i="3"/>
  <c r="BC67" i="3"/>
  <c r="BE67" i="3"/>
  <c r="BE38" i="3"/>
  <c r="BC40" i="3"/>
  <c r="AS78" i="3"/>
  <c r="AQ78" i="3"/>
  <c r="AR78" i="3"/>
  <c r="BF40" i="3"/>
  <c r="BB38" i="3"/>
  <c r="BD40" i="3"/>
  <c r="BF38" i="3"/>
  <c r="AW78" i="3"/>
  <c r="AX78" i="3"/>
  <c r="AY78" i="3"/>
  <c r="AP79" i="3"/>
  <c r="AY80" i="3"/>
  <c r="AW80" i="3"/>
  <c r="AQ80" i="3"/>
  <c r="AS80" i="3"/>
  <c r="AX80" i="3"/>
  <c r="AT80" i="3"/>
  <c r="AR80" i="3"/>
  <c r="AP80" i="3"/>
  <c r="AV80" i="3" s="1"/>
  <c r="AZ80" i="3" s="1"/>
  <c r="AP78" i="3"/>
  <c r="AW79" i="3"/>
  <c r="AX79" i="3"/>
  <c r="AY79" i="3"/>
  <c r="AS79" i="3"/>
  <c r="AR79" i="3"/>
  <c r="AT79" i="3"/>
  <c r="AQ79" i="3"/>
  <c r="AT78" i="3"/>
  <c r="BF39" i="3"/>
  <c r="BA39" i="3"/>
  <c r="BC39" i="3"/>
  <c r="BE39" i="3"/>
  <c r="BB39" i="3"/>
  <c r="BD39" i="3"/>
  <c r="AV45" i="3"/>
  <c r="AZ45" i="3" s="1"/>
  <c r="AD80" i="3"/>
  <c r="AE80" i="3"/>
  <c r="AC80" i="3"/>
  <c r="T76" i="3"/>
  <c r="AE79" i="3"/>
  <c r="AD79" i="3"/>
  <c r="X79" i="3"/>
  <c r="W79" i="3"/>
  <c r="Z79" i="3"/>
  <c r="AC79" i="3"/>
  <c r="V79" i="3"/>
  <c r="Y79" i="3"/>
  <c r="W78" i="3"/>
  <c r="X78" i="3"/>
  <c r="AD78" i="3"/>
  <c r="Y78" i="3"/>
  <c r="AE78" i="3"/>
  <c r="AC78" i="3"/>
  <c r="Z78" i="3"/>
  <c r="V78" i="3"/>
  <c r="X80" i="3"/>
  <c r="AC77" i="3"/>
  <c r="W80" i="3"/>
  <c r="W77" i="3"/>
  <c r="V80" i="3"/>
  <c r="Z77" i="3"/>
  <c r="Y80" i="3"/>
  <c r="Y77" i="3"/>
  <c r="V77" i="3"/>
  <c r="Z80" i="3"/>
  <c r="AD77" i="3"/>
  <c r="AE77" i="3"/>
  <c r="X77" i="3"/>
  <c r="AK14" i="3"/>
  <c r="AJ14" i="3"/>
  <c r="AI14" i="3"/>
  <c r="AD54" i="3"/>
  <c r="V54" i="3"/>
  <c r="AE54" i="3"/>
  <c r="Y54" i="3"/>
  <c r="X54" i="3"/>
  <c r="Z54" i="3"/>
  <c r="AC54" i="3"/>
  <c r="W54" i="3"/>
  <c r="AE52" i="3"/>
  <c r="Y52" i="3"/>
  <c r="AD52" i="3"/>
  <c r="V52" i="3"/>
  <c r="AC52" i="3"/>
  <c r="Z52" i="3"/>
  <c r="X52" i="3"/>
  <c r="W52" i="3"/>
  <c r="AL13" i="3"/>
  <c r="AH11" i="3"/>
  <c r="AG12" i="3"/>
  <c r="AJ11" i="3"/>
  <c r="AI11" i="3"/>
  <c r="AG11" i="3"/>
  <c r="AL11" i="3"/>
  <c r="AK12" i="3"/>
  <c r="AG13" i="3"/>
  <c r="AH13" i="3"/>
  <c r="AK11" i="3"/>
  <c r="AJ13" i="3"/>
  <c r="AK13" i="3"/>
  <c r="AJ12" i="3"/>
  <c r="AI13" i="3"/>
  <c r="AG14" i="3"/>
  <c r="AL12" i="3"/>
  <c r="AI12" i="3"/>
  <c r="AH12" i="3"/>
  <c r="AL14" i="3"/>
  <c r="AG60" i="3"/>
  <c r="AE53" i="3"/>
  <c r="Y53" i="3"/>
  <c r="X53" i="3"/>
  <c r="AC53" i="3"/>
  <c r="W53" i="3"/>
  <c r="AD53" i="3"/>
  <c r="V53" i="3"/>
  <c r="Z53" i="3"/>
  <c r="AC51" i="3"/>
  <c r="W51" i="3"/>
  <c r="Y51" i="3"/>
  <c r="X51" i="3"/>
  <c r="AE51" i="3"/>
  <c r="Z51" i="3"/>
  <c r="AD51" i="3"/>
  <c r="V51" i="3"/>
  <c r="AG58" i="3"/>
  <c r="AG61" i="3"/>
  <c r="AI58" i="3"/>
  <c r="AG65" i="3"/>
  <c r="AI60" i="3"/>
  <c r="AG67" i="3"/>
  <c r="AH61" i="3"/>
  <c r="AG74" i="3"/>
  <c r="AG59" i="3"/>
  <c r="AG68" i="3"/>
  <c r="AK59" i="3"/>
  <c r="AH72" i="3"/>
  <c r="AK61" i="3"/>
  <c r="AL67" i="3"/>
  <c r="AL58" i="3"/>
  <c r="AG71" i="3"/>
  <c r="AH58" i="3"/>
  <c r="AH59" i="3"/>
  <c r="AG66" i="3"/>
  <c r="AG46" i="3"/>
  <c r="AJ58" i="3"/>
  <c r="AL60" i="3"/>
  <c r="AK58" i="3"/>
  <c r="AG47" i="3"/>
  <c r="AG73" i="3"/>
  <c r="AG45" i="3"/>
  <c r="AH47" i="3"/>
  <c r="AK60" i="3"/>
  <c r="AJ61" i="3"/>
  <c r="AJ60" i="3"/>
  <c r="AK66" i="3"/>
  <c r="AG72" i="3"/>
  <c r="AL59" i="3"/>
  <c r="AL66" i="3"/>
  <c r="AI66" i="3"/>
  <c r="AI65" i="3"/>
  <c r="AJ65" i="3"/>
  <c r="AJ68" i="3"/>
  <c r="AI67" i="3"/>
  <c r="AH60" i="3"/>
  <c r="AK74" i="3"/>
  <c r="AK73" i="3"/>
  <c r="AJ72" i="3"/>
  <c r="AL74" i="3"/>
  <c r="AI73" i="3"/>
  <c r="AH45" i="3"/>
  <c r="AJ67" i="3"/>
  <c r="AK46" i="3"/>
  <c r="AL71" i="3"/>
  <c r="AH74" i="3"/>
  <c r="AL73" i="3"/>
  <c r="AK71" i="3"/>
  <c r="AJ74" i="3"/>
  <c r="AI61" i="3"/>
  <c r="AI59" i="3"/>
  <c r="AH66" i="3"/>
  <c r="AL68" i="3"/>
  <c r="AK65" i="3"/>
  <c r="AH67" i="3"/>
  <c r="AK72" i="3"/>
  <c r="AH71" i="3"/>
  <c r="AJ71" i="3"/>
  <c r="AH73" i="3"/>
  <c r="AI71" i="3"/>
  <c r="AH46" i="3"/>
  <c r="AJ59" i="3"/>
  <c r="AL61" i="3"/>
  <c r="AL65" i="3"/>
  <c r="AH65" i="3"/>
  <c r="AJ73" i="3"/>
  <c r="AI72" i="3"/>
  <c r="AL72" i="3"/>
  <c r="AI74" i="3"/>
  <c r="AV47" i="3"/>
  <c r="AZ47" i="3" s="1"/>
  <c r="AV46" i="3"/>
  <c r="AZ46" i="3" s="1"/>
  <c r="AU47" i="3"/>
  <c r="AU46" i="3"/>
  <c r="AU45" i="3"/>
  <c r="AH68" i="3" l="1"/>
  <c r="AK68" i="3"/>
  <c r="AJ46" i="3"/>
  <c r="AI68" i="3"/>
  <c r="AK67" i="3"/>
  <c r="AK44" i="3"/>
  <c r="AK45" i="3"/>
  <c r="AJ66" i="3"/>
  <c r="AM66" i="3" s="1"/>
  <c r="AM26" i="3" s="1"/>
  <c r="AU59" i="3"/>
  <c r="AN50" i="3"/>
  <c r="AV78" i="3"/>
  <c r="AZ78" i="3" s="1"/>
  <c r="AV54" i="3"/>
  <c r="AZ54" i="3" s="1"/>
  <c r="AU53" i="3"/>
  <c r="AV52" i="3"/>
  <c r="AZ52" i="3" s="1"/>
  <c r="AU54" i="3"/>
  <c r="AV53" i="3"/>
  <c r="AZ53" i="3" s="1"/>
  <c r="AU52" i="3"/>
  <c r="AH44" i="3"/>
  <c r="AL47" i="3"/>
  <c r="AI46" i="3"/>
  <c r="AK47" i="3"/>
  <c r="AJ44" i="3"/>
  <c r="AJ47" i="3"/>
  <c r="AI44" i="3"/>
  <c r="AM44" i="3" s="1"/>
  <c r="AM4" i="3" s="1"/>
  <c r="AL45" i="3"/>
  <c r="AL44" i="3"/>
  <c r="AL46" i="3"/>
  <c r="AJ45" i="3"/>
  <c r="AI47" i="3"/>
  <c r="AI45" i="3"/>
  <c r="AU60" i="3"/>
  <c r="BG73" i="3"/>
  <c r="BG33" i="3" s="1"/>
  <c r="BG72" i="3"/>
  <c r="BG32" i="3" s="1"/>
  <c r="AA77" i="3"/>
  <c r="AU61" i="3"/>
  <c r="AV60" i="3"/>
  <c r="AZ60" i="3" s="1"/>
  <c r="BB61" i="3" s="1"/>
  <c r="T50" i="3"/>
  <c r="AV59" i="3"/>
  <c r="AZ59" i="3" s="1"/>
  <c r="BG67" i="3"/>
  <c r="BG27" i="3" s="1"/>
  <c r="BG66" i="3"/>
  <c r="BG26" i="3" s="1"/>
  <c r="BG68" i="3"/>
  <c r="BG28" i="3" s="1"/>
  <c r="AU78" i="3"/>
  <c r="AN76" i="3"/>
  <c r="AU79" i="3"/>
  <c r="AU80" i="3"/>
  <c r="BA45" i="3"/>
  <c r="AV79" i="3"/>
  <c r="AZ79" i="3" s="1"/>
  <c r="BF45" i="3"/>
  <c r="AB78" i="3"/>
  <c r="AF78" i="3" s="1"/>
  <c r="BC45" i="3"/>
  <c r="BD45" i="3"/>
  <c r="BE45" i="3"/>
  <c r="BB45" i="3"/>
  <c r="AA80" i="3"/>
  <c r="AA78" i="3"/>
  <c r="AB79" i="3"/>
  <c r="AF79" i="3" s="1"/>
  <c r="AA79" i="3"/>
  <c r="AB80" i="3"/>
  <c r="AF80" i="3" s="1"/>
  <c r="AA52" i="3"/>
  <c r="AB77" i="3"/>
  <c r="AF77" i="3" s="1"/>
  <c r="AB53" i="3"/>
  <c r="AF53" i="3" s="1"/>
  <c r="AA53" i="3"/>
  <c r="AA51" i="3"/>
  <c r="AB51" i="3"/>
  <c r="AF51" i="3" s="1"/>
  <c r="AA54" i="3"/>
  <c r="AB52" i="3"/>
  <c r="AF52" i="3" s="1"/>
  <c r="AB54" i="3"/>
  <c r="AF54" i="3" s="1"/>
  <c r="AM74" i="3"/>
  <c r="AM34" i="3" s="1"/>
  <c r="AM58" i="3"/>
  <c r="AM18" i="3" s="1"/>
  <c r="AM61" i="3"/>
  <c r="AM21" i="3" s="1"/>
  <c r="AM60" i="3"/>
  <c r="AM20" i="3" s="1"/>
  <c r="AM47" i="3"/>
  <c r="AM7" i="3" s="1"/>
  <c r="AM59" i="3"/>
  <c r="AM19" i="3" s="1"/>
  <c r="AM65" i="3"/>
  <c r="AM25" i="3" s="1"/>
  <c r="AM71" i="3"/>
  <c r="AM31" i="3" s="1"/>
  <c r="AM67" i="3"/>
  <c r="AM27" i="3" s="1"/>
  <c r="AM72" i="3"/>
  <c r="AM32" i="3" s="1"/>
  <c r="AM73" i="3"/>
  <c r="AM33" i="3" s="1"/>
  <c r="BA47" i="3"/>
  <c r="BA46" i="3"/>
  <c r="BE46" i="3"/>
  <c r="BD47" i="3"/>
  <c r="BB46" i="3"/>
  <c r="BF46" i="3"/>
  <c r="BE47" i="3"/>
  <c r="BC46" i="3"/>
  <c r="BB47" i="3"/>
  <c r="BD46" i="3"/>
  <c r="BF47" i="3"/>
  <c r="BC47" i="3"/>
  <c r="AM46" i="3" l="1"/>
  <c r="AM6" i="3" s="1"/>
  <c r="AM68" i="3"/>
  <c r="AM28" i="3" s="1"/>
  <c r="AM45" i="3"/>
  <c r="AM5" i="3" s="1"/>
  <c r="BA78" i="3"/>
  <c r="BE61" i="3"/>
  <c r="BF61" i="3"/>
  <c r="BC61" i="3"/>
  <c r="BD61" i="3"/>
  <c r="BA61" i="3"/>
  <c r="BH32" i="3"/>
  <c r="BH34" i="3"/>
  <c r="BA54" i="3"/>
  <c r="BF54" i="3"/>
  <c r="BA52" i="3"/>
  <c r="BD54" i="3"/>
  <c r="BB52" i="3"/>
  <c r="BD52" i="3"/>
  <c r="BC54" i="3"/>
  <c r="BA53" i="3"/>
  <c r="BE53" i="3"/>
  <c r="BF53" i="3"/>
  <c r="BB53" i="3"/>
  <c r="BD53" i="3"/>
  <c r="BC53" i="3"/>
  <c r="BB54" i="3"/>
  <c r="BF52" i="3"/>
  <c r="BE52" i="3"/>
  <c r="BC52" i="3"/>
  <c r="BE54" i="3"/>
  <c r="AN34" i="3"/>
  <c r="AN28" i="3"/>
  <c r="AN21" i="3"/>
  <c r="BA80" i="3"/>
  <c r="BE80" i="3"/>
  <c r="BH33" i="3"/>
  <c r="BE59" i="3"/>
  <c r="BF60" i="3"/>
  <c r="BF59" i="3"/>
  <c r="BC59" i="3"/>
  <c r="BC60" i="3"/>
  <c r="BB59" i="3"/>
  <c r="BD59" i="3"/>
  <c r="BB60" i="3"/>
  <c r="BA59" i="3"/>
  <c r="BE60" i="3"/>
  <c r="BD60" i="3"/>
  <c r="BA60" i="3"/>
  <c r="BH26" i="3"/>
  <c r="BH27" i="3"/>
  <c r="BH28" i="3"/>
  <c r="BB78" i="3"/>
  <c r="BE79" i="3"/>
  <c r="BD79" i="3"/>
  <c r="BA79" i="3"/>
  <c r="BE78" i="3"/>
  <c r="BD80" i="3"/>
  <c r="BC80" i="3"/>
  <c r="BB79" i="3"/>
  <c r="BB80" i="3"/>
  <c r="BC78" i="3"/>
  <c r="BF79" i="3"/>
  <c r="BF80" i="3"/>
  <c r="BD78" i="3"/>
  <c r="BC79" i="3"/>
  <c r="BF78" i="3"/>
  <c r="BG45" i="3"/>
  <c r="BG5" i="3" s="1"/>
  <c r="AH79" i="3"/>
  <c r="AI80" i="3"/>
  <c r="AG80" i="3"/>
  <c r="AL80" i="3"/>
  <c r="AK80" i="3"/>
  <c r="AL78" i="3"/>
  <c r="AH80" i="3"/>
  <c r="AJ77" i="3"/>
  <c r="AL79" i="3"/>
  <c r="AK78" i="3"/>
  <c r="AH78" i="3"/>
  <c r="AJ79" i="3"/>
  <c r="AJ78" i="3"/>
  <c r="AL77" i="3"/>
  <c r="AH77" i="3"/>
  <c r="AI78" i="3"/>
  <c r="AI77" i="3"/>
  <c r="AK77" i="3"/>
  <c r="AI79" i="3"/>
  <c r="AJ80" i="3"/>
  <c r="AK79" i="3"/>
  <c r="AG77" i="3"/>
  <c r="AG79" i="3"/>
  <c r="AG78" i="3"/>
  <c r="AK54" i="3"/>
  <c r="AL51" i="3"/>
  <c r="AG51" i="3"/>
  <c r="AN26" i="3"/>
  <c r="AJ53" i="3"/>
  <c r="AG52" i="3"/>
  <c r="AL52" i="3"/>
  <c r="AJ52" i="3"/>
  <c r="AG53" i="3"/>
  <c r="AJ51" i="3"/>
  <c r="AK53" i="3"/>
  <c r="AG54" i="3"/>
  <c r="AL54" i="3"/>
  <c r="AK52" i="3"/>
  <c r="AI51" i="3"/>
  <c r="AL53" i="3"/>
  <c r="AH54" i="3"/>
  <c r="AH51" i="3"/>
  <c r="AI54" i="3"/>
  <c r="AI53" i="3"/>
  <c r="AI52" i="3"/>
  <c r="AH53" i="3"/>
  <c r="AJ54" i="3"/>
  <c r="AH52" i="3"/>
  <c r="AK51" i="3"/>
  <c r="AN19" i="3"/>
  <c r="AN4" i="3"/>
  <c r="CW4" i="3" s="1"/>
  <c r="AN5" i="3"/>
  <c r="AN27" i="3"/>
  <c r="AN18" i="3"/>
  <c r="CW18" i="3" s="1"/>
  <c r="AN20" i="3"/>
  <c r="AN33" i="3"/>
  <c r="AN25" i="3"/>
  <c r="CW25" i="3" s="1"/>
  <c r="AN6" i="3"/>
  <c r="AN7" i="3"/>
  <c r="AN31" i="3"/>
  <c r="CW31" i="3" s="1"/>
  <c r="AN32" i="3"/>
  <c r="BG46" i="3"/>
  <c r="BG6" i="3" s="1"/>
  <c r="BG47" i="3"/>
  <c r="BG7" i="3" s="1"/>
  <c r="CW34" i="3" l="1"/>
  <c r="BG61" i="3"/>
  <c r="BG21" i="3" s="1"/>
  <c r="CW32" i="3"/>
  <c r="BG54" i="3"/>
  <c r="BG14" i="3" s="1"/>
  <c r="BG52" i="3"/>
  <c r="BG12" i="3" s="1"/>
  <c r="BG53" i="3"/>
  <c r="BG13" i="3" s="1"/>
  <c r="CW28" i="3"/>
  <c r="A31" i="3"/>
  <c r="BG79" i="3"/>
  <c r="BG39" i="3" s="1"/>
  <c r="BG80" i="3"/>
  <c r="BG40" i="3" s="1"/>
  <c r="CW33" i="3"/>
  <c r="BG59" i="3"/>
  <c r="BG19" i="3" s="1"/>
  <c r="BG60" i="3"/>
  <c r="BG20" i="3" s="1"/>
  <c r="CW27" i="3"/>
  <c r="CW26" i="3"/>
  <c r="BG78" i="3"/>
  <c r="BG38" i="3" s="1"/>
  <c r="BH7" i="3"/>
  <c r="CW7" i="3" s="1"/>
  <c r="BH5" i="3"/>
  <c r="CW5" i="3" s="1"/>
  <c r="AM78" i="3"/>
  <c r="AM38" i="3" s="1"/>
  <c r="AM79" i="3"/>
  <c r="AM39" i="3" s="1"/>
  <c r="AM77" i="3"/>
  <c r="AM37" i="3" s="1"/>
  <c r="AM80" i="3"/>
  <c r="AM40" i="3" s="1"/>
  <c r="AM51" i="3"/>
  <c r="AM11" i="3" s="1"/>
  <c r="AM52" i="3"/>
  <c r="AM12" i="3" s="1"/>
  <c r="AM53" i="3"/>
  <c r="AM13" i="3" s="1"/>
  <c r="AM54" i="3"/>
  <c r="AM14" i="3" s="1"/>
  <c r="BH6" i="3"/>
  <c r="CW6" i="3" s="1"/>
  <c r="A33" i="3" l="1"/>
  <c r="BH20" i="3"/>
  <c r="CW20" i="3" s="1"/>
  <c r="BH21" i="3"/>
  <c r="CW21" i="3" s="1"/>
  <c r="BH13" i="3"/>
  <c r="BH12" i="3"/>
  <c r="BH14" i="3"/>
  <c r="AN14" i="3"/>
  <c r="A32" i="3"/>
  <c r="BH38" i="3"/>
  <c r="A34" i="3"/>
  <c r="BH19" i="3"/>
  <c r="CW19" i="3" s="1"/>
  <c r="A27" i="3"/>
  <c r="A25" i="3"/>
  <c r="A28" i="3"/>
  <c r="A26" i="3"/>
  <c r="BH40" i="3"/>
  <c r="BH39" i="3"/>
  <c r="A4" i="3"/>
  <c r="A5" i="3"/>
  <c r="AN40" i="3"/>
  <c r="AN39" i="3"/>
  <c r="AN37" i="3"/>
  <c r="CW37" i="3" s="1"/>
  <c r="AN38" i="3"/>
  <c r="AN13" i="3"/>
  <c r="AN12" i="3"/>
  <c r="AN11" i="3"/>
  <c r="CW11" i="3" s="1"/>
  <c r="A6" i="3"/>
  <c r="A7" i="3"/>
  <c r="CW13" i="3" l="1"/>
  <c r="CW14" i="3"/>
  <c r="CW12" i="3"/>
  <c r="A13" i="3" s="1"/>
  <c r="P33" i="2"/>
  <c r="W33" i="2" s="1"/>
  <c r="DK7" i="3" s="1"/>
  <c r="DW30" i="3"/>
  <c r="P31" i="2"/>
  <c r="P34" i="2"/>
  <c r="U34" i="2" s="1"/>
  <c r="A20" i="3"/>
  <c r="A18" i="3"/>
  <c r="DW31" i="3"/>
  <c r="P32" i="2"/>
  <c r="W32" i="2" s="1"/>
  <c r="CW38" i="3"/>
  <c r="CW39" i="3"/>
  <c r="A19" i="3"/>
  <c r="A21" i="3"/>
  <c r="P26" i="2"/>
  <c r="U26" i="2" s="1"/>
  <c r="DW28" i="3"/>
  <c r="P28" i="2"/>
  <c r="U28" i="2" s="1"/>
  <c r="DI6" i="3" s="1"/>
  <c r="P27" i="2"/>
  <c r="U27" i="2" s="1"/>
  <c r="DW29" i="3"/>
  <c r="P29" i="2"/>
  <c r="Z29" i="2" s="1"/>
  <c r="CW40" i="3"/>
  <c r="P12" i="2"/>
  <c r="U12" i="2" s="1"/>
  <c r="P13" i="2"/>
  <c r="Z13" i="2" s="1"/>
  <c r="DM3" i="3" s="1"/>
  <c r="P14" i="2"/>
  <c r="W14" i="2" s="1"/>
  <c r="DW23" i="3"/>
  <c r="P11" i="2"/>
  <c r="V11" i="2" s="1"/>
  <c r="DW22" i="3"/>
  <c r="A14" i="3" l="1"/>
  <c r="A12" i="3"/>
  <c r="A11" i="3"/>
  <c r="A37" i="3"/>
  <c r="V32" i="2"/>
  <c r="DH7" i="3"/>
  <c r="DP7" i="3" s="1"/>
  <c r="V33" i="2"/>
  <c r="DJ7" i="3" s="1"/>
  <c r="Z33" i="2"/>
  <c r="DM7" i="3" s="1"/>
  <c r="X33" i="2"/>
  <c r="DL7" i="3" s="1"/>
  <c r="X31" i="2"/>
  <c r="W31" i="2"/>
  <c r="U31" i="2"/>
  <c r="Z31" i="2"/>
  <c r="V31" i="2"/>
  <c r="U33" i="2"/>
  <c r="DI7" i="3" s="1"/>
  <c r="Z34" i="2"/>
  <c r="W34" i="2"/>
  <c r="X34" i="2"/>
  <c r="V34" i="2"/>
  <c r="P22" i="2"/>
  <c r="W22" i="2" s="1"/>
  <c r="P21" i="2"/>
  <c r="DW26" i="3"/>
  <c r="X32" i="2"/>
  <c r="Z32" i="2"/>
  <c r="U32" i="2"/>
  <c r="A39" i="3"/>
  <c r="A38" i="3"/>
  <c r="P23" i="2"/>
  <c r="Z23" i="2" s="1"/>
  <c r="DM5" i="3" s="1"/>
  <c r="W26" i="2"/>
  <c r="DW27" i="3"/>
  <c r="P24" i="2"/>
  <c r="V24" i="2" s="1"/>
  <c r="W29" i="2"/>
  <c r="X26" i="2"/>
  <c r="V26" i="2"/>
  <c r="Z26" i="2"/>
  <c r="V28" i="2"/>
  <c r="DJ6" i="3" s="1"/>
  <c r="X29" i="2"/>
  <c r="AA29" i="2" s="1"/>
  <c r="V29" i="2"/>
  <c r="DH6" i="3"/>
  <c r="DP6" i="3" s="1"/>
  <c r="W28" i="2"/>
  <c r="DK6" i="3" s="1"/>
  <c r="U29" i="2"/>
  <c r="X28" i="2"/>
  <c r="DL6" i="3" s="1"/>
  <c r="Z28" i="2"/>
  <c r="DM6" i="3" s="1"/>
  <c r="W27" i="2"/>
  <c r="X27" i="2"/>
  <c r="Z27" i="2"/>
  <c r="V27" i="2"/>
  <c r="A40" i="3"/>
  <c r="Z12" i="2"/>
  <c r="V12" i="2"/>
  <c r="AB12" i="2" s="1"/>
  <c r="W12" i="2"/>
  <c r="X12" i="2"/>
  <c r="V13" i="2"/>
  <c r="DJ3" i="3" s="1"/>
  <c r="X14" i="2"/>
  <c r="DH3" i="3"/>
  <c r="DP3" i="3" s="1"/>
  <c r="U14" i="2"/>
  <c r="U11" i="2"/>
  <c r="AB11" i="2" s="1"/>
  <c r="Z14" i="2"/>
  <c r="V14" i="2"/>
  <c r="W13" i="2"/>
  <c r="DK3" i="3" s="1"/>
  <c r="X13" i="2"/>
  <c r="AA13" i="2" s="1"/>
  <c r="DN3" i="3" s="1"/>
  <c r="U13" i="2"/>
  <c r="W11" i="2"/>
  <c r="X11" i="2"/>
  <c r="Z11" i="2"/>
  <c r="P17" i="2" l="1"/>
  <c r="X17" i="2" s="1"/>
  <c r="P16" i="2"/>
  <c r="V16" i="2" s="1"/>
  <c r="DW24" i="3"/>
  <c r="DW25" i="3"/>
  <c r="P19" i="2"/>
  <c r="Z19" i="2" s="1"/>
  <c r="P18" i="2"/>
  <c r="Z18" i="2" s="1"/>
  <c r="DM4" i="3" s="1"/>
  <c r="DW32" i="3"/>
  <c r="X22" i="2"/>
  <c r="AB32" i="2"/>
  <c r="AB33" i="2"/>
  <c r="DO7" i="3" s="1"/>
  <c r="U22" i="2"/>
  <c r="AA33" i="2"/>
  <c r="DN7" i="3" s="1"/>
  <c r="T34" i="2"/>
  <c r="AA34" i="2"/>
  <c r="AA31" i="2"/>
  <c r="T33" i="2"/>
  <c r="P36" i="2"/>
  <c r="V36" i="2" s="1"/>
  <c r="T31" i="2"/>
  <c r="AB31" i="2"/>
  <c r="AB34" i="2"/>
  <c r="AA32" i="2"/>
  <c r="T32" i="2"/>
  <c r="Z22" i="2"/>
  <c r="V22" i="2"/>
  <c r="V21" i="2"/>
  <c r="U21" i="2"/>
  <c r="Z21" i="2"/>
  <c r="W21" i="2"/>
  <c r="X21" i="2"/>
  <c r="T26" i="2"/>
  <c r="DW33" i="3"/>
  <c r="P39" i="2"/>
  <c r="U39" i="2" s="1"/>
  <c r="P37" i="2"/>
  <c r="Z37" i="2" s="1"/>
  <c r="DH5" i="3"/>
  <c r="DP5" i="3" s="1"/>
  <c r="V23" i="2"/>
  <c r="DJ5" i="3" s="1"/>
  <c r="U23" i="2"/>
  <c r="DI5" i="3" s="1"/>
  <c r="AB28" i="2"/>
  <c r="DO6" i="3" s="1"/>
  <c r="P38" i="2"/>
  <c r="V38" i="2" s="1"/>
  <c r="DJ8" i="3" s="1"/>
  <c r="W23" i="2"/>
  <c r="DK5" i="3" s="1"/>
  <c r="X23" i="2"/>
  <c r="DL5" i="3" s="1"/>
  <c r="U24" i="2"/>
  <c r="AB24" i="2" s="1"/>
  <c r="X24" i="2"/>
  <c r="Z24" i="2"/>
  <c r="W24" i="2"/>
  <c r="AA26" i="2"/>
  <c r="AB26" i="2"/>
  <c r="T28" i="2"/>
  <c r="T29" i="2"/>
  <c r="AB29" i="2"/>
  <c r="AA28" i="2"/>
  <c r="DN6" i="3" s="1"/>
  <c r="T27" i="2"/>
  <c r="AA27" i="2"/>
  <c r="AA12" i="2"/>
  <c r="AB27" i="2"/>
  <c r="T12" i="2"/>
  <c r="AB14" i="2"/>
  <c r="DL3" i="3"/>
  <c r="T11" i="2"/>
  <c r="AB13" i="2"/>
  <c r="DO3" i="3" s="1"/>
  <c r="AA14" i="2"/>
  <c r="DI3" i="3"/>
  <c r="AA11" i="2"/>
  <c r="T14" i="2"/>
  <c r="T13" i="2"/>
  <c r="H52" i="2" l="1"/>
  <c r="U17" i="2"/>
  <c r="Z17" i="2"/>
  <c r="AA17" i="2" s="1"/>
  <c r="W17" i="2"/>
  <c r="V17" i="2"/>
  <c r="X16" i="2"/>
  <c r="Z16" i="2"/>
  <c r="DH4" i="3"/>
  <c r="DP4" i="3" s="1"/>
  <c r="X18" i="2"/>
  <c r="DL4" i="3" s="1"/>
  <c r="V18" i="2"/>
  <c r="DJ4" i="3" s="1"/>
  <c r="U16" i="2"/>
  <c r="AB16" i="2" s="1"/>
  <c r="W16" i="2"/>
  <c r="W19" i="2"/>
  <c r="W18" i="2"/>
  <c r="DK4" i="3" s="1"/>
  <c r="V19" i="2"/>
  <c r="U18" i="2"/>
  <c r="U19" i="2"/>
  <c r="X19" i="2"/>
  <c r="AA19" i="2" s="1"/>
  <c r="T22" i="2"/>
  <c r="Z36" i="2"/>
  <c r="U36" i="2"/>
  <c r="AB36" i="2" s="1"/>
  <c r="X36" i="2"/>
  <c r="AA22" i="2"/>
  <c r="A14" i="4"/>
  <c r="E55" i="2"/>
  <c r="W36" i="2"/>
  <c r="AB22" i="2"/>
  <c r="AA21" i="2"/>
  <c r="AB21" i="2"/>
  <c r="T21" i="2"/>
  <c r="W39" i="2"/>
  <c r="V39" i="2"/>
  <c r="AB39" i="2" s="1"/>
  <c r="Z39" i="2"/>
  <c r="X39" i="2"/>
  <c r="X37" i="2"/>
  <c r="AA37" i="2" s="1"/>
  <c r="U37" i="2"/>
  <c r="W37" i="2"/>
  <c r="V37" i="2"/>
  <c r="T23" i="2"/>
  <c r="AB23" i="2"/>
  <c r="DO5" i="3" s="1"/>
  <c r="W38" i="2"/>
  <c r="DK8" i="3" s="1"/>
  <c r="Z38" i="2"/>
  <c r="DM8" i="3" s="1"/>
  <c r="DH8" i="3"/>
  <c r="DP8" i="3" s="1"/>
  <c r="U38" i="2"/>
  <c r="X38" i="2"/>
  <c r="DL8" i="3" s="1"/>
  <c r="AA23" i="2"/>
  <c r="DN5" i="3" s="1"/>
  <c r="AA24" i="2"/>
  <c r="T24" i="2"/>
  <c r="E52" i="2"/>
  <c r="E54" i="2"/>
  <c r="A8" i="4" s="1"/>
  <c r="E49" i="2"/>
  <c r="A3" i="4" s="1"/>
  <c r="E48" i="2"/>
  <c r="A9" i="4" l="1"/>
  <c r="M55" i="2"/>
  <c r="E59" i="2"/>
  <c r="A22" i="4" s="1"/>
  <c r="H56" i="2"/>
  <c r="M52" i="2"/>
  <c r="AB17" i="2"/>
  <c r="T17" i="2"/>
  <c r="AA16" i="2"/>
  <c r="T16" i="2"/>
  <c r="AB18" i="2"/>
  <c r="DO4" i="3" s="1"/>
  <c r="DI4" i="3"/>
  <c r="AA18" i="2"/>
  <c r="DN4" i="3" s="1"/>
  <c r="T18" i="2"/>
  <c r="AB19" i="2"/>
  <c r="T19" i="2"/>
  <c r="AA36" i="2"/>
  <c r="T36" i="2"/>
  <c r="A6" i="4"/>
  <c r="A23" i="4"/>
  <c r="AA39" i="2"/>
  <c r="T39" i="2"/>
  <c r="AB37" i="2"/>
  <c r="T37" i="2"/>
  <c r="E50" i="2"/>
  <c r="T38" i="2"/>
  <c r="AA38" i="2"/>
  <c r="DN8" i="3" s="1"/>
  <c r="H49" i="2"/>
  <c r="DI8" i="3"/>
  <c r="AB38" i="2"/>
  <c r="DO8" i="3" s="1"/>
  <c r="A2" i="4"/>
  <c r="E58" i="2" l="1"/>
  <c r="M50" i="2"/>
  <c r="M49" i="2"/>
  <c r="H57" i="2"/>
  <c r="DQ4" i="3"/>
  <c r="H48" i="2"/>
  <c r="E51" i="2"/>
  <c r="A11" i="4"/>
  <c r="A4" i="4"/>
  <c r="E53" i="2"/>
  <c r="DQ5" i="3"/>
  <c r="H54" i="2"/>
  <c r="DQ8" i="3"/>
  <c r="DQ6" i="3"/>
  <c r="DQ7" i="3"/>
  <c r="DQ3" i="3"/>
  <c r="A21" i="4" l="1"/>
  <c r="M58" i="2"/>
  <c r="E61" i="2"/>
  <c r="A29" i="4" s="1"/>
  <c r="A5" i="4"/>
  <c r="E57" i="2"/>
  <c r="A20" i="4" s="1"/>
  <c r="M51" i="2"/>
  <c r="M53" i="2"/>
  <c r="E56" i="2"/>
  <c r="M54" i="2"/>
  <c r="H59" i="2"/>
  <c r="M57" i="2"/>
  <c r="H60" i="2"/>
  <c r="A10" i="4"/>
  <c r="M48" i="2"/>
  <c r="H58" i="2"/>
  <c r="A25" i="4" s="1"/>
  <c r="A7" i="4"/>
  <c r="A16" i="4"/>
  <c r="A24" i="4"/>
  <c r="A30" i="4"/>
  <c r="DR8" i="3"/>
  <c r="DS4" i="3"/>
  <c r="DT7" i="3"/>
  <c r="DS8" i="3"/>
  <c r="DR6" i="3"/>
  <c r="DR7" i="3"/>
  <c r="DT6" i="3"/>
  <c r="DT3" i="3"/>
  <c r="DS7" i="3"/>
  <c r="DS6" i="3"/>
  <c r="DS3" i="3"/>
  <c r="DT5" i="3"/>
  <c r="DT8" i="3"/>
  <c r="DR5" i="3"/>
  <c r="DS5" i="3"/>
  <c r="DT4" i="3"/>
  <c r="DR4" i="3"/>
  <c r="DR3" i="3"/>
  <c r="E60" i="2" l="1"/>
  <c r="M56" i="2"/>
  <c r="H61" i="2"/>
  <c r="M59" i="2"/>
  <c r="A26" i="4"/>
  <c r="A19" i="4"/>
  <c r="DU4" i="3"/>
  <c r="DU7" i="3"/>
  <c r="DU8" i="3"/>
  <c r="DU6" i="3"/>
  <c r="DU3" i="3"/>
  <c r="DU5" i="3"/>
  <c r="M60" i="2" l="1"/>
  <c r="E62" i="2"/>
  <c r="M62" i="2" s="1"/>
  <c r="H62" i="2"/>
  <c r="M61" i="2"/>
  <c r="DW16" i="3"/>
  <c r="A31" i="4"/>
  <c r="A28" i="4"/>
  <c r="A33" i="4"/>
  <c r="P47" i="2"/>
  <c r="V47" i="2" s="1"/>
  <c r="DW13" i="3"/>
  <c r="AC45" i="2"/>
  <c r="DS12" i="3" s="1"/>
  <c r="DS26" i="3" s="1"/>
  <c r="AC47" i="2"/>
  <c r="DW15" i="3"/>
  <c r="AC43" i="2"/>
  <c r="DQ12" i="3" s="1"/>
  <c r="DQ23" i="3" s="1"/>
  <c r="P45" i="2"/>
  <c r="V45" i="2" s="1"/>
  <c r="DW14" i="3"/>
  <c r="P48" i="2"/>
  <c r="U48" i="2" s="1"/>
  <c r="P43" i="2"/>
  <c r="U43" i="2" s="1"/>
  <c r="AC46" i="2"/>
  <c r="DT12" i="3" s="1"/>
  <c r="DT26" i="3" s="1"/>
  <c r="AC48" i="2"/>
  <c r="P46" i="2"/>
  <c r="V46" i="2" s="1"/>
  <c r="AC44" i="2"/>
  <c r="DR12" i="3" s="1"/>
  <c r="DR27" i="3" s="1"/>
  <c r="P44" i="2"/>
  <c r="B64" i="2" l="1"/>
  <c r="A36" i="4" s="1"/>
  <c r="A34" i="4"/>
  <c r="W47" i="2"/>
  <c r="U47" i="2"/>
  <c r="Z47" i="2"/>
  <c r="AA47" i="2"/>
  <c r="T47" i="2"/>
  <c r="X47" i="2"/>
  <c r="AB47" i="2"/>
  <c r="DQ13" i="3"/>
  <c r="DQ15" i="3"/>
  <c r="AB45" i="2"/>
  <c r="X45" i="2"/>
  <c r="DR16" i="3"/>
  <c r="DR22" i="3"/>
  <c r="DQ19" i="3"/>
  <c r="AA45" i="2"/>
  <c r="W45" i="2"/>
  <c r="U45" i="2"/>
  <c r="DR26" i="3"/>
  <c r="V48" i="2"/>
  <c r="Z45" i="2"/>
  <c r="T45" i="2"/>
  <c r="AB48" i="2"/>
  <c r="W48" i="2"/>
  <c r="X48" i="2"/>
  <c r="DR17" i="3"/>
  <c r="DR24" i="3"/>
  <c r="DQ24" i="3"/>
  <c r="DQ22" i="3"/>
  <c r="DR18" i="3"/>
  <c r="DR14" i="3"/>
  <c r="DQ18" i="3"/>
  <c r="DQ26" i="3"/>
  <c r="DR25" i="3"/>
  <c r="DQ17" i="3"/>
  <c r="DQ14" i="3"/>
  <c r="DR23" i="3"/>
  <c r="DQ20" i="3"/>
  <c r="DR21" i="3"/>
  <c r="DQ25" i="3"/>
  <c r="Z48" i="2"/>
  <c r="DR19" i="3"/>
  <c r="AA48" i="2"/>
  <c r="V43" i="2"/>
  <c r="DS14" i="3"/>
  <c r="DR20" i="3"/>
  <c r="DR13" i="3"/>
  <c r="T48" i="2"/>
  <c r="DQ27" i="3"/>
  <c r="DQ21" i="3"/>
  <c r="DR15" i="3"/>
  <c r="DS13" i="3"/>
  <c r="DS18" i="3"/>
  <c r="DS20" i="3"/>
  <c r="W46" i="2"/>
  <c r="DS21" i="3"/>
  <c r="DS25" i="3"/>
  <c r="W43" i="2"/>
  <c r="Z43" i="2"/>
  <c r="DS16" i="3"/>
  <c r="U46" i="2"/>
  <c r="DS24" i="3"/>
  <c r="DS19" i="3"/>
  <c r="DT17" i="3"/>
  <c r="AB46" i="2"/>
  <c r="X43" i="2"/>
  <c r="X46" i="2"/>
  <c r="DS15" i="3"/>
  <c r="DS22" i="3"/>
  <c r="Z46" i="2"/>
  <c r="AB43" i="2"/>
  <c r="DS17" i="3"/>
  <c r="T46" i="2"/>
  <c r="DS27" i="3"/>
  <c r="AA46" i="2"/>
  <c r="AA43" i="2"/>
  <c r="DS23" i="3"/>
  <c r="DQ16" i="3"/>
  <c r="T43" i="2"/>
  <c r="DT13" i="3"/>
  <c r="X44" i="2"/>
  <c r="Z44" i="2"/>
  <c r="U44" i="2"/>
  <c r="AB44" i="2"/>
  <c r="V44" i="2"/>
  <c r="AA44" i="2"/>
  <c r="W44" i="2"/>
  <c r="T44" i="2"/>
  <c r="DT25" i="3"/>
  <c r="DT21" i="3"/>
  <c r="DT22" i="3"/>
  <c r="DT19" i="3"/>
  <c r="DT20" i="3"/>
  <c r="DT27" i="3"/>
  <c r="DT23" i="3"/>
  <c r="DT15" i="3"/>
  <c r="DT24" i="3"/>
  <c r="DT16" i="3"/>
  <c r="DT14" i="3"/>
  <c r="DT18" i="3"/>
  <c r="DU26" i="3" l="1"/>
  <c r="DU15" i="3"/>
  <c r="DU14" i="3"/>
  <c r="DU13" i="3"/>
  <c r="DU17" i="3"/>
  <c r="DU23" i="3"/>
  <c r="DU25" i="3"/>
  <c r="DU27" i="3"/>
  <c r="DU18" i="3"/>
  <c r="DU22" i="3"/>
  <c r="DU21" i="3"/>
  <c r="DU19" i="3"/>
  <c r="DU16" i="3"/>
  <c r="DU20" i="3"/>
  <c r="H50" i="2"/>
  <c r="A12" i="4" s="1"/>
  <c r="DU24" i="3"/>
  <c r="H55" i="2" l="1"/>
  <c r="A17" i="4" s="1"/>
  <c r="H51" i="2"/>
  <c r="A13" i="4" s="1"/>
  <c r="H53" i="2"/>
  <c r="A15" i="4" s="1"/>
  <c r="DW20" i="3"/>
  <c r="DW21" i="3"/>
  <c r="DW19" i="3"/>
  <c r="DW1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<sst xmlns="http://schemas.openxmlformats.org/spreadsheetml/2006/main" count="578" uniqueCount="122">
  <si>
    <t>SETUP</t>
  </si>
  <si>
    <t>EURO 2020 PARTICIPANT</t>
  </si>
  <si>
    <t>Austria</t>
  </si>
  <si>
    <t>R</t>
  </si>
  <si>
    <t>Belgium</t>
  </si>
  <si>
    <t>Croatia</t>
  </si>
  <si>
    <t>Czech Republic</t>
  </si>
  <si>
    <t>Denmark</t>
  </si>
  <si>
    <t>England</t>
  </si>
  <si>
    <t>Finland</t>
  </si>
  <si>
    <t>France</t>
  </si>
  <si>
    <t>Germany</t>
  </si>
  <si>
    <t>Hungary</t>
  </si>
  <si>
    <t>Italy</t>
  </si>
  <si>
    <t>Netherlands</t>
  </si>
  <si>
    <t>North Macedonia</t>
  </si>
  <si>
    <t>Poland</t>
  </si>
  <si>
    <t>Portugal</t>
  </si>
  <si>
    <t>Russia</t>
  </si>
  <si>
    <t>Scotland</t>
  </si>
  <si>
    <t>Slovakia</t>
  </si>
  <si>
    <t>Spain</t>
  </si>
  <si>
    <t>Sweden</t>
  </si>
  <si>
    <t>Switzerland</t>
  </si>
  <si>
    <t>Turkey</t>
  </si>
  <si>
    <t>Ukraine</t>
  </si>
  <si>
    <t>Wales</t>
  </si>
  <si>
    <t>© 2018 - exceltemplate.net</t>
  </si>
  <si>
    <t>M#</t>
  </si>
  <si>
    <t>G</t>
  </si>
  <si>
    <t>Date</t>
  </si>
  <si>
    <t>Country</t>
  </si>
  <si>
    <t>Score</t>
  </si>
  <si>
    <t>Standings</t>
  </si>
  <si>
    <t>RD</t>
  </si>
  <si>
    <t>WINNER</t>
  </si>
  <si>
    <t>Group A</t>
  </si>
  <si>
    <t>P</t>
  </si>
  <si>
    <t>W</t>
  </si>
  <si>
    <t>D</t>
  </si>
  <si>
    <t>L</t>
  </si>
  <si>
    <t>F</t>
  </si>
  <si>
    <t>A</t>
  </si>
  <si>
    <t>+/-</t>
  </si>
  <si>
    <t>Pts</t>
  </si>
  <si>
    <t>-</t>
  </si>
  <si>
    <t>B</t>
  </si>
  <si>
    <t>Group B</t>
  </si>
  <si>
    <t>C</t>
  </si>
  <si>
    <t>E</t>
  </si>
  <si>
    <t>Group C</t>
  </si>
  <si>
    <t>Group D</t>
  </si>
  <si>
    <t>Group E</t>
  </si>
  <si>
    <t>Group F</t>
  </si>
  <si>
    <t>Group A-F 3rd Place Standings</t>
  </si>
  <si>
    <t>R16</t>
  </si>
  <si>
    <t>QF</t>
  </si>
  <si>
    <t>SF</t>
  </si>
  <si>
    <t>Rule</t>
  </si>
  <si>
    <t>table rank 1- ok</t>
  </si>
  <si>
    <t>table rank 2</t>
  </si>
  <si>
    <t>table rank 3</t>
  </si>
  <si>
    <t>table rank 4</t>
  </si>
  <si>
    <t>GS</t>
  </si>
  <si>
    <t>GA</t>
  </si>
  <si>
    <t>GD</t>
  </si>
  <si>
    <t>Koef</t>
  </si>
  <si>
    <t>Pts Rank</t>
  </si>
  <si>
    <t>GD Rank</t>
  </si>
  <si>
    <t>GS Rank</t>
  </si>
  <si>
    <t>Koef Rank</t>
  </si>
  <si>
    <t>Diff</t>
  </si>
  <si>
    <t>Points</t>
  </si>
  <si>
    <t>UEFA Rank</t>
  </si>
  <si>
    <t>rankall points</t>
  </si>
  <si>
    <t>rerank</t>
  </si>
  <si>
    <t>rank 1</t>
  </si>
  <si>
    <t>rank 2</t>
  </si>
  <si>
    <t>rank 3</t>
  </si>
  <si>
    <t>rank 4</t>
  </si>
  <si>
    <t>Team</t>
  </si>
  <si>
    <t>Sdif</t>
  </si>
  <si>
    <t>SGS</t>
  </si>
  <si>
    <t>Sdiff</t>
  </si>
  <si>
    <t>FR</t>
  </si>
  <si>
    <t>Y</t>
  </si>
  <si>
    <t>Four best 3rd-placed teams combination</t>
  </si>
  <si>
    <t>1B</t>
  </si>
  <si>
    <t>1C</t>
  </si>
  <si>
    <t>1E</t>
  </si>
  <si>
    <t>1F</t>
  </si>
  <si>
    <t>M</t>
  </si>
  <si>
    <t>1A</t>
  </si>
  <si>
    <t>1D</t>
  </si>
  <si>
    <t>U</t>
  </si>
  <si>
    <t>S</t>
  </si>
  <si>
    <t>table rank-1 2</t>
  </si>
  <si>
    <t>table rank-2 2</t>
  </si>
  <si>
    <t>Stade de France, Saint-Denis</t>
  </si>
  <si>
    <t>Stade Bollaert-Delelis, Lens Agglo</t>
  </si>
  <si>
    <t>Stade de Bordeaux, Bordeaus</t>
  </si>
  <si>
    <t>Stade Velodrome, Marseille</t>
  </si>
  <si>
    <t>Parc des Princes, Paris</t>
  </si>
  <si>
    <t>Stade de Nice, Nice</t>
  </si>
  <si>
    <t>Stade Pierre Mauroy, Lille Metropole</t>
  </si>
  <si>
    <t>Stadium de Toulouse, Toulouse</t>
  </si>
  <si>
    <t>Stade de Lyon, Lyon</t>
  </si>
  <si>
    <t>Stade Geoffroy Guichard, Saint-Etienne</t>
  </si>
  <si>
    <t>Closing Date</t>
  </si>
  <si>
    <t>Name of participant:</t>
  </si>
  <si>
    <t>Winner</t>
  </si>
  <si>
    <t>10 Points for correct score (only if teams are correct)</t>
  </si>
  <si>
    <t>10 points for each correct Quarter Finalist</t>
  </si>
  <si>
    <t>20 points for each correct Semi Finalist</t>
  </si>
  <si>
    <t>30 points for each correct Finalist</t>
  </si>
  <si>
    <t>26 Jun 2021 1700hrs (5pm)</t>
  </si>
  <si>
    <t>Euro 2020 (2021) CxF Pools</t>
  </si>
  <si>
    <t>Group Stages</t>
  </si>
  <si>
    <t>KO Stages:  Input score after 90 minutes. (If draw put an * next to team you think will proceed. Example: 1* - 1 )</t>
  </si>
  <si>
    <t>1*</t>
  </si>
  <si>
    <t>50 points for the correct Winner</t>
  </si>
  <si>
    <t>Adam AlG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</si>
</sst>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/dd\-mmm"/>
  </numFmts>
  <fonts count="3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name val="Calibri"/>
      <family val="2"/>
      <scheme val="minor"/>
    </font>
    <font>
      <sz val="11"/>
      <color theme="1"/>
      <name val="Wingdings 2"/>
      <family val="1"/>
      <charset val="2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Wingdings"/>
      <charset val="2"/>
    </font>
    <font>
      <b/>
      <sz val="14"/>
      <color theme="5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name val="Calibri"/>
      <family val="2"/>
      <charset val="204"/>
    </font>
    <font>
      <sz val="10"/>
      <name val="Calibri"/>
      <family val="2"/>
    </font>
    <font>
      <b/>
      <sz val="10"/>
      <color rgb="FFFF0000"/>
      <name val="Calibri"/>
      <family val="2"/>
    </font>
    <font>
      <b/>
      <sz val="10"/>
      <name val="Calibri"/>
      <family val="2"/>
      <scheme val="minor"/>
    </font>
    <font>
      <b/>
      <sz val="10"/>
      <name val="Calibri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9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rgb="FFFFC000"/>
      <name val="Calibri"/>
      <family val="2"/>
      <scheme val="minor"/>
    </font>
    <font>
      <b/>
      <sz val="10"/>
      <color rgb="FFFFC000"/>
      <name val="Calibri"/>
      <family val="2"/>
      <scheme val="minor"/>
    </font>
    <font>
      <sz val="1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/>
      <top style="thin">
        <color theme="0" tint="-0.2499465926084170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8" fillId="0" borderId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4" fillId="25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28" borderId="0" applyNumberFormat="0" applyBorder="0" applyAlignment="0" applyProtection="0"/>
  </cellStyleXfs>
  <cellXfs count="287">
    <xf numFmtId="0" fontId="0" fillId="0" borderId="0" xfId="0"/>
    <xf numFmtId="0" fontId="0" fillId="2" borderId="0" xfId="0" applyFill="1"/>
    <xf numFmtId="0" fontId="4" fillId="0" borderId="0" xfId="0" applyFont="1" applyFill="1"/>
    <xf numFmtId="0" fontId="5" fillId="0" borderId="0" xfId="0" applyFont="1" applyFill="1" applyAlignment="1" applyProtection="1">
      <alignment vertical="center"/>
      <protection locked="0"/>
    </xf>
    <xf numFmtId="0" fontId="0" fillId="0" borderId="0" xfId="0" applyFill="1"/>
    <xf numFmtId="0" fontId="4" fillId="0" borderId="0" xfId="0" applyFont="1"/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 applyBorder="1"/>
    <xf numFmtId="0" fontId="4" fillId="0" borderId="0" xfId="1" applyFont="1" applyFill="1" applyBorder="1" applyProtection="1">
      <protection hidden="1"/>
    </xf>
    <xf numFmtId="0" fontId="9" fillId="0" borderId="0" xfId="1" applyFont="1" applyFill="1" applyBorder="1" applyProtection="1">
      <protection hidden="1"/>
    </xf>
    <xf numFmtId="0" fontId="9" fillId="0" borderId="0" xfId="1" applyFont="1" applyFill="1" applyBorder="1" applyAlignment="1" applyProtection="1">
      <alignment horizontal="left" indent="1"/>
      <protection hidden="1"/>
    </xf>
    <xf numFmtId="0" fontId="4" fillId="0" borderId="0" xfId="1" applyFont="1" applyFill="1" applyBorder="1" applyAlignment="1" applyProtection="1">
      <alignment vertical="center"/>
      <protection hidden="1"/>
    </xf>
    <xf numFmtId="0" fontId="9" fillId="0" borderId="0" xfId="1" applyFont="1" applyFill="1" applyBorder="1" applyAlignment="1" applyProtection="1">
      <alignment vertical="center"/>
      <protection hidden="1"/>
    </xf>
    <xf numFmtId="0" fontId="2" fillId="0" borderId="0" xfId="0" applyFont="1"/>
    <xf numFmtId="0" fontId="13" fillId="0" borderId="0" xfId="0" applyFont="1"/>
    <xf numFmtId="0" fontId="0" fillId="0" borderId="1" xfId="0" applyBorder="1" applyAlignment="1" applyProtection="1">
      <alignment horizontal="left" vertical="center"/>
    </xf>
    <xf numFmtId="0" fontId="10" fillId="0" borderId="0" xfId="1" applyFont="1" applyFill="1" applyBorder="1" applyProtection="1">
      <protection hidden="1"/>
    </xf>
    <xf numFmtId="0" fontId="14" fillId="0" borderId="0" xfId="0" applyFont="1"/>
    <xf numFmtId="164" fontId="9" fillId="0" borderId="0" xfId="1" applyNumberFormat="1" applyFont="1" applyFill="1" applyBorder="1" applyAlignment="1" applyProtection="1">
      <protection hidden="1"/>
    </xf>
    <xf numFmtId="0" fontId="9" fillId="0" borderId="0" xfId="1" applyFont="1" applyFill="1" applyBorder="1" applyAlignment="1" applyProtection="1">
      <alignment horizontal="center"/>
      <protection hidden="1"/>
    </xf>
    <xf numFmtId="0" fontId="26" fillId="3" borderId="3" xfId="1" applyFont="1" applyFill="1" applyBorder="1" applyAlignment="1" applyProtection="1">
      <alignment horizontal="center" vertical="center"/>
      <protection hidden="1"/>
    </xf>
    <xf numFmtId="0" fontId="26" fillId="3" borderId="4" xfId="1" applyFont="1" applyFill="1" applyBorder="1" applyAlignment="1" applyProtection="1">
      <alignment horizontal="center" vertical="center"/>
      <protection hidden="1"/>
    </xf>
    <xf numFmtId="164" fontId="26" fillId="3" borderId="4" xfId="1" applyNumberFormat="1" applyFont="1" applyFill="1" applyBorder="1" applyAlignment="1" applyProtection="1">
      <alignment horizontal="center" vertical="center"/>
      <protection hidden="1"/>
    </xf>
    <xf numFmtId="0" fontId="26" fillId="3" borderId="4" xfId="1" applyFont="1" applyFill="1" applyBorder="1" applyAlignment="1" applyProtection="1">
      <alignment horizontal="right" vertical="center"/>
      <protection hidden="1"/>
    </xf>
    <xf numFmtId="0" fontId="26" fillId="3" borderId="4" xfId="1" applyFont="1" applyFill="1" applyBorder="1" applyAlignment="1" applyProtection="1">
      <alignment horizontal="left" vertical="center"/>
      <protection hidden="1"/>
    </xf>
    <xf numFmtId="0" fontId="26" fillId="3" borderId="5" xfId="1" applyFont="1" applyFill="1" applyBorder="1" applyAlignment="1" applyProtection="1">
      <alignment horizontal="left" vertical="center"/>
      <protection hidden="1"/>
    </xf>
    <xf numFmtId="0" fontId="10" fillId="0" borderId="0" xfId="1" applyFont="1" applyFill="1" applyBorder="1" applyAlignment="1" applyProtection="1">
      <alignment vertical="center"/>
      <protection hidden="1"/>
    </xf>
    <xf numFmtId="0" fontId="26" fillId="2" borderId="4" xfId="1" applyFont="1" applyFill="1" applyBorder="1" applyAlignment="1" applyProtection="1">
      <alignment vertical="center"/>
      <protection hidden="1"/>
    </xf>
    <xf numFmtId="164" fontId="26" fillId="2" borderId="4" xfId="1" applyNumberFormat="1" applyFont="1" applyFill="1" applyBorder="1" applyAlignment="1" applyProtection="1">
      <alignment vertical="center"/>
      <protection hidden="1"/>
    </xf>
    <xf numFmtId="0" fontId="26" fillId="2" borderId="5" xfId="1" applyFont="1" applyFill="1" applyBorder="1" applyAlignment="1" applyProtection="1">
      <alignment vertical="center"/>
      <protection hidden="1"/>
    </xf>
    <xf numFmtId="0" fontId="26" fillId="2" borderId="0" xfId="0" applyFont="1" applyFill="1" applyBorder="1" applyAlignment="1" applyProtection="1">
      <alignment horizontal="center" vertical="center"/>
      <protection hidden="1"/>
    </xf>
    <xf numFmtId="0" fontId="26" fillId="2" borderId="0" xfId="0" quotePrefix="1" applyFont="1" applyFill="1" applyBorder="1" applyAlignment="1" applyProtection="1">
      <alignment horizontal="center" vertical="center"/>
      <protection hidden="1"/>
    </xf>
    <xf numFmtId="0" fontId="10" fillId="4" borderId="33" xfId="1" applyFont="1" applyFill="1" applyBorder="1" applyAlignment="1" applyProtection="1">
      <alignment horizontal="center" vertical="center"/>
      <protection hidden="1"/>
    </xf>
    <xf numFmtId="0" fontId="10" fillId="4" borderId="6" xfId="1" applyFont="1" applyFill="1" applyBorder="1" applyAlignment="1" applyProtection="1">
      <alignment horizontal="center" vertical="center"/>
      <protection hidden="1"/>
    </xf>
    <xf numFmtId="164" fontId="10" fillId="4" borderId="6" xfId="1" applyNumberFormat="1" applyFont="1" applyFill="1" applyBorder="1" applyAlignment="1" applyProtection="1">
      <alignment horizontal="right" vertical="center"/>
      <protection hidden="1"/>
    </xf>
    <xf numFmtId="0" fontId="10" fillId="4" borderId="6" xfId="1" applyFont="1" applyFill="1" applyBorder="1" applyAlignment="1" applyProtection="1">
      <alignment horizontal="right" vertical="center" indent="1"/>
      <protection hidden="1"/>
    </xf>
    <xf numFmtId="0" fontId="10" fillId="4" borderId="6" xfId="1" applyFont="1" applyFill="1" applyBorder="1" applyAlignment="1" applyProtection="1">
      <alignment horizontal="left" vertical="center" indent="1"/>
      <protection hidden="1"/>
    </xf>
    <xf numFmtId="0" fontId="10" fillId="4" borderId="6" xfId="1" applyFont="1" applyFill="1" applyBorder="1" applyAlignment="1" applyProtection="1">
      <alignment vertical="center"/>
      <protection hidden="1"/>
    </xf>
    <xf numFmtId="0" fontId="20" fillId="4" borderId="9" xfId="1" applyFont="1" applyFill="1" applyBorder="1" applyAlignment="1" applyProtection="1">
      <alignment vertical="center"/>
      <protection hidden="1"/>
    </xf>
    <xf numFmtId="0" fontId="27" fillId="6" borderId="0" xfId="0" applyFont="1" applyFill="1" applyBorder="1" applyAlignment="1" applyProtection="1">
      <alignment horizontal="center" vertical="center"/>
      <protection hidden="1"/>
    </xf>
    <xf numFmtId="0" fontId="27" fillId="6" borderId="0" xfId="0" quotePrefix="1" applyFont="1" applyFill="1" applyBorder="1" applyAlignment="1" applyProtection="1">
      <alignment horizontal="center" vertical="center"/>
      <protection hidden="1"/>
    </xf>
    <xf numFmtId="0" fontId="10" fillId="4" borderId="34" xfId="1" applyFont="1" applyFill="1" applyBorder="1" applyAlignment="1" applyProtection="1">
      <alignment horizontal="center" vertical="center"/>
      <protection hidden="1"/>
    </xf>
    <xf numFmtId="0" fontId="10" fillId="4" borderId="10" xfId="1" applyFont="1" applyFill="1" applyBorder="1" applyAlignment="1" applyProtection="1">
      <alignment horizontal="center" vertical="center"/>
      <protection hidden="1"/>
    </xf>
    <xf numFmtId="164" fontId="10" fillId="4" borderId="10" xfId="1" applyNumberFormat="1" applyFont="1" applyFill="1" applyBorder="1" applyAlignment="1" applyProtection="1">
      <alignment horizontal="right" vertical="center"/>
      <protection hidden="1"/>
    </xf>
    <xf numFmtId="0" fontId="10" fillId="4" borderId="10" xfId="1" applyFont="1" applyFill="1" applyBorder="1" applyAlignment="1" applyProtection="1">
      <alignment horizontal="right" vertical="center" indent="1"/>
      <protection hidden="1"/>
    </xf>
    <xf numFmtId="0" fontId="10" fillId="4" borderId="10" xfId="1" applyFont="1" applyFill="1" applyBorder="1" applyAlignment="1" applyProtection="1">
      <alignment horizontal="left" vertical="center" indent="1"/>
      <protection hidden="1"/>
    </xf>
    <xf numFmtId="0" fontId="10" fillId="4" borderId="10" xfId="1" applyFont="1" applyFill="1" applyBorder="1" applyAlignment="1" applyProtection="1">
      <alignment vertical="center"/>
      <protection hidden="1"/>
    </xf>
    <xf numFmtId="0" fontId="20" fillId="4" borderId="13" xfId="1" applyFont="1" applyFill="1" applyBorder="1" applyAlignment="1" applyProtection="1">
      <alignment vertical="center"/>
      <protection hidden="1"/>
    </xf>
    <xf numFmtId="0" fontId="20" fillId="6" borderId="0" xfId="0" applyFont="1" applyFill="1" applyBorder="1" applyAlignment="1" applyProtection="1">
      <alignment horizontal="center" vertical="center"/>
      <protection hidden="1"/>
    </xf>
    <xf numFmtId="0" fontId="10" fillId="7" borderId="0" xfId="0" applyFont="1" applyFill="1" applyBorder="1" applyAlignment="1" applyProtection="1">
      <alignment horizontal="center" vertical="center"/>
      <protection hidden="1"/>
    </xf>
    <xf numFmtId="0" fontId="10" fillId="0" borderId="0" xfId="0" applyFont="1" applyBorder="1" applyAlignment="1" applyProtection="1">
      <alignment horizontal="center" vertical="center"/>
      <protection hidden="1"/>
    </xf>
    <xf numFmtId="0" fontId="27" fillId="8" borderId="0" xfId="0" applyFont="1" applyFill="1" applyBorder="1" applyAlignment="1" applyProtection="1">
      <alignment horizontal="center" vertical="center"/>
      <protection hidden="1"/>
    </xf>
    <xf numFmtId="0" fontId="27" fillId="8" borderId="0" xfId="0" quotePrefix="1" applyFont="1" applyFill="1" applyBorder="1" applyAlignment="1" applyProtection="1">
      <alignment horizontal="center" vertical="center"/>
      <protection hidden="1"/>
    </xf>
    <xf numFmtId="0" fontId="20" fillId="8" borderId="0" xfId="0" applyFont="1" applyFill="1" applyBorder="1" applyAlignment="1" applyProtection="1">
      <alignment horizontal="center" vertical="center"/>
      <protection hidden="1"/>
    </xf>
    <xf numFmtId="0" fontId="10" fillId="9" borderId="0" xfId="0" applyFont="1" applyFill="1" applyBorder="1" applyAlignment="1" applyProtection="1">
      <alignment horizontal="center" vertical="center"/>
      <protection hidden="1"/>
    </xf>
    <xf numFmtId="0" fontId="27" fillId="10" borderId="0" xfId="0" applyFont="1" applyFill="1" applyBorder="1" applyAlignment="1" applyProtection="1">
      <alignment horizontal="center" vertical="center"/>
      <protection hidden="1"/>
    </xf>
    <xf numFmtId="0" fontId="27" fillId="10" borderId="0" xfId="0" quotePrefix="1" applyFont="1" applyFill="1" applyBorder="1" applyAlignment="1" applyProtection="1">
      <alignment horizontal="center" vertical="center"/>
      <protection hidden="1"/>
    </xf>
    <xf numFmtId="0" fontId="10" fillId="4" borderId="35" xfId="1" applyFont="1" applyFill="1" applyBorder="1" applyAlignment="1" applyProtection="1">
      <alignment horizontal="center" vertical="center"/>
      <protection hidden="1"/>
    </xf>
    <xf numFmtId="0" fontId="10" fillId="4" borderId="14" xfId="1" applyFont="1" applyFill="1" applyBorder="1" applyAlignment="1" applyProtection="1">
      <alignment horizontal="center" vertical="center"/>
      <protection hidden="1"/>
    </xf>
    <xf numFmtId="164" fontId="10" fillId="4" borderId="14" xfId="1" applyNumberFormat="1" applyFont="1" applyFill="1" applyBorder="1" applyAlignment="1" applyProtection="1">
      <alignment horizontal="right" vertical="center"/>
      <protection hidden="1"/>
    </xf>
    <xf numFmtId="0" fontId="10" fillId="4" borderId="14" xfId="1" applyFont="1" applyFill="1" applyBorder="1" applyAlignment="1" applyProtection="1">
      <alignment horizontal="right" vertical="center" indent="1"/>
      <protection hidden="1"/>
    </xf>
    <xf numFmtId="0" fontId="10" fillId="4" borderId="14" xfId="1" applyFont="1" applyFill="1" applyBorder="1" applyAlignment="1" applyProtection="1">
      <alignment horizontal="left" vertical="center" indent="1"/>
      <protection hidden="1"/>
    </xf>
    <xf numFmtId="0" fontId="10" fillId="4" borderId="14" xfId="1" applyFont="1" applyFill="1" applyBorder="1" applyAlignment="1" applyProtection="1">
      <alignment vertical="center"/>
      <protection hidden="1"/>
    </xf>
    <xf numFmtId="0" fontId="10" fillId="4" borderId="16" xfId="1" applyFont="1" applyFill="1" applyBorder="1" applyAlignment="1" applyProtection="1">
      <alignment vertical="center"/>
      <protection hidden="1"/>
    </xf>
    <xf numFmtId="0" fontId="20" fillId="4" borderId="18" xfId="1" applyFont="1" applyFill="1" applyBorder="1" applyAlignment="1" applyProtection="1">
      <alignment vertical="center"/>
      <protection hidden="1"/>
    </xf>
    <xf numFmtId="0" fontId="20" fillId="10" borderId="0" xfId="0" applyFont="1" applyFill="1" applyBorder="1" applyAlignment="1" applyProtection="1">
      <alignment horizontal="center" vertical="center"/>
      <protection hidden="1"/>
    </xf>
    <xf numFmtId="0" fontId="10" fillId="0" borderId="33" xfId="1" applyFont="1" applyFill="1" applyBorder="1" applyAlignment="1" applyProtection="1">
      <alignment horizontal="center" vertical="center"/>
      <protection hidden="1"/>
    </xf>
    <xf numFmtId="0" fontId="10" fillId="0" borderId="6" xfId="1" applyFont="1" applyFill="1" applyBorder="1" applyAlignment="1" applyProtection="1">
      <alignment horizontal="center" vertical="center"/>
      <protection hidden="1"/>
    </xf>
    <xf numFmtId="164" fontId="10" fillId="0" borderId="6" xfId="1" applyNumberFormat="1" applyFont="1" applyFill="1" applyBorder="1" applyAlignment="1" applyProtection="1">
      <alignment horizontal="right" vertical="center"/>
      <protection hidden="1"/>
    </xf>
    <xf numFmtId="0" fontId="10" fillId="0" borderId="6" xfId="1" applyFont="1" applyFill="1" applyBorder="1" applyAlignment="1" applyProtection="1">
      <alignment horizontal="right" vertical="center" indent="1"/>
      <protection hidden="1"/>
    </xf>
    <xf numFmtId="0" fontId="10" fillId="0" borderId="6" xfId="1" applyFont="1" applyFill="1" applyBorder="1" applyAlignment="1" applyProtection="1">
      <alignment horizontal="left" vertical="center" indent="1"/>
      <protection hidden="1"/>
    </xf>
    <xf numFmtId="0" fontId="10" fillId="0" borderId="6" xfId="1" applyFont="1" applyFill="1" applyBorder="1" applyAlignment="1" applyProtection="1">
      <alignment vertical="center"/>
      <protection hidden="1"/>
    </xf>
    <xf numFmtId="0" fontId="20" fillId="0" borderId="20" xfId="1" applyFont="1" applyFill="1" applyBorder="1" applyAlignment="1" applyProtection="1">
      <alignment vertical="center"/>
      <protection hidden="1"/>
    </xf>
    <xf numFmtId="0" fontId="10" fillId="12" borderId="0" xfId="0" applyFont="1" applyFill="1" applyBorder="1" applyAlignment="1" applyProtection="1">
      <alignment horizontal="center" vertical="center"/>
      <protection hidden="1"/>
    </xf>
    <xf numFmtId="0" fontId="10" fillId="0" borderId="34" xfId="1" applyFont="1" applyFill="1" applyBorder="1" applyAlignment="1" applyProtection="1">
      <alignment horizontal="center" vertical="center"/>
      <protection hidden="1"/>
    </xf>
    <xf numFmtId="0" fontId="10" fillId="0" borderId="10" xfId="1" applyFont="1" applyFill="1" applyBorder="1" applyAlignment="1" applyProtection="1">
      <alignment horizontal="center" vertical="center"/>
      <protection hidden="1"/>
    </xf>
    <xf numFmtId="164" fontId="10" fillId="0" borderId="10" xfId="1" applyNumberFormat="1" applyFont="1" applyFill="1" applyBorder="1" applyAlignment="1" applyProtection="1">
      <alignment horizontal="right" vertical="center"/>
      <protection hidden="1"/>
    </xf>
    <xf numFmtId="0" fontId="10" fillId="0" borderId="10" xfId="1" applyFont="1" applyFill="1" applyBorder="1" applyAlignment="1" applyProtection="1">
      <alignment horizontal="right" vertical="center" indent="1"/>
      <protection hidden="1"/>
    </xf>
    <xf numFmtId="0" fontId="10" fillId="0" borderId="10" xfId="1" applyFont="1" applyFill="1" applyBorder="1" applyAlignment="1" applyProtection="1">
      <alignment horizontal="left" vertical="center" indent="1"/>
      <protection hidden="1"/>
    </xf>
    <xf numFmtId="0" fontId="10" fillId="0" borderId="10" xfId="1" applyFont="1" applyFill="1" applyBorder="1" applyAlignment="1" applyProtection="1">
      <alignment vertical="center"/>
      <protection hidden="1"/>
    </xf>
    <xf numFmtId="0" fontId="20" fillId="0" borderId="13" xfId="1" applyFont="1" applyFill="1" applyBorder="1" applyAlignment="1" applyProtection="1">
      <alignment vertical="center"/>
      <protection hidden="1"/>
    </xf>
    <xf numFmtId="0" fontId="27" fillId="13" borderId="0" xfId="0" applyFont="1" applyFill="1" applyBorder="1" applyAlignment="1" applyProtection="1">
      <alignment horizontal="center" vertical="center"/>
      <protection hidden="1"/>
    </xf>
    <xf numFmtId="0" fontId="27" fillId="13" borderId="0" xfId="0" quotePrefix="1" applyFont="1" applyFill="1" applyBorder="1" applyAlignment="1" applyProtection="1">
      <alignment horizontal="center" vertical="center"/>
      <protection hidden="1"/>
    </xf>
    <xf numFmtId="0" fontId="20" fillId="13" borderId="0" xfId="0" applyFont="1" applyFill="1" applyBorder="1" applyAlignment="1" applyProtection="1">
      <alignment horizontal="center" vertical="center"/>
      <protection hidden="1"/>
    </xf>
    <xf numFmtId="0" fontId="10" fillId="14" borderId="0" xfId="0" applyFont="1" applyFill="1" applyBorder="1" applyAlignment="1" applyProtection="1">
      <alignment horizontal="center" vertical="center"/>
      <protection hidden="1"/>
    </xf>
    <xf numFmtId="0" fontId="27" fillId="15" borderId="0" xfId="0" applyFont="1" applyFill="1" applyBorder="1" applyAlignment="1" applyProtection="1">
      <alignment horizontal="center" vertical="center"/>
      <protection hidden="1"/>
    </xf>
    <xf numFmtId="0" fontId="27" fillId="15" borderId="0" xfId="0" quotePrefix="1" applyFont="1" applyFill="1" applyBorder="1" applyAlignment="1" applyProtection="1">
      <alignment horizontal="center" vertical="center"/>
      <protection hidden="1"/>
    </xf>
    <xf numFmtId="0" fontId="20" fillId="15" borderId="0" xfId="0" applyFont="1" applyFill="1" applyBorder="1" applyAlignment="1" applyProtection="1">
      <alignment horizontal="center" vertical="center"/>
      <protection hidden="1"/>
    </xf>
    <xf numFmtId="0" fontId="10" fillId="16" borderId="0" xfId="0" applyFont="1" applyFill="1" applyBorder="1" applyAlignment="1" applyProtection="1">
      <alignment horizontal="center" vertical="center"/>
      <protection hidden="1"/>
    </xf>
    <xf numFmtId="0" fontId="10" fillId="0" borderId="35" xfId="1" applyFont="1" applyFill="1" applyBorder="1" applyAlignment="1" applyProtection="1">
      <alignment horizontal="center" vertical="center"/>
      <protection hidden="1"/>
    </xf>
    <xf numFmtId="0" fontId="10" fillId="0" borderId="14" xfId="1" applyFont="1" applyFill="1" applyBorder="1" applyAlignment="1" applyProtection="1">
      <alignment horizontal="center" vertical="center"/>
      <protection hidden="1"/>
    </xf>
    <xf numFmtId="164" fontId="10" fillId="0" borderId="14" xfId="1" applyNumberFormat="1" applyFont="1" applyFill="1" applyBorder="1" applyAlignment="1" applyProtection="1">
      <alignment horizontal="right" vertical="center"/>
      <protection hidden="1"/>
    </xf>
    <xf numFmtId="0" fontId="10" fillId="0" borderId="14" xfId="1" applyFont="1" applyFill="1" applyBorder="1" applyAlignment="1" applyProtection="1">
      <alignment horizontal="right" vertical="center" indent="1"/>
      <protection hidden="1"/>
    </xf>
    <xf numFmtId="0" fontId="10" fillId="0" borderId="14" xfId="1" applyFont="1" applyFill="1" applyBorder="1" applyAlignment="1" applyProtection="1">
      <alignment horizontal="left" vertical="center" indent="1"/>
      <protection hidden="1"/>
    </xf>
    <xf numFmtId="0" fontId="10" fillId="0" borderId="14" xfId="1" applyFont="1" applyFill="1" applyBorder="1" applyAlignment="1" applyProtection="1">
      <alignment vertical="center"/>
      <protection hidden="1"/>
    </xf>
    <xf numFmtId="0" fontId="10" fillId="0" borderId="16" xfId="1" applyFont="1" applyFill="1" applyBorder="1" applyAlignment="1" applyProtection="1">
      <alignment vertical="center"/>
      <protection hidden="1"/>
    </xf>
    <xf numFmtId="0" fontId="20" fillId="0" borderId="18" xfId="1" applyFont="1" applyFill="1" applyBorder="1" applyAlignment="1" applyProtection="1">
      <alignment vertical="center"/>
      <protection hidden="1"/>
    </xf>
    <xf numFmtId="0" fontId="20" fillId="4" borderId="20" xfId="1" applyFont="1" applyFill="1" applyBorder="1" applyAlignment="1" applyProtection="1">
      <alignment vertical="center"/>
      <protection hidden="1"/>
    </xf>
    <xf numFmtId="0" fontId="27" fillId="17" borderId="0" xfId="0" applyFont="1" applyFill="1" applyBorder="1" applyAlignment="1" applyProtection="1">
      <alignment horizontal="center" vertical="center"/>
      <protection hidden="1"/>
    </xf>
    <xf numFmtId="0" fontId="27" fillId="17" borderId="0" xfId="0" quotePrefix="1" applyFont="1" applyFill="1" applyBorder="1" applyAlignment="1" applyProtection="1">
      <alignment horizontal="center" vertical="center"/>
      <protection hidden="1"/>
    </xf>
    <xf numFmtId="0" fontId="20" fillId="17" borderId="0" xfId="0" applyFont="1" applyFill="1" applyBorder="1" applyAlignment="1" applyProtection="1">
      <alignment horizontal="center" vertical="center"/>
      <protection hidden="1"/>
    </xf>
    <xf numFmtId="0" fontId="10" fillId="18" borderId="0" xfId="0" applyFont="1" applyFill="1" applyBorder="1" applyAlignment="1" applyProtection="1">
      <alignment horizontal="center" vertical="center"/>
      <protection hidden="1"/>
    </xf>
    <xf numFmtId="0" fontId="12" fillId="3" borderId="0" xfId="0" applyFont="1" applyFill="1" applyBorder="1" applyAlignment="1" applyProtection="1">
      <alignment vertical="center"/>
      <protection hidden="1"/>
    </xf>
    <xf numFmtId="0" fontId="12" fillId="3" borderId="0" xfId="0" applyFont="1" applyFill="1" applyBorder="1" applyAlignment="1" applyProtection="1">
      <alignment horizontal="center" vertical="center"/>
      <protection hidden="1"/>
    </xf>
    <xf numFmtId="0" fontId="12" fillId="19" borderId="0" xfId="0" applyFont="1" applyFill="1" applyBorder="1" applyAlignment="1" applyProtection="1">
      <alignment vertical="center"/>
      <protection hidden="1"/>
    </xf>
    <xf numFmtId="0" fontId="12" fillId="19" borderId="0" xfId="0" applyFont="1" applyFill="1" applyBorder="1" applyAlignment="1" applyProtection="1">
      <alignment horizontal="center" vertical="center"/>
      <protection hidden="1"/>
    </xf>
    <xf numFmtId="0" fontId="20" fillId="20" borderId="0" xfId="0" applyFont="1" applyFill="1" applyBorder="1" applyAlignment="1" applyProtection="1">
      <alignment horizontal="center" vertical="center"/>
      <protection hidden="1"/>
    </xf>
    <xf numFmtId="0" fontId="10" fillId="4" borderId="36" xfId="1" applyFont="1" applyFill="1" applyBorder="1" applyAlignment="1" applyProtection="1">
      <alignment horizontal="center" vertical="center"/>
      <protection hidden="1"/>
    </xf>
    <xf numFmtId="0" fontId="10" fillId="4" borderId="21" xfId="1" applyFont="1" applyFill="1" applyBorder="1" applyAlignment="1" applyProtection="1">
      <alignment horizontal="center" vertical="center"/>
      <protection hidden="1"/>
    </xf>
    <xf numFmtId="164" fontId="10" fillId="4" borderId="21" xfId="1" applyNumberFormat="1" applyFont="1" applyFill="1" applyBorder="1" applyAlignment="1" applyProtection="1">
      <alignment horizontal="right" vertical="center"/>
      <protection hidden="1"/>
    </xf>
    <xf numFmtId="0" fontId="10" fillId="4" borderId="21" xfId="1" applyFont="1" applyFill="1" applyBorder="1" applyAlignment="1" applyProtection="1">
      <alignment horizontal="right" vertical="center" indent="1"/>
      <protection hidden="1"/>
    </xf>
    <xf numFmtId="0" fontId="10" fillId="4" borderId="21" xfId="1" applyFont="1" applyFill="1" applyBorder="1" applyAlignment="1" applyProtection="1">
      <alignment horizontal="left" vertical="center" indent="1"/>
      <protection hidden="1"/>
    </xf>
    <xf numFmtId="0" fontId="10" fillId="4" borderId="21" xfId="1" applyFont="1" applyFill="1" applyBorder="1" applyAlignment="1" applyProtection="1">
      <alignment vertical="center"/>
      <protection hidden="1"/>
    </xf>
    <xf numFmtId="0" fontId="20" fillId="4" borderId="24" xfId="1" applyFont="1" applyFill="1" applyBorder="1" applyAlignment="1" applyProtection="1">
      <alignment vertical="center"/>
      <protection hidden="1"/>
    </xf>
    <xf numFmtId="0" fontId="26" fillId="2" borderId="4" xfId="1" applyFont="1" applyFill="1" applyBorder="1" applyAlignment="1" applyProtection="1">
      <alignment horizontal="right" vertical="center" indent="1"/>
      <protection hidden="1"/>
    </xf>
    <xf numFmtId="0" fontId="26" fillId="2" borderId="4" xfId="1" applyFont="1" applyFill="1" applyBorder="1" applyAlignment="1" applyProtection="1">
      <alignment horizontal="left" vertical="center" indent="1"/>
      <protection hidden="1"/>
    </xf>
    <xf numFmtId="0" fontId="28" fillId="0" borderId="0" xfId="0" applyFont="1" applyFill="1" applyBorder="1" applyAlignment="1" applyProtection="1">
      <alignment horizontal="center" vertical="center"/>
      <protection hidden="1"/>
    </xf>
    <xf numFmtId="0" fontId="20" fillId="0" borderId="9" xfId="1" applyFont="1" applyFill="1" applyBorder="1" applyAlignment="1" applyProtection="1">
      <alignment vertical="center"/>
      <protection hidden="1"/>
    </xf>
    <xf numFmtId="0" fontId="10" fillId="0" borderId="0" xfId="1" applyFont="1" applyFill="1" applyBorder="1" applyAlignment="1" applyProtection="1">
      <alignment horizontal="left" vertical="center" indent="1"/>
      <protection hidden="1"/>
    </xf>
    <xf numFmtId="0" fontId="10" fillId="0" borderId="10" xfId="1" applyFont="1" applyFill="1" applyBorder="1" applyProtection="1">
      <protection hidden="1"/>
    </xf>
    <xf numFmtId="0" fontId="10" fillId="0" borderId="16" xfId="1" applyFont="1" applyFill="1" applyBorder="1" applyProtection="1">
      <protection hidden="1"/>
    </xf>
    <xf numFmtId="0" fontId="10" fillId="4" borderId="6" xfId="1" applyFont="1" applyFill="1" applyBorder="1" applyAlignment="1" applyProtection="1">
      <alignment horizontal="center"/>
      <protection hidden="1"/>
    </xf>
    <xf numFmtId="0" fontId="10" fillId="4" borderId="6" xfId="1" applyFont="1" applyFill="1" applyBorder="1" applyProtection="1">
      <protection hidden="1"/>
    </xf>
    <xf numFmtId="0" fontId="10" fillId="4" borderId="10" xfId="1" applyFont="1" applyFill="1" applyBorder="1" applyAlignment="1" applyProtection="1">
      <alignment horizontal="center"/>
      <protection hidden="1"/>
    </xf>
    <xf numFmtId="0" fontId="10" fillId="4" borderId="10" xfId="1" applyFont="1" applyFill="1" applyBorder="1" applyProtection="1">
      <protection hidden="1"/>
    </xf>
    <xf numFmtId="0" fontId="10" fillId="4" borderId="14" xfId="1" applyFont="1" applyFill="1" applyBorder="1" applyAlignment="1" applyProtection="1">
      <alignment horizontal="center"/>
      <protection hidden="1"/>
    </xf>
    <xf numFmtId="0" fontId="10" fillId="4" borderId="16" xfId="1" applyFont="1" applyFill="1" applyBorder="1" applyProtection="1">
      <protection hidden="1"/>
    </xf>
    <xf numFmtId="0" fontId="10" fillId="0" borderId="6" xfId="1" applyFont="1" applyFill="1" applyBorder="1" applyAlignment="1" applyProtection="1">
      <alignment horizontal="center"/>
      <protection hidden="1"/>
    </xf>
    <xf numFmtId="0" fontId="10" fillId="0" borderId="6" xfId="1" applyFont="1" applyFill="1" applyBorder="1" applyProtection="1">
      <protection hidden="1"/>
    </xf>
    <xf numFmtId="0" fontId="10" fillId="0" borderId="14" xfId="1" applyFont="1" applyFill="1" applyBorder="1" applyAlignment="1" applyProtection="1">
      <alignment horizontal="center"/>
      <protection hidden="1"/>
    </xf>
    <xf numFmtId="0" fontId="10" fillId="4" borderId="3" xfId="1" applyFont="1" applyFill="1" applyBorder="1" applyAlignment="1" applyProtection="1">
      <alignment horizontal="center" vertical="center"/>
      <protection hidden="1"/>
    </xf>
    <xf numFmtId="0" fontId="10" fillId="4" borderId="4" xfId="1" applyFont="1" applyFill="1" applyBorder="1" applyAlignment="1" applyProtection="1">
      <alignment horizontal="center"/>
      <protection hidden="1"/>
    </xf>
    <xf numFmtId="164" fontId="10" fillId="4" borderId="4" xfId="1" applyNumberFormat="1" applyFont="1" applyFill="1" applyBorder="1" applyAlignment="1" applyProtection="1">
      <alignment horizontal="right" vertical="center"/>
      <protection hidden="1"/>
    </xf>
    <xf numFmtId="0" fontId="10" fillId="4" borderId="4" xfId="1" applyFont="1" applyFill="1" applyBorder="1" applyAlignment="1" applyProtection="1">
      <alignment horizontal="right" vertical="center" indent="1"/>
      <protection hidden="1"/>
    </xf>
    <xf numFmtId="0" fontId="10" fillId="4" borderId="4" xfId="1" applyFont="1" applyFill="1" applyBorder="1" applyAlignment="1" applyProtection="1">
      <alignment horizontal="left" vertical="center" indent="1"/>
      <protection hidden="1"/>
    </xf>
    <xf numFmtId="0" fontId="10" fillId="4" borderId="5" xfId="1" applyFont="1" applyFill="1" applyBorder="1" applyProtection="1">
      <protection hidden="1"/>
    </xf>
    <xf numFmtId="0" fontId="20" fillId="5" borderId="3" xfId="1" applyFont="1" applyFill="1" applyBorder="1" applyAlignment="1" applyProtection="1">
      <alignment horizontal="center" vertical="center"/>
      <protection hidden="1"/>
    </xf>
    <xf numFmtId="0" fontId="26" fillId="3" borderId="40" xfId="0" applyFont="1" applyFill="1" applyBorder="1" applyAlignment="1" applyProtection="1">
      <alignment vertical="center"/>
      <protection hidden="1"/>
    </xf>
    <xf numFmtId="0" fontId="26" fillId="3" borderId="31" xfId="0" applyFont="1" applyFill="1" applyBorder="1" applyAlignment="1" applyProtection="1">
      <alignment vertical="center"/>
      <protection hidden="1"/>
    </xf>
    <xf numFmtId="0" fontId="10" fillId="6" borderId="30" xfId="0" applyFont="1" applyFill="1" applyBorder="1" applyAlignment="1" applyProtection="1">
      <alignment horizontal="center" vertical="center"/>
      <protection hidden="1"/>
    </xf>
    <xf numFmtId="0" fontId="10" fillId="7" borderId="30" xfId="0" applyFont="1" applyFill="1" applyBorder="1" applyAlignment="1" applyProtection="1">
      <alignment horizontal="center" vertical="center"/>
      <protection hidden="1"/>
    </xf>
    <xf numFmtId="0" fontId="10" fillId="0" borderId="30" xfId="0" applyFont="1" applyBorder="1" applyAlignment="1" applyProtection="1">
      <alignment horizontal="center" vertical="center"/>
      <protection hidden="1"/>
    </xf>
    <xf numFmtId="0" fontId="10" fillId="8" borderId="30" xfId="0" applyFont="1" applyFill="1" applyBorder="1" applyAlignment="1" applyProtection="1">
      <alignment horizontal="center" vertical="center"/>
      <protection hidden="1"/>
    </xf>
    <xf numFmtId="0" fontId="10" fillId="9" borderId="30" xfId="0" applyFont="1" applyFill="1" applyBorder="1" applyAlignment="1" applyProtection="1">
      <alignment horizontal="center" vertical="center"/>
      <protection hidden="1"/>
    </xf>
    <xf numFmtId="0" fontId="10" fillId="10" borderId="30" xfId="0" applyFont="1" applyFill="1" applyBorder="1" applyAlignment="1" applyProtection="1">
      <alignment horizontal="center" vertical="center"/>
      <protection hidden="1"/>
    </xf>
    <xf numFmtId="0" fontId="10" fillId="12" borderId="30" xfId="0" applyFont="1" applyFill="1" applyBorder="1" applyAlignment="1" applyProtection="1">
      <alignment horizontal="center" vertical="center"/>
      <protection hidden="1"/>
    </xf>
    <xf numFmtId="0" fontId="10" fillId="13" borderId="30" xfId="0" applyFont="1" applyFill="1" applyBorder="1" applyAlignment="1" applyProtection="1">
      <alignment horizontal="center" vertical="center"/>
      <protection hidden="1"/>
    </xf>
    <xf numFmtId="0" fontId="10" fillId="14" borderId="30" xfId="0" applyFont="1" applyFill="1" applyBorder="1" applyAlignment="1" applyProtection="1">
      <alignment horizontal="center" vertical="center"/>
      <protection hidden="1"/>
    </xf>
    <xf numFmtId="0" fontId="10" fillId="15" borderId="30" xfId="0" applyFont="1" applyFill="1" applyBorder="1" applyAlignment="1" applyProtection="1">
      <alignment horizontal="center" vertical="center"/>
      <protection hidden="1"/>
    </xf>
    <xf numFmtId="0" fontId="10" fillId="16" borderId="30" xfId="0" applyFont="1" applyFill="1" applyBorder="1" applyAlignment="1" applyProtection="1">
      <alignment horizontal="center" vertical="center"/>
      <protection hidden="1"/>
    </xf>
    <xf numFmtId="0" fontId="10" fillId="17" borderId="30" xfId="0" applyFont="1" applyFill="1" applyBorder="1" applyAlignment="1" applyProtection="1">
      <alignment horizontal="center" vertical="center"/>
      <protection hidden="1"/>
    </xf>
    <xf numFmtId="0" fontId="10" fillId="18" borderId="30" xfId="0" applyFont="1" applyFill="1" applyBorder="1" applyAlignment="1" applyProtection="1">
      <alignment horizontal="center" vertical="center"/>
      <protection hidden="1"/>
    </xf>
    <xf numFmtId="0" fontId="10" fillId="0" borderId="30" xfId="1" applyFont="1" applyFill="1" applyBorder="1" applyAlignment="1" applyProtection="1">
      <alignment vertical="center"/>
      <protection hidden="1"/>
    </xf>
    <xf numFmtId="0" fontId="10" fillId="0" borderId="29" xfId="1" applyFont="1" applyFill="1" applyBorder="1" applyAlignment="1" applyProtection="1">
      <alignment vertical="center"/>
      <protection hidden="1"/>
    </xf>
    <xf numFmtId="0" fontId="26" fillId="3" borderId="30" xfId="0" applyFont="1" applyFill="1" applyBorder="1" applyAlignment="1" applyProtection="1">
      <alignment horizontal="left" vertical="center"/>
      <protection hidden="1"/>
    </xf>
    <xf numFmtId="0" fontId="12" fillId="3" borderId="29" xfId="0" applyFont="1" applyFill="1" applyBorder="1" applyAlignment="1" applyProtection="1">
      <alignment horizontal="left" vertical="center" indent="1"/>
      <protection hidden="1"/>
    </xf>
    <xf numFmtId="0" fontId="12" fillId="19" borderId="30" xfId="0" applyFont="1" applyFill="1" applyBorder="1" applyAlignment="1" applyProtection="1">
      <alignment vertical="center"/>
      <protection hidden="1"/>
    </xf>
    <xf numFmtId="0" fontId="12" fillId="19" borderId="29" xfId="0" applyFont="1" applyFill="1" applyBorder="1" applyAlignment="1" applyProtection="1">
      <alignment horizontal="center" vertical="center"/>
      <protection hidden="1"/>
    </xf>
    <xf numFmtId="0" fontId="20" fillId="20" borderId="30" xfId="0" applyFont="1" applyFill="1" applyBorder="1" applyAlignment="1" applyProtection="1">
      <alignment horizontal="center" vertical="center"/>
      <protection hidden="1"/>
    </xf>
    <xf numFmtId="0" fontId="20" fillId="21" borderId="29" xfId="0" applyFont="1" applyFill="1" applyBorder="1" applyAlignment="1" applyProtection="1">
      <alignment horizontal="center" vertical="center"/>
      <protection hidden="1"/>
    </xf>
    <xf numFmtId="0" fontId="28" fillId="0" borderId="30" xfId="0" applyFont="1" applyFill="1" applyBorder="1" applyAlignment="1" applyProtection="1">
      <alignment horizontal="center" vertical="center"/>
      <protection hidden="1"/>
    </xf>
    <xf numFmtId="0" fontId="28" fillId="0" borderId="29" xfId="0" applyFont="1" applyFill="1" applyBorder="1" applyAlignment="1" applyProtection="1">
      <alignment horizontal="center" vertical="center"/>
      <protection hidden="1"/>
    </xf>
    <xf numFmtId="0" fontId="28" fillId="0" borderId="42" xfId="0" applyFont="1" applyFill="1" applyBorder="1" applyAlignment="1" applyProtection="1">
      <alignment horizontal="center" vertical="center"/>
      <protection hidden="1"/>
    </xf>
    <xf numFmtId="0" fontId="28" fillId="0" borderId="2" xfId="0" applyFont="1" applyFill="1" applyBorder="1" applyAlignment="1" applyProtection="1">
      <alignment horizontal="center" vertical="center"/>
      <protection hidden="1"/>
    </xf>
    <xf numFmtId="0" fontId="28" fillId="0" borderId="43" xfId="0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/>
    <xf numFmtId="0" fontId="6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7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17" fillId="0" borderId="0" xfId="0" applyFont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18" fillId="0" borderId="0" xfId="0" applyFont="1" applyAlignment="1" applyProtection="1">
      <alignment horizontal="right"/>
      <protection hidden="1"/>
    </xf>
    <xf numFmtId="0" fontId="17" fillId="0" borderId="0" xfId="0" applyFont="1" applyAlignment="1" applyProtection="1">
      <alignment horizontal="left" vertical="center"/>
      <protection hidden="1"/>
    </xf>
    <xf numFmtId="0" fontId="23" fillId="0" borderId="0" xfId="6" applyFont="1" applyFill="1" applyBorder="1" applyAlignment="1" applyProtection="1">
      <alignment vertical="center" wrapText="1"/>
      <protection hidden="1"/>
    </xf>
    <xf numFmtId="0" fontId="21" fillId="0" borderId="0" xfId="0" applyFont="1" applyAlignment="1" applyProtection="1">
      <alignment horizontal="right"/>
      <protection hidden="1"/>
    </xf>
    <xf numFmtId="0" fontId="15" fillId="22" borderId="0" xfId="2" applyBorder="1" applyAlignment="1" applyProtection="1">
      <alignment vertical="center" shrinkToFit="1"/>
      <protection hidden="1"/>
    </xf>
    <xf numFmtId="0" fontId="9" fillId="0" borderId="0" xfId="0" applyFont="1" applyFill="1" applyProtection="1">
      <protection hidden="1"/>
    </xf>
    <xf numFmtId="0" fontId="23" fillId="0" borderId="0" xfId="6" applyFont="1" applyFill="1" applyBorder="1" applyAlignment="1" applyProtection="1">
      <alignment horizontal="center" vertical="center" wrapText="1"/>
      <protection hidden="1"/>
    </xf>
    <xf numFmtId="0" fontId="15" fillId="0" borderId="0" xfId="7" applyFill="1" applyBorder="1" applyAlignment="1" applyProtection="1">
      <alignment horizontal="center"/>
      <protection hidden="1"/>
    </xf>
    <xf numFmtId="0" fontId="11" fillId="0" borderId="0" xfId="6" applyFont="1" applyFill="1" applyBorder="1" applyAlignment="1" applyProtection="1">
      <alignment horizontal="center"/>
      <protection hidden="1"/>
    </xf>
    <xf numFmtId="0" fontId="3" fillId="0" borderId="0" xfId="6" applyFont="1" applyFill="1" applyBorder="1" applyAlignment="1" applyProtection="1">
      <alignment horizontal="center"/>
      <protection hidden="1"/>
    </xf>
    <xf numFmtId="0" fontId="10" fillId="0" borderId="41" xfId="0" applyFont="1" applyFill="1" applyBorder="1" applyAlignment="1" applyProtection="1">
      <alignment horizontal="center" vertical="center"/>
      <protection hidden="1"/>
    </xf>
    <xf numFmtId="0" fontId="10" fillId="0" borderId="29" xfId="0" applyFont="1" applyFill="1" applyBorder="1" applyAlignment="1" applyProtection="1">
      <alignment horizontal="center" vertical="center"/>
      <protection hidden="1"/>
    </xf>
    <xf numFmtId="0" fontId="12" fillId="0" borderId="0" xfId="1" applyFont="1" applyBorder="1" applyAlignment="1" applyProtection="1">
      <alignment horizontal="left" vertical="center" indent="1"/>
      <protection hidden="1"/>
    </xf>
    <xf numFmtId="0" fontId="10" fillId="0" borderId="10" xfId="1" applyFont="1" applyFill="1" applyBorder="1" applyAlignment="1" applyProtection="1">
      <alignment horizontal="right" indent="1"/>
      <protection hidden="1"/>
    </xf>
    <xf numFmtId="0" fontId="10" fillId="0" borderId="10" xfId="1" applyFont="1" applyFill="1" applyBorder="1" applyAlignment="1" applyProtection="1">
      <alignment horizontal="left" indent="1"/>
      <protection hidden="1"/>
    </xf>
    <xf numFmtId="0" fontId="10" fillId="0" borderId="10" xfId="1" applyFont="1" applyFill="1" applyBorder="1" applyAlignment="1" applyProtection="1">
      <alignment horizontal="center"/>
      <protection hidden="1"/>
    </xf>
    <xf numFmtId="0" fontId="10" fillId="0" borderId="14" xfId="1" applyFont="1" applyFill="1" applyBorder="1" applyAlignment="1" applyProtection="1">
      <alignment horizontal="right" indent="1"/>
      <protection hidden="1"/>
    </xf>
    <xf numFmtId="0" fontId="10" fillId="0" borderId="14" xfId="1" applyFont="1" applyFill="1" applyBorder="1" applyAlignment="1" applyProtection="1">
      <alignment horizontal="left" indent="1"/>
      <protection hidden="1"/>
    </xf>
    <xf numFmtId="0" fontId="20" fillId="0" borderId="0" xfId="4" applyFont="1" applyFill="1" applyBorder="1" applyAlignment="1" applyProtection="1">
      <alignment horizontal="center" vertical="center" wrapText="1"/>
      <protection hidden="1"/>
    </xf>
    <xf numFmtId="0" fontId="24" fillId="0" borderId="0" xfId="4" applyFont="1" applyFill="1" applyBorder="1" applyAlignment="1" applyProtection="1">
      <alignment horizontal="center" vertical="center" wrapText="1"/>
      <protection hidden="1"/>
    </xf>
    <xf numFmtId="0" fontId="25" fillId="0" borderId="0" xfId="0" applyFont="1" applyBorder="1" applyAlignment="1" applyProtection="1">
      <alignment horizontal="left" vertical="center" wrapText="1"/>
      <protection hidden="1"/>
    </xf>
    <xf numFmtId="0" fontId="0" fillId="0" borderId="0" xfId="0" applyProtection="1">
      <protection hidden="1"/>
    </xf>
    <xf numFmtId="0" fontId="10" fillId="6" borderId="7" xfId="1" applyFont="1" applyFill="1" applyBorder="1" applyAlignment="1" applyProtection="1">
      <alignment horizontal="center" vertical="center"/>
      <protection locked="0"/>
    </xf>
    <xf numFmtId="0" fontId="10" fillId="6" borderId="11" xfId="1" applyFont="1" applyFill="1" applyBorder="1" applyAlignment="1" applyProtection="1">
      <alignment horizontal="center" vertical="center"/>
      <protection locked="0"/>
    </xf>
    <xf numFmtId="0" fontId="10" fillId="6" borderId="15" xfId="1" applyFont="1" applyFill="1" applyBorder="1" applyAlignment="1" applyProtection="1">
      <alignment horizontal="center" vertical="center"/>
      <protection locked="0"/>
    </xf>
    <xf numFmtId="0" fontId="10" fillId="6" borderId="25" xfId="1" applyFont="1" applyFill="1" applyBorder="1" applyAlignment="1" applyProtection="1">
      <alignment horizontal="center" vertical="center"/>
      <protection locked="0"/>
    </xf>
    <xf numFmtId="0" fontId="31" fillId="2" borderId="3" xfId="1" applyFont="1" applyFill="1" applyBorder="1" applyAlignment="1" applyProtection="1">
      <alignment vertical="center"/>
      <protection hidden="1"/>
    </xf>
    <xf numFmtId="0" fontId="0" fillId="7" borderId="0" xfId="0" applyFill="1" applyBorder="1" applyAlignment="1" applyProtection="1">
      <alignment horizontal="center"/>
      <protection hidden="1"/>
    </xf>
    <xf numFmtId="0" fontId="0" fillId="0" borderId="0" xfId="0" applyBorder="1" applyAlignment="1" applyProtection="1">
      <alignment horizontal="center"/>
      <protection hidden="1"/>
    </xf>
    <xf numFmtId="0" fontId="10" fillId="0" borderId="0" xfId="1" applyFont="1" applyFill="1" applyBorder="1" applyAlignment="1" applyProtection="1">
      <alignment horizontal="center"/>
      <protection hidden="1"/>
    </xf>
    <xf numFmtId="0" fontId="32" fillId="0" borderId="0" xfId="1" applyFont="1" applyFill="1" applyBorder="1" applyProtection="1">
      <protection hidden="1"/>
    </xf>
    <xf numFmtId="1" fontId="10" fillId="0" borderId="0" xfId="1" applyNumberFormat="1" applyFont="1" applyFill="1" applyBorder="1" applyProtection="1">
      <protection hidden="1"/>
    </xf>
    <xf numFmtId="0" fontId="10" fillId="0" borderId="0" xfId="1" applyFont="1" applyFill="1" applyBorder="1" applyAlignment="1">
      <alignment vertical="center" wrapText="1"/>
    </xf>
    <xf numFmtId="0" fontId="10" fillId="0" borderId="0" xfId="1" applyFont="1" applyFill="1" applyBorder="1" applyAlignment="1">
      <alignment horizontal="center" vertical="center"/>
    </xf>
    <xf numFmtId="0" fontId="10" fillId="0" borderId="0" xfId="1" applyFont="1" applyFill="1" applyBorder="1"/>
    <xf numFmtId="0" fontId="10" fillId="0" borderId="0" xfId="1" applyFont="1" applyFill="1" applyBorder="1" applyAlignment="1">
      <alignment horizontal="center"/>
    </xf>
    <xf numFmtId="0" fontId="32" fillId="0" borderId="0" xfId="1" applyFont="1" applyFill="1" applyBorder="1" applyAlignment="1" applyProtection="1">
      <alignment horizontal="center"/>
      <protection hidden="1"/>
    </xf>
    <xf numFmtId="0" fontId="3" fillId="0" borderId="0" xfId="6" applyFont="1" applyFill="1" applyBorder="1" applyAlignment="1" applyProtection="1">
      <protection hidden="1"/>
    </xf>
    <xf numFmtId="0" fontId="29" fillId="0" borderId="0" xfId="6" applyFont="1" applyFill="1" applyBorder="1" applyAlignment="1" applyProtection="1">
      <alignment horizontal="right"/>
      <protection hidden="1"/>
    </xf>
    <xf numFmtId="0" fontId="9" fillId="0" borderId="29" xfId="1" applyFont="1" applyFill="1" applyBorder="1" applyProtection="1">
      <protection hidden="1"/>
    </xf>
    <xf numFmtId="0" fontId="10" fillId="6" borderId="7" xfId="1" applyFont="1" applyFill="1" applyBorder="1" applyAlignment="1" applyProtection="1">
      <alignment horizontal="center" vertical="center"/>
      <protection hidden="1"/>
    </xf>
    <xf numFmtId="0" fontId="10" fillId="6" borderId="11" xfId="1" applyFont="1" applyFill="1" applyBorder="1" applyAlignment="1" applyProtection="1">
      <alignment horizontal="center" vertical="center"/>
      <protection hidden="1"/>
    </xf>
    <xf numFmtId="0" fontId="10" fillId="6" borderId="15" xfId="1" applyFont="1" applyFill="1" applyBorder="1" applyAlignment="1" applyProtection="1">
      <alignment horizontal="center" vertical="center"/>
      <protection hidden="1"/>
    </xf>
    <xf numFmtId="0" fontId="10" fillId="6" borderId="22" xfId="1" applyFont="1" applyFill="1" applyBorder="1" applyAlignment="1" applyProtection="1">
      <alignment horizontal="center" vertical="center"/>
      <protection hidden="1"/>
    </xf>
    <xf numFmtId="0" fontId="2" fillId="0" borderId="0" xfId="1" applyFont="1" applyFill="1" applyBorder="1" applyAlignment="1" applyProtection="1">
      <alignment vertical="center"/>
      <protection hidden="1"/>
    </xf>
    <xf numFmtId="0" fontId="2" fillId="0" borderId="0" xfId="1" applyFont="1" applyFill="1" applyBorder="1" applyProtection="1">
      <protection hidden="1"/>
    </xf>
    <xf numFmtId="0" fontId="20" fillId="5" borderId="19" xfId="1" applyFont="1" applyFill="1" applyBorder="1" applyAlignment="1" applyProtection="1">
      <alignment horizontal="center" vertical="center"/>
      <protection hidden="1"/>
    </xf>
    <xf numFmtId="0" fontId="20" fillId="5" borderId="12" xfId="1" applyFont="1" applyFill="1" applyBorder="1" applyAlignment="1" applyProtection="1">
      <alignment horizontal="center" vertical="center"/>
      <protection hidden="1"/>
    </xf>
    <xf numFmtId="0" fontId="20" fillId="5" borderId="17" xfId="1" applyFont="1" applyFill="1" applyBorder="1" applyAlignment="1" applyProtection="1">
      <alignment horizontal="center" vertical="center"/>
      <protection hidden="1"/>
    </xf>
    <xf numFmtId="0" fontId="20" fillId="11" borderId="19" xfId="1" applyFont="1" applyFill="1" applyBorder="1" applyAlignment="1" applyProtection="1">
      <alignment horizontal="center" vertical="center"/>
      <protection hidden="1"/>
    </xf>
    <xf numFmtId="0" fontId="20" fillId="11" borderId="17" xfId="1" applyFont="1" applyFill="1" applyBorder="1" applyAlignment="1" applyProtection="1">
      <alignment horizontal="center" vertical="center"/>
      <protection hidden="1"/>
    </xf>
    <xf numFmtId="0" fontId="20" fillId="20" borderId="0" xfId="0" applyFont="1" applyFill="1" applyBorder="1" applyAlignment="1" applyProtection="1">
      <alignment horizontal="left" vertical="center"/>
      <protection hidden="1"/>
    </xf>
    <xf numFmtId="0" fontId="28" fillId="0" borderId="0" xfId="0" applyFont="1" applyFill="1" applyBorder="1" applyAlignment="1" applyProtection="1">
      <alignment horizontal="left" vertical="center"/>
      <protection hidden="1"/>
    </xf>
    <xf numFmtId="0" fontId="20" fillId="11" borderId="8" xfId="1" applyFont="1" applyFill="1" applyBorder="1" applyAlignment="1" applyProtection="1">
      <alignment horizontal="center" vertical="center"/>
      <protection hidden="1"/>
    </xf>
    <xf numFmtId="0" fontId="20" fillId="11" borderId="12" xfId="1" applyFont="1" applyFill="1" applyBorder="1" applyAlignment="1" applyProtection="1">
      <alignment horizontal="center" vertical="center"/>
      <protection hidden="1"/>
    </xf>
    <xf numFmtId="0" fontId="28" fillId="0" borderId="2" xfId="0" applyFont="1" applyFill="1" applyBorder="1" applyAlignment="1" applyProtection="1">
      <alignment horizontal="left" vertical="center"/>
      <protection hidden="1"/>
    </xf>
    <xf numFmtId="0" fontId="20" fillId="5" borderId="23" xfId="1" applyFont="1" applyFill="1" applyBorder="1" applyAlignment="1" applyProtection="1">
      <alignment horizontal="center" vertical="center"/>
      <protection hidden="1"/>
    </xf>
    <xf numFmtId="0" fontId="26" fillId="2" borderId="30" xfId="0" applyFont="1" applyFill="1" applyBorder="1" applyAlignment="1" applyProtection="1">
      <alignment horizontal="left" vertical="center"/>
      <protection hidden="1"/>
    </xf>
    <xf numFmtId="0" fontId="26" fillId="2" borderId="0" xfId="0" applyFont="1" applyFill="1" applyBorder="1" applyAlignment="1" applyProtection="1">
      <alignment horizontal="left" vertical="center"/>
      <protection hidden="1"/>
    </xf>
    <xf numFmtId="0" fontId="27" fillId="17" borderId="0" xfId="0" applyFont="1" applyFill="1" applyBorder="1" applyAlignment="1" applyProtection="1">
      <alignment horizontal="left" vertical="center"/>
      <protection hidden="1"/>
    </xf>
    <xf numFmtId="0" fontId="20" fillId="17" borderId="0" xfId="0" applyFont="1" applyFill="1" applyBorder="1" applyAlignment="1" applyProtection="1">
      <alignment horizontal="left" vertical="center"/>
      <protection hidden="1"/>
    </xf>
    <xf numFmtId="0" fontId="10" fillId="18" borderId="0" xfId="0" applyFont="1" applyFill="1" applyBorder="1" applyAlignment="1" applyProtection="1">
      <alignment horizontal="left" vertical="center"/>
      <protection hidden="1"/>
    </xf>
    <xf numFmtId="0" fontId="10" fillId="0" borderId="0" xfId="0" applyFont="1" applyBorder="1" applyAlignment="1" applyProtection="1">
      <alignment horizontal="left" vertical="center"/>
      <protection hidden="1"/>
    </xf>
    <xf numFmtId="0" fontId="22" fillId="23" borderId="37" xfId="3" applyFont="1" applyBorder="1" applyAlignment="1" applyProtection="1">
      <alignment horizontal="center" vertical="center"/>
      <protection hidden="1"/>
    </xf>
    <xf numFmtId="0" fontId="22" fillId="23" borderId="32" xfId="3" applyFont="1" applyBorder="1" applyAlignment="1" applyProtection="1">
      <alignment horizontal="center" vertical="center"/>
      <protection hidden="1"/>
    </xf>
    <xf numFmtId="0" fontId="22" fillId="23" borderId="38" xfId="3" applyFont="1" applyBorder="1" applyAlignment="1" applyProtection="1">
      <alignment horizontal="center" vertical="center"/>
      <protection hidden="1"/>
    </xf>
    <xf numFmtId="0" fontId="30" fillId="29" borderId="0" xfId="8" applyFont="1" applyFill="1" applyBorder="1" applyAlignment="1" applyProtection="1">
      <alignment horizontal="center" vertical="center" wrapText="1"/>
      <protection hidden="1"/>
    </xf>
    <xf numFmtId="0" fontId="30" fillId="29" borderId="39" xfId="8" applyFont="1" applyFill="1" applyBorder="1" applyAlignment="1" applyProtection="1">
      <alignment horizontal="center" vertical="center" wrapText="1"/>
      <protection hidden="1"/>
    </xf>
    <xf numFmtId="0" fontId="16" fillId="22" borderId="0" xfId="2" applyFont="1" applyBorder="1" applyAlignment="1" applyProtection="1">
      <alignment horizontal="center" vertical="center" wrapText="1" shrinkToFit="1"/>
      <protection hidden="1"/>
    </xf>
    <xf numFmtId="0" fontId="15" fillId="22" borderId="0" xfId="2" applyBorder="1" applyAlignment="1" applyProtection="1">
      <alignment horizontal="center" vertical="center" wrapText="1" shrinkToFit="1"/>
      <protection hidden="1"/>
    </xf>
    <xf numFmtId="0" fontId="19" fillId="0" borderId="26" xfId="0" applyFont="1" applyBorder="1" applyAlignment="1" applyProtection="1">
      <alignment horizontal="center"/>
      <protection hidden="1"/>
    </xf>
    <xf numFmtId="0" fontId="19" fillId="0" borderId="27" xfId="0" applyFont="1" applyBorder="1" applyAlignment="1" applyProtection="1">
      <alignment horizontal="center"/>
      <protection hidden="1"/>
    </xf>
    <xf numFmtId="0" fontId="19" fillId="0" borderId="28" xfId="0" applyFont="1" applyBorder="1" applyAlignment="1" applyProtection="1">
      <alignment horizontal="center"/>
      <protection hidden="1"/>
    </xf>
    <xf numFmtId="0" fontId="20" fillId="0" borderId="27" xfId="0" applyFont="1" applyBorder="1" applyAlignment="1" applyProtection="1">
      <alignment horizontal="center"/>
      <protection hidden="1"/>
    </xf>
    <xf numFmtId="0" fontId="20" fillId="0" borderId="28" xfId="0" applyFont="1" applyBorder="1" applyAlignment="1" applyProtection="1">
      <alignment horizontal="center"/>
      <protection hidden="1"/>
    </xf>
    <xf numFmtId="0" fontId="3" fillId="27" borderId="40" xfId="7" applyFont="1" applyBorder="1" applyAlignment="1" applyProtection="1">
      <alignment horizontal="left"/>
      <protection locked="0" hidden="1"/>
    </xf>
    <xf numFmtId="0" fontId="3" fillId="27" borderId="31" xfId="7" applyFont="1" applyBorder="1" applyAlignment="1" applyProtection="1">
      <alignment horizontal="left"/>
      <protection locked="0" hidden="1"/>
    </xf>
    <xf numFmtId="0" fontId="3" fillId="27" borderId="41" xfId="7" applyFont="1" applyBorder="1" applyAlignment="1" applyProtection="1">
      <alignment horizontal="left"/>
      <protection locked="0" hidden="1"/>
    </xf>
    <xf numFmtId="0" fontId="3" fillId="30" borderId="31" xfId="7" applyFont="1" applyFill="1" applyBorder="1" applyAlignment="1" applyProtection="1">
      <alignment horizontal="left"/>
      <protection hidden="1"/>
    </xf>
    <xf numFmtId="0" fontId="3" fillId="30" borderId="41" xfId="7" applyFont="1" applyFill="1" applyBorder="1" applyAlignment="1" applyProtection="1">
      <alignment horizontal="left"/>
      <protection hidden="1"/>
    </xf>
    <xf numFmtId="0" fontId="26" fillId="3" borderId="4" xfId="1" applyFont="1" applyFill="1" applyBorder="1" applyAlignment="1" applyProtection="1">
      <alignment horizontal="center" vertical="center"/>
      <protection hidden="1"/>
    </xf>
    <xf numFmtId="0" fontId="20" fillId="5" borderId="8" xfId="1" applyFont="1" applyFill="1" applyBorder="1" applyAlignment="1" applyProtection="1">
      <alignment horizontal="center" vertical="center"/>
      <protection hidden="1"/>
    </xf>
    <xf numFmtId="0" fontId="27" fillId="6" borderId="0" xfId="0" applyFont="1" applyFill="1" applyBorder="1" applyAlignment="1" applyProtection="1">
      <alignment horizontal="left" vertical="center"/>
      <protection hidden="1"/>
    </xf>
    <xf numFmtId="0" fontId="20" fillId="6" borderId="0" xfId="0" applyFont="1" applyFill="1" applyBorder="1" applyAlignment="1" applyProtection="1">
      <alignment horizontal="left" vertical="center"/>
      <protection hidden="1"/>
    </xf>
    <xf numFmtId="0" fontId="10" fillId="7" borderId="0" xfId="0" applyFont="1" applyFill="1" applyBorder="1" applyAlignment="1" applyProtection="1">
      <alignment horizontal="left" vertical="center"/>
      <protection hidden="1"/>
    </xf>
    <xf numFmtId="0" fontId="20" fillId="10" borderId="0" xfId="0" applyFont="1" applyFill="1" applyBorder="1" applyAlignment="1" applyProtection="1">
      <alignment horizontal="left" vertical="center"/>
      <protection hidden="1"/>
    </xf>
    <xf numFmtId="0" fontId="20" fillId="13" borderId="0" xfId="0" applyFont="1" applyFill="1" applyBorder="1" applyAlignment="1" applyProtection="1">
      <alignment horizontal="left" vertical="center"/>
      <protection hidden="1"/>
    </xf>
    <xf numFmtId="0" fontId="10" fillId="9" borderId="0" xfId="0" applyFont="1" applyFill="1" applyBorder="1" applyAlignment="1" applyProtection="1">
      <alignment horizontal="left" vertical="center"/>
      <protection hidden="1"/>
    </xf>
    <xf numFmtId="0" fontId="20" fillId="15" borderId="0" xfId="0" applyFont="1" applyFill="1" applyBorder="1" applyAlignment="1" applyProtection="1">
      <alignment horizontal="left" vertical="center"/>
      <protection hidden="1"/>
    </xf>
    <xf numFmtId="0" fontId="10" fillId="12" borderId="0" xfId="0" applyFont="1" applyFill="1" applyBorder="1" applyAlignment="1" applyProtection="1">
      <alignment horizontal="left" vertical="center"/>
      <protection hidden="1"/>
    </xf>
    <xf numFmtId="0" fontId="27" fillId="10" borderId="0" xfId="0" applyFont="1" applyFill="1" applyBorder="1" applyAlignment="1" applyProtection="1">
      <alignment horizontal="left" vertical="center"/>
      <protection hidden="1"/>
    </xf>
    <xf numFmtId="0" fontId="10" fillId="14" borderId="0" xfId="0" applyFont="1" applyFill="1" applyBorder="1" applyAlignment="1" applyProtection="1">
      <alignment horizontal="left" vertical="center"/>
      <protection hidden="1"/>
    </xf>
    <xf numFmtId="0" fontId="27" fillId="13" borderId="0" xfId="0" applyFont="1" applyFill="1" applyBorder="1" applyAlignment="1" applyProtection="1">
      <alignment horizontal="left" vertical="center"/>
      <protection hidden="1"/>
    </xf>
    <xf numFmtId="0" fontId="27" fillId="15" borderId="0" xfId="0" applyFont="1" applyFill="1" applyBorder="1" applyAlignment="1" applyProtection="1">
      <alignment horizontal="left" vertical="center"/>
      <protection hidden="1"/>
    </xf>
    <xf numFmtId="0" fontId="10" fillId="16" borderId="0" xfId="0" applyFont="1" applyFill="1" applyBorder="1" applyAlignment="1" applyProtection="1">
      <alignment horizontal="left" vertical="center"/>
      <protection hidden="1"/>
    </xf>
    <xf numFmtId="0" fontId="3" fillId="30" borderId="0" xfId="7" applyFont="1" applyFill="1" applyBorder="1" applyAlignment="1" applyProtection="1">
      <alignment horizontal="left"/>
      <protection hidden="1"/>
    </xf>
    <xf numFmtId="0" fontId="3" fillId="30" borderId="29" xfId="7" applyFont="1" applyFill="1" applyBorder="1" applyAlignment="1" applyProtection="1">
      <alignment horizontal="left"/>
      <protection hidden="1"/>
    </xf>
    <xf numFmtId="0" fontId="1" fillId="25" borderId="0" xfId="5" applyFont="1" applyBorder="1" applyAlignment="1" applyProtection="1">
      <alignment horizontal="center"/>
      <protection hidden="1"/>
    </xf>
    <xf numFmtId="0" fontId="27" fillId="8" borderId="0" xfId="0" applyFont="1" applyFill="1" applyBorder="1" applyAlignment="1" applyProtection="1">
      <alignment horizontal="left" vertical="center"/>
      <protection hidden="1"/>
    </xf>
    <xf numFmtId="0" fontId="20" fillId="8" borderId="0" xfId="0" applyFont="1" applyFill="1" applyBorder="1" applyAlignment="1" applyProtection="1">
      <alignment horizontal="left" vertical="center"/>
      <protection hidden="1"/>
    </xf>
    <xf numFmtId="0" fontId="3" fillId="30" borderId="0" xfId="6" applyFont="1" applyFill="1" applyBorder="1" applyAlignment="1" applyProtection="1">
      <alignment horizontal="center"/>
      <protection hidden="1"/>
    </xf>
    <xf numFmtId="0" fontId="3" fillId="30" borderId="29" xfId="6" applyFont="1" applyFill="1" applyBorder="1" applyAlignment="1" applyProtection="1">
      <alignment horizontal="center"/>
      <protection hidden="1"/>
    </xf>
    <xf numFmtId="0" fontId="0" fillId="20" borderId="0" xfId="0" applyFill="1" applyBorder="1" applyAlignment="1" applyProtection="1">
      <alignment horizontal="center"/>
      <protection hidden="1"/>
    </xf>
    <xf numFmtId="0" fontId="0" fillId="0" borderId="0" xfId="0" applyFill="1" applyBorder="1" applyAlignment="1">
      <alignment horizontal="left" vertical="top" wrapText="1"/>
    </xf>
  </cellXfs>
  <cellStyles count="9">
    <cellStyle name="20% - Accent1" xfId="2" builtinId="30"/>
    <cellStyle name="20% - Accent6" xfId="7" builtinId="50"/>
    <cellStyle name="40% - Accent1" xfId="3" builtinId="31"/>
    <cellStyle name="40% - Accent2" xfId="4" builtinId="35"/>
    <cellStyle name="40% - Accent4" xfId="6" builtinId="43"/>
    <cellStyle name="40% - Accent6" xfId="8" builtinId="51"/>
    <cellStyle name="Accent4" xfId="5" builtinId="41"/>
    <cellStyle name="Normal" xfId="0" builtinId="0"/>
    <cellStyle name="Normal 2" xfId="1" xr:uid="{00000000-0005-0000-0000-000002000000}"/>
  </cellStyles>
  <dxfs count="16"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theme="6" tint="-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8" tint="-0.499984740745262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theme="2" tint="-0.499984740745262"/>
        </patternFill>
      </fill>
    </dxf>
    <dxf>
      <font>
        <b/>
        <i val="0"/>
      </font>
    </dxf>
    <dxf>
      <font>
        <b val="0"/>
        <i/>
        <color theme="1" tint="0.499984740745262"/>
      </font>
    </dxf>
    <dxf>
      <font>
        <b/>
        <i val="0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/>
        <i val="0"/>
      </font>
    </dxf>
    <dxf>
      <font>
        <b/>
        <i val="0"/>
      </font>
    </dxf>
    <dxf>
      <font>
        <b val="0"/>
        <i/>
        <color theme="1" tint="0.499984740745262"/>
      </font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2</xdr:row>
      <xdr:rowOff>159123</xdr:rowOff>
    </xdr:from>
    <xdr:to>
      <xdr:col>3</xdr:col>
      <xdr:colOff>323113</xdr:colOff>
      <xdr:row>6</xdr:row>
      <xdr:rowOff>53975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2C92A76E-E40D-40DC-B914-D5C42ED73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2125" y="540123"/>
          <a:ext cx="605688" cy="65685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365atlas-my.sharepoint.com/personal/vinay_aarohi_atlas_com_mt/Documents/MyDocuments/Documents/OfficePools/WorldCup2018/AtlasPools_World_Cup_2018_V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 Language"/>
      <sheetName val="Tournament"/>
      <sheetName val="DO_NOT_USE"/>
      <sheetName val="Countries and Timezone"/>
      <sheetName val="Dummy Table"/>
      <sheetName val="Language"/>
    </sheetNames>
    <sheetDataSet>
      <sheetData sheetId="0"/>
      <sheetData sheetId="1"/>
      <sheetData sheetId="2"/>
      <sheetData sheetId="3">
        <row r="7">
          <cell r="C7" t="str">
            <v>Russia</v>
          </cell>
        </row>
        <row r="8">
          <cell r="C8" t="str">
            <v>Saudi Arabia</v>
          </cell>
        </row>
        <row r="9">
          <cell r="C9" t="str">
            <v>Egypt</v>
          </cell>
        </row>
        <row r="10">
          <cell r="C10" t="str">
            <v>Uruguay</v>
          </cell>
        </row>
        <row r="11">
          <cell r="C11" t="str">
            <v>Portugal</v>
          </cell>
        </row>
        <row r="12">
          <cell r="C12" t="str">
            <v>Spain</v>
          </cell>
        </row>
        <row r="13">
          <cell r="C13" t="str">
            <v>Morocco</v>
          </cell>
        </row>
        <row r="14">
          <cell r="C14" t="str">
            <v>Iran</v>
          </cell>
        </row>
        <row r="15">
          <cell r="C15" t="str">
            <v>France</v>
          </cell>
        </row>
        <row r="16">
          <cell r="C16" t="str">
            <v>Australia</v>
          </cell>
        </row>
        <row r="17">
          <cell r="C17" t="str">
            <v>Peru</v>
          </cell>
        </row>
        <row r="18">
          <cell r="C18" t="str">
            <v>Denmark</v>
          </cell>
        </row>
        <row r="19">
          <cell r="C19" t="str">
            <v>Argentina</v>
          </cell>
        </row>
        <row r="20">
          <cell r="C20" t="str">
            <v>Iceland</v>
          </cell>
        </row>
        <row r="21">
          <cell r="C21" t="str">
            <v>Croatia</v>
          </cell>
        </row>
        <row r="22">
          <cell r="C22" t="str">
            <v>Nigeria</v>
          </cell>
        </row>
        <row r="23">
          <cell r="C23" t="str">
            <v>Brazil</v>
          </cell>
        </row>
        <row r="24">
          <cell r="C24" t="str">
            <v>Switzerland</v>
          </cell>
        </row>
        <row r="25">
          <cell r="C25" t="str">
            <v>Costa Rica</v>
          </cell>
        </row>
        <row r="26">
          <cell r="C26" t="str">
            <v>Serbia</v>
          </cell>
        </row>
        <row r="27">
          <cell r="C27" t="str">
            <v>Germany</v>
          </cell>
        </row>
        <row r="28">
          <cell r="C28" t="str">
            <v>Mexico</v>
          </cell>
        </row>
        <row r="29">
          <cell r="C29" t="str">
            <v>Sweden</v>
          </cell>
        </row>
        <row r="30">
          <cell r="C30" t="str">
            <v>South Korea</v>
          </cell>
        </row>
        <row r="31">
          <cell r="C31" t="str">
            <v>Tunisia</v>
          </cell>
        </row>
        <row r="32">
          <cell r="C32" t="str">
            <v>England</v>
          </cell>
        </row>
        <row r="33">
          <cell r="C33" t="str">
            <v>Belgium</v>
          </cell>
        </row>
        <row r="34">
          <cell r="C34" t="str">
            <v>Panama</v>
          </cell>
        </row>
        <row r="35">
          <cell r="C35" t="str">
            <v>Colombia</v>
          </cell>
        </row>
        <row r="36">
          <cell r="C36" t="str">
            <v>Japan</v>
          </cell>
        </row>
        <row r="37">
          <cell r="C37" t="str">
            <v>Poland</v>
          </cell>
        </row>
        <row r="38">
          <cell r="C38" t="str">
            <v>Senegal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CY71"/>
  <sheetViews>
    <sheetView showGridLines="0" tabSelected="1" zoomScaleNormal="100" workbookViewId="0">
      <pane ySplit="9" topLeftCell="A45" activePane="bottomLeft" state="frozen"/>
      <selection pane="bottomLeft" activeCell="G57" sqref="G57"/>
    </sheetView>
  </sheetViews>
  <sheetFormatPr baseColWidth="10" defaultColWidth="9.1640625" defaultRowHeight="15" x14ac:dyDescent="0.2"/>
  <cols>
    <col min="1" max="1" width="2.5" style="13" customWidth="1"/>
    <col min="2" max="3" width="3.83203125" style="14" customWidth="1"/>
    <col min="4" max="4" width="10.1640625" style="23" bestFit="1" customWidth="1"/>
    <col min="5" max="5" width="16.83203125" style="14" customWidth="1"/>
    <col min="6" max="7" width="3.1640625" style="14" customWidth="1"/>
    <col min="8" max="8" width="22" style="14" customWidth="1"/>
    <col min="9" max="9" width="0.6640625" style="14" customWidth="1"/>
    <col min="10" max="10" width="0.5" style="14" customWidth="1"/>
    <col min="11" max="11" width="0.6640625" style="14" customWidth="1"/>
    <col min="12" max="12" width="3.83203125" style="14" customWidth="1"/>
    <col min="13" max="13" width="17.5" style="14" customWidth="1"/>
    <col min="14" max="14" width="1.5" style="14" customWidth="1"/>
    <col min="15" max="20" width="3.83203125" style="14" customWidth="1"/>
    <col min="21" max="21" width="3.83203125" style="15" customWidth="1"/>
    <col min="22" max="22" width="3.83203125" style="24" customWidth="1"/>
    <col min="23" max="24" width="3.83203125" style="14" customWidth="1"/>
    <col min="25" max="25" width="1.5" style="14" customWidth="1"/>
    <col min="26" max="28" width="3.83203125" style="14" customWidth="1"/>
    <col min="29" max="29" width="2.83203125" style="14" customWidth="1"/>
    <col min="30" max="31" width="3.83203125" style="14" customWidth="1"/>
    <col min="32" max="32" width="3" style="14" customWidth="1"/>
    <col min="33" max="33" width="9.1640625" style="14" customWidth="1"/>
    <col min="34" max="34" width="9.1640625" style="13" customWidth="1"/>
    <col min="35" max="97" width="9.1640625" style="14" customWidth="1"/>
    <col min="98" max="16384" width="9.1640625" style="14"/>
  </cols>
  <sheetData>
    <row r="1" spans="1:103" x14ac:dyDescent="0.2">
      <c r="B1" s="280" t="s">
        <v>116</v>
      </c>
      <c r="C1" s="280"/>
      <c r="D1" s="280"/>
      <c r="E1" s="280"/>
      <c r="F1" s="280"/>
      <c r="G1" s="280"/>
      <c r="H1" s="280"/>
      <c r="I1" s="280"/>
      <c r="J1" s="280"/>
      <c r="K1" s="280"/>
      <c r="L1" s="280"/>
      <c r="M1" s="280"/>
      <c r="N1" s="280"/>
      <c r="O1" s="280"/>
      <c r="P1" s="280"/>
      <c r="Q1" s="280"/>
      <c r="R1" s="280"/>
      <c r="S1" s="280"/>
      <c r="T1" s="280"/>
      <c r="U1" s="280"/>
      <c r="V1" s="280"/>
      <c r="W1" s="280"/>
      <c r="X1" s="280"/>
      <c r="Y1" s="280"/>
      <c r="Z1" s="280"/>
      <c r="AA1" s="280"/>
      <c r="AB1" s="280"/>
      <c r="AC1" s="280"/>
    </row>
    <row r="2" spans="1:103" ht="15" customHeight="1" x14ac:dyDescent="0.2">
      <c r="B2" s="251"/>
      <c r="C2" s="252"/>
      <c r="D2" s="252"/>
      <c r="E2" s="181" t="s">
        <v>111</v>
      </c>
      <c r="G2" s="182"/>
      <c r="H2" s="182"/>
      <c r="I2" s="182"/>
      <c r="J2" s="182"/>
      <c r="L2" s="182"/>
      <c r="M2" s="182"/>
      <c r="N2" s="182"/>
      <c r="O2" s="182"/>
      <c r="P2" s="182"/>
      <c r="Q2" s="182"/>
      <c r="R2" s="182"/>
      <c r="S2" s="182"/>
      <c r="T2" s="183" t="s">
        <v>108</v>
      </c>
      <c r="U2" s="253" t="s">
        <v>115</v>
      </c>
      <c r="V2" s="254"/>
      <c r="W2" s="254"/>
      <c r="X2" s="254"/>
      <c r="Y2" s="254"/>
      <c r="Z2" s="254"/>
      <c r="AA2" s="254"/>
      <c r="AB2" s="254"/>
      <c r="AC2" s="255"/>
    </row>
    <row r="3" spans="1:103" ht="15" customHeight="1" x14ac:dyDescent="0.2">
      <c r="B3" s="252"/>
      <c r="C3" s="252"/>
      <c r="D3" s="252"/>
      <c r="E3" s="184" t="s">
        <v>112</v>
      </c>
      <c r="G3" s="182"/>
      <c r="H3" s="182"/>
      <c r="I3"/>
      <c r="J3"/>
      <c r="K3"/>
      <c r="L3"/>
      <c r="M3"/>
      <c r="N3"/>
      <c r="O3" s="185"/>
      <c r="P3" s="182"/>
      <c r="Q3" s="182"/>
      <c r="R3" s="182"/>
      <c r="S3" s="182"/>
      <c r="T3" s="183"/>
      <c r="U3" s="256"/>
      <c r="V3" s="256"/>
      <c r="W3" s="256"/>
      <c r="X3" s="256"/>
      <c r="Y3" s="256"/>
      <c r="Z3" s="256"/>
      <c r="AA3" s="256"/>
      <c r="AB3" s="256"/>
      <c r="AC3" s="257"/>
    </row>
    <row r="4" spans="1:103" ht="15" customHeight="1" x14ac:dyDescent="0.2">
      <c r="B4" s="252"/>
      <c r="C4" s="252"/>
      <c r="D4" s="252"/>
      <c r="E4" s="184" t="s">
        <v>113</v>
      </c>
      <c r="G4" s="182"/>
      <c r="H4" s="182"/>
      <c r="I4"/>
      <c r="J4"/>
      <c r="K4"/>
      <c r="L4"/>
      <c r="M4"/>
      <c r="N4"/>
      <c r="O4" s="185"/>
      <c r="P4" s="182"/>
      <c r="Q4" s="182"/>
      <c r="R4" s="182"/>
      <c r="S4" s="182"/>
      <c r="T4" s="186" t="s">
        <v>109</v>
      </c>
      <c r="U4" s="258" t="s">
        <v>121</v>
      </c>
      <c r="V4" s="259"/>
      <c r="W4" s="259"/>
      <c r="X4" s="259"/>
      <c r="Y4" s="259"/>
      <c r="Z4" s="259"/>
      <c r="AA4" s="259"/>
      <c r="AB4" s="259"/>
      <c r="AC4" s="260"/>
    </row>
    <row r="5" spans="1:103" x14ac:dyDescent="0.2">
      <c r="B5" s="187"/>
      <c r="C5" s="187"/>
      <c r="D5" s="187"/>
      <c r="E5" s="184" t="s">
        <v>114</v>
      </c>
      <c r="G5" s="182"/>
      <c r="H5" s="188"/>
      <c r="I5" s="189"/>
      <c r="J5" s="189"/>
      <c r="K5" s="189"/>
      <c r="L5" s="189"/>
      <c r="N5" s="182"/>
      <c r="O5" s="182"/>
      <c r="P5" s="182"/>
      <c r="Q5" s="182"/>
      <c r="R5" s="182"/>
      <c r="S5" s="182"/>
      <c r="T5" s="183"/>
      <c r="U5" s="261"/>
      <c r="V5" s="261"/>
      <c r="W5" s="261"/>
      <c r="X5" s="261"/>
      <c r="Y5" s="261"/>
      <c r="Z5" s="261"/>
      <c r="AA5" s="261"/>
      <c r="AB5" s="261"/>
      <c r="AC5" s="262"/>
    </row>
    <row r="6" spans="1:103" x14ac:dyDescent="0.2">
      <c r="B6" s="187"/>
      <c r="C6" s="187"/>
      <c r="D6" s="187"/>
      <c r="E6" s="184" t="s">
        <v>120</v>
      </c>
      <c r="G6" s="182"/>
      <c r="H6" s="188"/>
      <c r="I6" s="189"/>
      <c r="J6" s="189"/>
      <c r="K6" s="189"/>
      <c r="L6" s="189"/>
      <c r="O6" s="220"/>
      <c r="P6" s="220"/>
      <c r="Q6" s="220"/>
      <c r="R6" s="220"/>
      <c r="S6" s="220"/>
      <c r="T6" s="221"/>
      <c r="U6" s="278"/>
      <c r="V6" s="278"/>
      <c r="W6" s="278"/>
      <c r="X6" s="278"/>
      <c r="Y6" s="278"/>
      <c r="Z6" s="278"/>
      <c r="AA6" s="278"/>
      <c r="AB6" s="278"/>
      <c r="AC6" s="279"/>
      <c r="AD6" s="190"/>
      <c r="AE6" s="190"/>
      <c r="AF6" s="190"/>
      <c r="AG6" s="190"/>
      <c r="AH6" s="190"/>
      <c r="AI6" s="190"/>
    </row>
    <row r="7" spans="1:103" x14ac:dyDescent="0.2">
      <c r="B7" s="187"/>
      <c r="C7" s="187"/>
      <c r="D7" s="187"/>
      <c r="G7" s="182"/>
      <c r="H7" s="188"/>
      <c r="I7" s="189"/>
      <c r="J7" s="189"/>
      <c r="K7" s="189"/>
      <c r="L7" s="189"/>
      <c r="N7" s="283"/>
      <c r="O7" s="283"/>
      <c r="P7" s="283"/>
      <c r="Q7" s="283"/>
      <c r="R7" s="283"/>
      <c r="S7" s="283"/>
      <c r="T7" s="283"/>
      <c r="U7" s="283"/>
      <c r="V7" s="283"/>
      <c r="W7" s="283"/>
      <c r="X7" s="283"/>
      <c r="Y7" s="283"/>
      <c r="Z7" s="283"/>
      <c r="AA7" s="283"/>
      <c r="AB7" s="283"/>
      <c r="AC7" s="284"/>
      <c r="AD7" s="190"/>
      <c r="AE7" s="190"/>
      <c r="AF7" s="190"/>
      <c r="AG7" s="190"/>
      <c r="AH7" s="190"/>
      <c r="AI7" s="190"/>
    </row>
    <row r="8" spans="1:103" ht="9" customHeight="1" thickBot="1" x14ac:dyDescent="0.25">
      <c r="B8" s="187"/>
      <c r="C8" s="187"/>
      <c r="D8" s="187"/>
      <c r="E8" s="184"/>
      <c r="G8" s="182"/>
      <c r="H8" s="182"/>
      <c r="I8" s="184"/>
      <c r="J8" s="184"/>
      <c r="L8" s="184"/>
      <c r="AC8" s="222"/>
      <c r="AD8" s="191"/>
      <c r="AI8" s="192"/>
    </row>
    <row r="9" spans="1:103" s="17" customFormat="1" ht="15" customHeight="1" thickBot="1" x14ac:dyDescent="0.25">
      <c r="A9" s="16">
        <v>7</v>
      </c>
      <c r="B9" s="25" t="s">
        <v>28</v>
      </c>
      <c r="C9" s="26" t="s">
        <v>29</v>
      </c>
      <c r="D9" s="27" t="s">
        <v>30</v>
      </c>
      <c r="E9" s="28" t="s">
        <v>31</v>
      </c>
      <c r="F9" s="263" t="s">
        <v>32</v>
      </c>
      <c r="G9" s="263"/>
      <c r="H9" s="29" t="s">
        <v>31</v>
      </c>
      <c r="I9" s="26"/>
      <c r="J9" s="26"/>
      <c r="K9" s="26"/>
      <c r="L9" s="26" t="s">
        <v>34</v>
      </c>
      <c r="M9" s="30" t="s">
        <v>35</v>
      </c>
      <c r="N9" s="31"/>
      <c r="O9" s="142" t="s">
        <v>33</v>
      </c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3"/>
      <c r="AC9" s="193"/>
      <c r="AD9" s="31"/>
      <c r="AE9" s="14"/>
      <c r="AH9" s="16"/>
      <c r="CY9" s="14"/>
    </row>
    <row r="10" spans="1:103" s="17" customFormat="1" ht="15" customHeight="1" thickBot="1" x14ac:dyDescent="0.25">
      <c r="A10" s="16">
        <f>MAX(A11:A62)</f>
        <v>7</v>
      </c>
      <c r="B10" s="209" t="s">
        <v>117</v>
      </c>
      <c r="C10" s="32"/>
      <c r="D10" s="33"/>
      <c r="E10" s="32"/>
      <c r="F10" s="32"/>
      <c r="G10" s="32"/>
      <c r="H10" s="32"/>
      <c r="I10" s="32"/>
      <c r="J10" s="32"/>
      <c r="K10" s="32"/>
      <c r="L10" s="32"/>
      <c r="M10" s="34"/>
      <c r="N10" s="31"/>
      <c r="O10" s="240" t="s">
        <v>36</v>
      </c>
      <c r="P10" s="241"/>
      <c r="Q10" s="241"/>
      <c r="R10" s="241"/>
      <c r="S10" s="241"/>
      <c r="T10" s="35" t="s">
        <v>37</v>
      </c>
      <c r="U10" s="35" t="s">
        <v>38</v>
      </c>
      <c r="V10" s="35" t="s">
        <v>39</v>
      </c>
      <c r="W10" s="35" t="s">
        <v>40</v>
      </c>
      <c r="X10" s="35" t="s">
        <v>41</v>
      </c>
      <c r="Y10" s="35"/>
      <c r="Z10" s="35" t="s">
        <v>42</v>
      </c>
      <c r="AA10" s="36" t="s">
        <v>43</v>
      </c>
      <c r="AB10" s="35" t="s">
        <v>44</v>
      </c>
      <c r="AC10" s="194"/>
      <c r="AD10" s="31"/>
      <c r="AE10" s="14"/>
      <c r="AH10" s="195" t="str">
        <f>Matches!E11</f>
        <v>Turkey</v>
      </c>
      <c r="CY10" s="14"/>
    </row>
    <row r="11" spans="1:103" s="17" customFormat="1" ht="15" customHeight="1" x14ac:dyDescent="0.2">
      <c r="A11" s="16"/>
      <c r="B11" s="37">
        <v>1</v>
      </c>
      <c r="C11" s="38" t="s">
        <v>42</v>
      </c>
      <c r="D11" s="39">
        <v>44358.875</v>
      </c>
      <c r="E11" s="40" t="s">
        <v>24</v>
      </c>
      <c r="F11" s="223">
        <v>0</v>
      </c>
      <c r="G11" s="223">
        <v>2</v>
      </c>
      <c r="H11" s="41" t="s">
        <v>13</v>
      </c>
      <c r="I11" s="42"/>
      <c r="J11" s="42"/>
      <c r="K11" s="42"/>
      <c r="L11" s="264">
        <v>1</v>
      </c>
      <c r="M11" s="43" t="str">
        <f>IF(F11&lt;&gt;"",IF(F11&gt;G11,E11,IF(F11&lt;G11,H11,"")),"")</f>
        <v>Italy</v>
      </c>
      <c r="N11" s="31"/>
      <c r="O11" s="144">
        <v>1</v>
      </c>
      <c r="P11" s="265" t="str">
        <f>VLOOKUP(1,'Dummy Table'!A4:B8,2,FALSE)</f>
        <v>Italy</v>
      </c>
      <c r="Q11" s="265"/>
      <c r="R11" s="265"/>
      <c r="S11" s="265"/>
      <c r="T11" s="44">
        <f>SUM(U11:W11)</f>
        <v>3</v>
      </c>
      <c r="U11" s="44">
        <f>VLOOKUP(P11,'Dummy Table'!B4:C40,2,FALSE)</f>
        <v>3</v>
      </c>
      <c r="V11" s="44">
        <f>VLOOKUP(P11,'Dummy Table'!B4:D40,3,FALSE)</f>
        <v>0</v>
      </c>
      <c r="W11" s="44">
        <f>VLOOKUP(P11,'Dummy Table'!B4:E40,4,FALSE)</f>
        <v>0</v>
      </c>
      <c r="X11" s="44">
        <f>VLOOKUP(P11,'Dummy Table'!B4:F40,5,FALSE)</f>
        <v>6</v>
      </c>
      <c r="Y11" s="45" t="s">
        <v>45</v>
      </c>
      <c r="Z11" s="44">
        <f>VLOOKUP(P11,'Dummy Table'!B4:G40,6,FALSE)</f>
        <v>0</v>
      </c>
      <c r="AA11" s="44">
        <f>X11-Z11</f>
        <v>6</v>
      </c>
      <c r="AB11" s="44">
        <f>U11*3+V11*1</f>
        <v>9</v>
      </c>
      <c r="AC11" s="194"/>
      <c r="AD11" s="31"/>
      <c r="AE11" s="14"/>
      <c r="AH11" s="195" t="str">
        <f>Matches!H11</f>
        <v>Italy</v>
      </c>
      <c r="CY11" s="14"/>
    </row>
    <row r="12" spans="1:103" s="17" customFormat="1" ht="15" customHeight="1" x14ac:dyDescent="0.2">
      <c r="A12" s="16"/>
      <c r="B12" s="46">
        <v>2</v>
      </c>
      <c r="C12" s="47" t="s">
        <v>42</v>
      </c>
      <c r="D12" s="48">
        <v>44359.625</v>
      </c>
      <c r="E12" s="49" t="s">
        <v>26</v>
      </c>
      <c r="F12" s="224">
        <v>1</v>
      </c>
      <c r="G12" s="224">
        <v>1</v>
      </c>
      <c r="H12" s="50" t="s">
        <v>23</v>
      </c>
      <c r="I12" s="51"/>
      <c r="J12" s="51"/>
      <c r="K12" s="51"/>
      <c r="L12" s="230"/>
      <c r="M12" s="52" t="str">
        <f t="shared" ref="M12:M45" si="0">IF(F12&lt;&gt;"",IF(F12&gt;G12,E12,IF(F12&lt;G12,H12,"")),"")</f>
        <v/>
      </c>
      <c r="N12" s="31"/>
      <c r="O12" s="144">
        <v>2</v>
      </c>
      <c r="P12" s="266" t="str">
        <f>VLOOKUP(2,'Dummy Table'!A4:B8,2,FALSE)</f>
        <v>Wales</v>
      </c>
      <c r="Q12" s="266"/>
      <c r="R12" s="266"/>
      <c r="S12" s="266"/>
      <c r="T12" s="53">
        <f t="shared" ref="T12:T14" si="1">SUM(U12:W12)</f>
        <v>3</v>
      </c>
      <c r="U12" s="53">
        <f>VLOOKUP(P12,'Dummy Table'!B4:C40,2,FALSE)</f>
        <v>1</v>
      </c>
      <c r="V12" s="53">
        <f>VLOOKUP(P12,'Dummy Table'!B4:D40,3,FALSE)</f>
        <v>1</v>
      </c>
      <c r="W12" s="53">
        <f>VLOOKUP(P12,'Dummy Table'!B4:E40,4,FALSE)</f>
        <v>1</v>
      </c>
      <c r="X12" s="53">
        <f>VLOOKUP(P12,'Dummy Table'!B4:F40,5,FALSE)</f>
        <v>3</v>
      </c>
      <c r="Y12" s="53" t="s">
        <v>45</v>
      </c>
      <c r="Z12" s="53">
        <f>VLOOKUP(P12,'Dummy Table'!B4:G40,6,FALSE)</f>
        <v>2</v>
      </c>
      <c r="AA12" s="53">
        <f>X12-Z12</f>
        <v>1</v>
      </c>
      <c r="AB12" s="53">
        <f>U12*3+V12*1</f>
        <v>4</v>
      </c>
      <c r="AC12" s="194"/>
      <c r="AD12" s="31"/>
      <c r="AE12" s="14"/>
      <c r="AH12" s="195" t="str">
        <f>Matches!E12</f>
        <v>Wales</v>
      </c>
      <c r="CY12" s="14"/>
    </row>
    <row r="13" spans="1:103" s="17" customFormat="1" ht="15" customHeight="1" x14ac:dyDescent="0.2">
      <c r="A13" s="16"/>
      <c r="B13" s="46">
        <v>3</v>
      </c>
      <c r="C13" s="47" t="s">
        <v>46</v>
      </c>
      <c r="D13" s="48">
        <v>44359.75</v>
      </c>
      <c r="E13" s="49" t="s">
        <v>7</v>
      </c>
      <c r="F13" s="224">
        <v>0</v>
      </c>
      <c r="G13" s="224">
        <v>1</v>
      </c>
      <c r="H13" s="50" t="s">
        <v>9</v>
      </c>
      <c r="I13" s="51"/>
      <c r="J13" s="51"/>
      <c r="K13" s="51"/>
      <c r="L13" s="230"/>
      <c r="M13" s="52" t="str">
        <f t="shared" si="0"/>
        <v>Finland</v>
      </c>
      <c r="N13" s="31"/>
      <c r="O13" s="145">
        <v>3</v>
      </c>
      <c r="P13" s="267" t="str">
        <f>VLOOKUP(3,'Dummy Table'!A4:B8,2,FALSE)</f>
        <v>Switzerland</v>
      </c>
      <c r="Q13" s="267"/>
      <c r="R13" s="267"/>
      <c r="S13" s="267"/>
      <c r="T13" s="54">
        <f t="shared" si="1"/>
        <v>3</v>
      </c>
      <c r="U13" s="54">
        <f>VLOOKUP(P13,'Dummy Table'!B4:C40,2,FALSE)</f>
        <v>1</v>
      </c>
      <c r="V13" s="54">
        <f>VLOOKUP(P13,'Dummy Table'!B4:D40,3,FALSE)</f>
        <v>1</v>
      </c>
      <c r="W13" s="54">
        <f>VLOOKUP(P13,'Dummy Table'!B4:E40,4,FALSE)</f>
        <v>1</v>
      </c>
      <c r="X13" s="54">
        <f>VLOOKUP(P13,'Dummy Table'!B4:F40,5,FALSE)</f>
        <v>4</v>
      </c>
      <c r="Y13" s="54" t="s">
        <v>45</v>
      </c>
      <c r="Z13" s="54">
        <f>VLOOKUP(P13,'Dummy Table'!B4:G40,6,FALSE)</f>
        <v>5</v>
      </c>
      <c r="AA13" s="54">
        <f>X13-Z13</f>
        <v>-1</v>
      </c>
      <c r="AB13" s="54">
        <f>U13*3+V13*1</f>
        <v>4</v>
      </c>
      <c r="AC13" s="194"/>
      <c r="AD13" s="31"/>
      <c r="AE13" s="14"/>
      <c r="AH13" s="195" t="str">
        <f>Matches!H12</f>
        <v>Switzerland</v>
      </c>
      <c r="CY13" s="14"/>
    </row>
    <row r="14" spans="1:103" s="17" customFormat="1" ht="15" customHeight="1" x14ac:dyDescent="0.2">
      <c r="A14" s="16"/>
      <c r="B14" s="46">
        <v>4</v>
      </c>
      <c r="C14" s="47" t="s">
        <v>46</v>
      </c>
      <c r="D14" s="48">
        <v>44359.875</v>
      </c>
      <c r="E14" s="49" t="s">
        <v>4</v>
      </c>
      <c r="F14" s="224">
        <v>3</v>
      </c>
      <c r="G14" s="224">
        <v>0</v>
      </c>
      <c r="H14" s="50" t="s">
        <v>18</v>
      </c>
      <c r="I14" s="51"/>
      <c r="J14" s="51"/>
      <c r="K14" s="51"/>
      <c r="L14" s="230"/>
      <c r="M14" s="52" t="str">
        <f t="shared" si="0"/>
        <v>Belgium</v>
      </c>
      <c r="N14" s="31"/>
      <c r="O14" s="146">
        <v>4</v>
      </c>
      <c r="P14" s="245" t="str">
        <f>VLOOKUP(4,'Dummy Table'!A4:B8,2,FALSE)</f>
        <v>Turkey</v>
      </c>
      <c r="Q14" s="245"/>
      <c r="R14" s="245"/>
      <c r="S14" s="245"/>
      <c r="T14" s="55">
        <f t="shared" si="1"/>
        <v>3</v>
      </c>
      <c r="U14" s="55">
        <f>VLOOKUP(P14,'Dummy Table'!B4:C40,2,FALSE)</f>
        <v>0</v>
      </c>
      <c r="V14" s="55">
        <f>VLOOKUP(P14,'Dummy Table'!B4:D40,3,FALSE)</f>
        <v>0</v>
      </c>
      <c r="W14" s="55">
        <f>VLOOKUP(P14,'Dummy Table'!B4:E40,4,FALSE)</f>
        <v>3</v>
      </c>
      <c r="X14" s="55">
        <f>VLOOKUP(P14,'Dummy Table'!B4:F40,5,FALSE)</f>
        <v>1</v>
      </c>
      <c r="Y14" s="55" t="s">
        <v>45</v>
      </c>
      <c r="Z14" s="55">
        <f>VLOOKUP(P14,'Dummy Table'!B4:G40,6,FALSE)</f>
        <v>7</v>
      </c>
      <c r="AA14" s="55">
        <f>X14-Z14</f>
        <v>-6</v>
      </c>
      <c r="AB14" s="55">
        <f>U14*3+V14*1</f>
        <v>0</v>
      </c>
      <c r="AC14" s="194"/>
      <c r="AD14" s="31"/>
      <c r="AE14" s="14"/>
      <c r="AH14" s="195" t="str">
        <f>Matches!E14</f>
        <v>Belgium</v>
      </c>
      <c r="CY14" s="14"/>
    </row>
    <row r="15" spans="1:103" s="17" customFormat="1" ht="15" customHeight="1" x14ac:dyDescent="0.2">
      <c r="A15" s="16"/>
      <c r="B15" s="46">
        <v>5</v>
      </c>
      <c r="C15" s="47" t="s">
        <v>39</v>
      </c>
      <c r="D15" s="48">
        <v>44360.625</v>
      </c>
      <c r="E15" s="49" t="s">
        <v>8</v>
      </c>
      <c r="F15" s="224">
        <v>1</v>
      </c>
      <c r="G15" s="224">
        <v>0</v>
      </c>
      <c r="H15" s="50" t="s">
        <v>5</v>
      </c>
      <c r="I15" s="51"/>
      <c r="J15" s="51"/>
      <c r="K15" s="51"/>
      <c r="L15" s="230"/>
      <c r="M15" s="52" t="str">
        <f t="shared" si="0"/>
        <v>England</v>
      </c>
      <c r="N15" s="31"/>
      <c r="O15" s="240" t="s">
        <v>47</v>
      </c>
      <c r="P15" s="241"/>
      <c r="Q15" s="241"/>
      <c r="R15" s="241"/>
      <c r="S15" s="241"/>
      <c r="T15" s="35" t="s">
        <v>37</v>
      </c>
      <c r="U15" s="35" t="s">
        <v>38</v>
      </c>
      <c r="V15" s="35" t="s">
        <v>39</v>
      </c>
      <c r="W15" s="35" t="s">
        <v>40</v>
      </c>
      <c r="X15" s="35" t="s">
        <v>41</v>
      </c>
      <c r="Y15" s="35"/>
      <c r="Z15" s="35" t="s">
        <v>42</v>
      </c>
      <c r="AA15" s="36" t="s">
        <v>43</v>
      </c>
      <c r="AB15" s="35" t="s">
        <v>44</v>
      </c>
      <c r="AC15" s="194"/>
      <c r="AD15" s="31"/>
      <c r="AE15" s="14"/>
      <c r="AH15" s="195" t="str">
        <f>Matches!H14</f>
        <v>Russia</v>
      </c>
      <c r="CY15" s="14"/>
    </row>
    <row r="16" spans="1:103" s="17" customFormat="1" ht="15" customHeight="1" x14ac:dyDescent="0.2">
      <c r="A16" s="16"/>
      <c r="B16" s="46">
        <v>6</v>
      </c>
      <c r="C16" s="47" t="s">
        <v>48</v>
      </c>
      <c r="D16" s="48">
        <v>44360.75</v>
      </c>
      <c r="E16" s="49" t="s">
        <v>2</v>
      </c>
      <c r="F16" s="224">
        <v>3</v>
      </c>
      <c r="G16" s="224">
        <v>1</v>
      </c>
      <c r="H16" s="50" t="s">
        <v>15</v>
      </c>
      <c r="I16" s="51"/>
      <c r="J16" s="51"/>
      <c r="K16" s="51"/>
      <c r="L16" s="230"/>
      <c r="M16" s="52" t="str">
        <f t="shared" si="0"/>
        <v>Austria</v>
      </c>
      <c r="N16" s="31"/>
      <c r="O16" s="147">
        <v>1</v>
      </c>
      <c r="P16" s="281" t="str">
        <f>VLOOKUP(1,'Dummy Table'!A11:B15,2,FALSE)</f>
        <v>Belgium</v>
      </c>
      <c r="Q16" s="281"/>
      <c r="R16" s="281"/>
      <c r="S16" s="281"/>
      <c r="T16" s="56">
        <f>SUM(U16:W16)</f>
        <v>3</v>
      </c>
      <c r="U16" s="56">
        <f>VLOOKUP(P16,'Dummy Table'!B4:C40,2,FALSE)</f>
        <v>3</v>
      </c>
      <c r="V16" s="56">
        <f>VLOOKUP(P16,'Dummy Table'!B4:D40,3,FALSE)</f>
        <v>0</v>
      </c>
      <c r="W16" s="56">
        <f>VLOOKUP(P16,'Dummy Table'!B4:E40,4,FALSE)</f>
        <v>0</v>
      </c>
      <c r="X16" s="56">
        <f>VLOOKUP(P16,'Dummy Table'!B4:F40,5,FALSE)</f>
        <v>7</v>
      </c>
      <c r="Y16" s="57" t="s">
        <v>45</v>
      </c>
      <c r="Z16" s="56">
        <f>VLOOKUP(P16,'Dummy Table'!B4:G40,6,FALSE)</f>
        <v>1</v>
      </c>
      <c r="AA16" s="56">
        <f>X16-Z16</f>
        <v>6</v>
      </c>
      <c r="AB16" s="56">
        <f>U16*3+V16*1</f>
        <v>9</v>
      </c>
      <c r="AC16" s="194"/>
      <c r="AD16" s="31"/>
      <c r="AE16" s="14"/>
      <c r="AH16" s="195" t="str">
        <f>Matches!E13</f>
        <v>Denmark</v>
      </c>
      <c r="CY16" s="14"/>
    </row>
    <row r="17" spans="1:103" s="17" customFormat="1" ht="15" customHeight="1" x14ac:dyDescent="0.2">
      <c r="A17" s="16"/>
      <c r="B17" s="46">
        <v>7</v>
      </c>
      <c r="C17" s="47" t="s">
        <v>48</v>
      </c>
      <c r="D17" s="48">
        <v>44360.875</v>
      </c>
      <c r="E17" s="49" t="s">
        <v>14</v>
      </c>
      <c r="F17" s="224">
        <v>3</v>
      </c>
      <c r="G17" s="224">
        <v>2</v>
      </c>
      <c r="H17" s="50" t="s">
        <v>25</v>
      </c>
      <c r="I17" s="51"/>
      <c r="J17" s="51"/>
      <c r="K17" s="51"/>
      <c r="L17" s="230"/>
      <c r="M17" s="52" t="str">
        <f t="shared" si="0"/>
        <v>Netherlands</v>
      </c>
      <c r="N17" s="31"/>
      <c r="O17" s="147">
        <v>2</v>
      </c>
      <c r="P17" s="282" t="str">
        <f>VLOOKUP(2,'Dummy Table'!A11:B15,2,FALSE)</f>
        <v>Denmark</v>
      </c>
      <c r="Q17" s="282"/>
      <c r="R17" s="282"/>
      <c r="S17" s="282"/>
      <c r="T17" s="58">
        <f t="shared" ref="T17:T19" si="2">SUM(U17:W17)</f>
        <v>3</v>
      </c>
      <c r="U17" s="58">
        <f>VLOOKUP(P17,'Dummy Table'!B4:C40,2,FALSE)</f>
        <v>1</v>
      </c>
      <c r="V17" s="58">
        <f>VLOOKUP(P17,'Dummy Table'!B4:D40,3,FALSE)</f>
        <v>0</v>
      </c>
      <c r="W17" s="58">
        <f>VLOOKUP(P17,'Dummy Table'!B4:E40,4,FALSE)</f>
        <v>2</v>
      </c>
      <c r="X17" s="58">
        <f>VLOOKUP(P17,'Dummy Table'!B4:F40,5,FALSE)</f>
        <v>5</v>
      </c>
      <c r="Y17" s="58" t="s">
        <v>45</v>
      </c>
      <c r="Z17" s="58">
        <f>VLOOKUP(P17,'Dummy Table'!B4:G40,6,FALSE)</f>
        <v>4</v>
      </c>
      <c r="AA17" s="58">
        <f>X17-Z17</f>
        <v>1</v>
      </c>
      <c r="AB17" s="58">
        <f>U17*3+V17*1</f>
        <v>3</v>
      </c>
      <c r="AC17" s="194"/>
      <c r="AD17" s="31"/>
      <c r="AE17" s="14"/>
      <c r="AH17" s="195" t="str">
        <f>Matches!H13</f>
        <v>Finland</v>
      </c>
      <c r="CY17" s="14"/>
    </row>
    <row r="18" spans="1:103" s="17" customFormat="1" ht="15" customHeight="1" x14ac:dyDescent="0.2">
      <c r="A18" s="16"/>
      <c r="B18" s="46">
        <v>8</v>
      </c>
      <c r="C18" s="47" t="s">
        <v>39</v>
      </c>
      <c r="D18" s="48">
        <v>44361.625</v>
      </c>
      <c r="E18" s="49" t="s">
        <v>19</v>
      </c>
      <c r="F18" s="224">
        <v>0</v>
      </c>
      <c r="G18" s="224">
        <v>2</v>
      </c>
      <c r="H18" s="50" t="s">
        <v>6</v>
      </c>
      <c r="I18" s="51"/>
      <c r="J18" s="51"/>
      <c r="K18" s="51"/>
      <c r="L18" s="230"/>
      <c r="M18" s="52" t="str">
        <f t="shared" si="0"/>
        <v>Czech Republic</v>
      </c>
      <c r="N18" s="31"/>
      <c r="O18" s="148">
        <v>3</v>
      </c>
      <c r="P18" s="270" t="str">
        <f>VLOOKUP(3,'Dummy Table'!A11:B15,2,FALSE)</f>
        <v>Finland</v>
      </c>
      <c r="Q18" s="270"/>
      <c r="R18" s="270"/>
      <c r="S18" s="270"/>
      <c r="T18" s="59">
        <f t="shared" si="2"/>
        <v>3</v>
      </c>
      <c r="U18" s="59">
        <f>VLOOKUP(P18,'Dummy Table'!B4:C40,2,FALSE)</f>
        <v>1</v>
      </c>
      <c r="V18" s="59">
        <f>VLOOKUP(P18,'Dummy Table'!B4:D40,3,FALSE)</f>
        <v>0</v>
      </c>
      <c r="W18" s="59">
        <f>VLOOKUP(P18,'Dummy Table'!B4:E40,4,FALSE)</f>
        <v>2</v>
      </c>
      <c r="X18" s="59">
        <f>VLOOKUP(P18,'Dummy Table'!B4:F40,5,FALSE)</f>
        <v>1</v>
      </c>
      <c r="Y18" s="59" t="s">
        <v>45</v>
      </c>
      <c r="Z18" s="59">
        <f>VLOOKUP(P18,'Dummy Table'!B4:G40,6,FALSE)</f>
        <v>3</v>
      </c>
      <c r="AA18" s="59">
        <f>X18-Z18</f>
        <v>-2</v>
      </c>
      <c r="AB18" s="59">
        <f>U18*3+V18*1</f>
        <v>3</v>
      </c>
      <c r="AC18" s="194"/>
      <c r="AD18" s="31"/>
      <c r="AE18" s="14"/>
      <c r="AH18" s="195" t="str">
        <f>Matches!E17</f>
        <v>Netherlands</v>
      </c>
      <c r="CY18" s="14"/>
    </row>
    <row r="19" spans="1:103" s="17" customFormat="1" ht="15" customHeight="1" x14ac:dyDescent="0.2">
      <c r="A19" s="16"/>
      <c r="B19" s="46">
        <v>9</v>
      </c>
      <c r="C19" s="47" t="s">
        <v>49</v>
      </c>
      <c r="D19" s="48">
        <v>44361.75</v>
      </c>
      <c r="E19" s="49" t="s">
        <v>16</v>
      </c>
      <c r="F19" s="224">
        <v>1</v>
      </c>
      <c r="G19" s="224">
        <v>2</v>
      </c>
      <c r="H19" s="50" t="s">
        <v>20</v>
      </c>
      <c r="I19" s="51"/>
      <c r="J19" s="51"/>
      <c r="K19" s="51"/>
      <c r="L19" s="230"/>
      <c r="M19" s="52" t="str">
        <f t="shared" si="0"/>
        <v>Slovakia</v>
      </c>
      <c r="N19" s="31"/>
      <c r="O19" s="146">
        <v>4</v>
      </c>
      <c r="P19" s="245" t="str">
        <f>VLOOKUP(4,'Dummy Table'!A11:B15,2,FALSE)</f>
        <v>Russia</v>
      </c>
      <c r="Q19" s="245"/>
      <c r="R19" s="245"/>
      <c r="S19" s="245"/>
      <c r="T19" s="55">
        <f t="shared" si="2"/>
        <v>3</v>
      </c>
      <c r="U19" s="55">
        <f>VLOOKUP(P19,'Dummy Table'!B4:C40,2,FALSE)</f>
        <v>1</v>
      </c>
      <c r="V19" s="55">
        <f>VLOOKUP(P19,'Dummy Table'!B4:D40,3,FALSE)</f>
        <v>0</v>
      </c>
      <c r="W19" s="55">
        <f>VLOOKUP(P19,'Dummy Table'!B4:E40,4,FALSE)</f>
        <v>2</v>
      </c>
      <c r="X19" s="55">
        <f>VLOOKUP(P19,'Dummy Table'!B4:F40,5,FALSE)</f>
        <v>2</v>
      </c>
      <c r="Y19" s="55" t="s">
        <v>45</v>
      </c>
      <c r="Z19" s="55">
        <f>VLOOKUP(P19,'Dummy Table'!B4:G40,6,FALSE)</f>
        <v>7</v>
      </c>
      <c r="AA19" s="55">
        <f>X19-Z19</f>
        <v>-5</v>
      </c>
      <c r="AB19" s="55">
        <f>U19*3+V19*1</f>
        <v>3</v>
      </c>
      <c r="AC19" s="194"/>
      <c r="AD19" s="31"/>
      <c r="AE19" s="14"/>
      <c r="AH19" s="195" t="str">
        <f>Matches!H17</f>
        <v>Ukraine</v>
      </c>
      <c r="CY19" s="14"/>
    </row>
    <row r="20" spans="1:103" s="17" customFormat="1" ht="15" customHeight="1" x14ac:dyDescent="0.2">
      <c r="A20" s="16"/>
      <c r="B20" s="46">
        <v>10</v>
      </c>
      <c r="C20" s="47" t="s">
        <v>49</v>
      </c>
      <c r="D20" s="48">
        <v>44361.875</v>
      </c>
      <c r="E20" s="49" t="s">
        <v>21</v>
      </c>
      <c r="F20" s="224">
        <v>0</v>
      </c>
      <c r="G20" s="224">
        <v>0</v>
      </c>
      <c r="H20" s="50" t="s">
        <v>22</v>
      </c>
      <c r="I20" s="51"/>
      <c r="J20" s="51"/>
      <c r="K20" s="51"/>
      <c r="L20" s="230"/>
      <c r="M20" s="52" t="str">
        <f t="shared" si="0"/>
        <v/>
      </c>
      <c r="N20" s="31"/>
      <c r="O20" s="240" t="s">
        <v>50</v>
      </c>
      <c r="P20" s="241"/>
      <c r="Q20" s="241"/>
      <c r="R20" s="241"/>
      <c r="S20" s="241"/>
      <c r="T20" s="35" t="s">
        <v>37</v>
      </c>
      <c r="U20" s="35" t="s">
        <v>38</v>
      </c>
      <c r="V20" s="35" t="s">
        <v>39</v>
      </c>
      <c r="W20" s="35" t="s">
        <v>40</v>
      </c>
      <c r="X20" s="35" t="s">
        <v>41</v>
      </c>
      <c r="Y20" s="35"/>
      <c r="Z20" s="35" t="s">
        <v>42</v>
      </c>
      <c r="AA20" s="36" t="s">
        <v>43</v>
      </c>
      <c r="AB20" s="35" t="s">
        <v>44</v>
      </c>
      <c r="AC20" s="194"/>
      <c r="AD20" s="31"/>
      <c r="AE20" s="14"/>
      <c r="AH20" s="195" t="str">
        <f>Matches!E16</f>
        <v>Austria</v>
      </c>
      <c r="CY20" s="14"/>
    </row>
    <row r="21" spans="1:103" s="17" customFormat="1" ht="15" customHeight="1" x14ac:dyDescent="0.2">
      <c r="A21" s="16"/>
      <c r="B21" s="46">
        <v>11</v>
      </c>
      <c r="C21" s="47" t="s">
        <v>41</v>
      </c>
      <c r="D21" s="48">
        <v>44362.75</v>
      </c>
      <c r="E21" s="49" t="s">
        <v>12</v>
      </c>
      <c r="F21" s="224">
        <v>0</v>
      </c>
      <c r="G21" s="224">
        <v>3</v>
      </c>
      <c r="H21" s="50" t="s">
        <v>17</v>
      </c>
      <c r="I21" s="51"/>
      <c r="J21" s="51"/>
      <c r="K21" s="51"/>
      <c r="L21" s="230"/>
      <c r="M21" s="52" t="str">
        <f t="shared" si="0"/>
        <v>Portugal</v>
      </c>
      <c r="N21" s="31"/>
      <c r="O21" s="149">
        <v>1</v>
      </c>
      <c r="P21" s="273" t="str">
        <f>VLOOKUP(1,'Dummy Table'!A18:B22,2,FALSE)</f>
        <v>Netherlands</v>
      </c>
      <c r="Q21" s="273"/>
      <c r="R21" s="273"/>
      <c r="S21" s="273"/>
      <c r="T21" s="60">
        <f>SUM(U21:W21)</f>
        <v>3</v>
      </c>
      <c r="U21" s="60">
        <f>VLOOKUP(P21,'Dummy Table'!B4:C40,2,FALSE)</f>
        <v>3</v>
      </c>
      <c r="V21" s="60">
        <f>VLOOKUP(P21,'Dummy Table'!B4:D40,3,FALSE)</f>
        <v>0</v>
      </c>
      <c r="W21" s="60">
        <f>VLOOKUP(P21,'Dummy Table'!B4:E40,4,FALSE)</f>
        <v>0</v>
      </c>
      <c r="X21" s="60">
        <f>VLOOKUP(P21,'Dummy Table'!B4:F40,5,FALSE)</f>
        <v>8</v>
      </c>
      <c r="Y21" s="61" t="s">
        <v>45</v>
      </c>
      <c r="Z21" s="60">
        <f>VLOOKUP(P21,'Dummy Table'!B4:G40,6,FALSE)</f>
        <v>2</v>
      </c>
      <c r="AA21" s="60">
        <f>X21-Z21</f>
        <v>6</v>
      </c>
      <c r="AB21" s="60">
        <f>U21*3+V21*1</f>
        <v>9</v>
      </c>
      <c r="AC21" s="194"/>
      <c r="AD21" s="31"/>
      <c r="AE21" s="14"/>
      <c r="AH21" s="195" t="str">
        <f>Matches!H16</f>
        <v>North Macedonia</v>
      </c>
      <c r="CY21" s="14"/>
    </row>
    <row r="22" spans="1:103" s="17" customFormat="1" ht="15" customHeight="1" thickBot="1" x14ac:dyDescent="0.25">
      <c r="A22" s="16">
        <f>IF(F22&lt;&gt;"",1,0)</f>
        <v>1</v>
      </c>
      <c r="B22" s="62">
        <v>12</v>
      </c>
      <c r="C22" s="63" t="s">
        <v>41</v>
      </c>
      <c r="D22" s="64">
        <v>44362.875</v>
      </c>
      <c r="E22" s="65" t="s">
        <v>10</v>
      </c>
      <c r="F22" s="225">
        <v>1</v>
      </c>
      <c r="G22" s="225">
        <v>0</v>
      </c>
      <c r="H22" s="66" t="s">
        <v>11</v>
      </c>
      <c r="I22" s="67"/>
      <c r="J22" s="67"/>
      <c r="K22" s="68"/>
      <c r="L22" s="231"/>
      <c r="M22" s="69" t="str">
        <f t="shared" si="0"/>
        <v>France</v>
      </c>
      <c r="N22" s="31"/>
      <c r="O22" s="149">
        <v>2</v>
      </c>
      <c r="P22" s="268" t="str">
        <f>VLOOKUP(2,'Dummy Table'!A18:B22,2,FALSE)</f>
        <v>Austria</v>
      </c>
      <c r="Q22" s="268"/>
      <c r="R22" s="268"/>
      <c r="S22" s="268"/>
      <c r="T22" s="70">
        <f t="shared" ref="T22:T24" si="3">SUM(U22:W22)</f>
        <v>3</v>
      </c>
      <c r="U22" s="70">
        <f>VLOOKUP(P22,'Dummy Table'!B4:C40,2,FALSE)</f>
        <v>2</v>
      </c>
      <c r="V22" s="70">
        <f>VLOOKUP(P22,'Dummy Table'!B4:D40,3,FALSE)</f>
        <v>0</v>
      </c>
      <c r="W22" s="70">
        <f>VLOOKUP(P22,'Dummy Table'!B4:E40,4,FALSE)</f>
        <v>1</v>
      </c>
      <c r="X22" s="70">
        <f>VLOOKUP(P22,'Dummy Table'!B4:F40,5,FALSE)</f>
        <v>4</v>
      </c>
      <c r="Y22" s="70" t="s">
        <v>45</v>
      </c>
      <c r="Z22" s="70">
        <f>VLOOKUP(P22,'Dummy Table'!B4:G40,6,FALSE)</f>
        <v>3</v>
      </c>
      <c r="AA22" s="70">
        <f>X22-Z22</f>
        <v>1</v>
      </c>
      <c r="AB22" s="70">
        <f>U22*3+V22*1</f>
        <v>6</v>
      </c>
      <c r="AC22" s="194"/>
      <c r="AD22" s="31"/>
      <c r="AE22" s="14"/>
      <c r="AH22" s="195" t="str">
        <f>Matches!E18</f>
        <v>Scotland</v>
      </c>
      <c r="CY22" s="14"/>
    </row>
    <row r="23" spans="1:103" s="17" customFormat="1" ht="15" customHeight="1" x14ac:dyDescent="0.2">
      <c r="A23" s="16"/>
      <c r="B23" s="71">
        <v>13</v>
      </c>
      <c r="C23" s="72" t="s">
        <v>46</v>
      </c>
      <c r="D23" s="73">
        <v>44363.625</v>
      </c>
      <c r="E23" s="74" t="s">
        <v>9</v>
      </c>
      <c r="F23" s="223">
        <v>0</v>
      </c>
      <c r="G23" s="223">
        <v>1</v>
      </c>
      <c r="H23" s="75" t="s">
        <v>18</v>
      </c>
      <c r="I23" s="76"/>
      <c r="J23" s="76"/>
      <c r="K23" s="76"/>
      <c r="L23" s="232">
        <v>2</v>
      </c>
      <c r="M23" s="77" t="str">
        <f t="shared" si="0"/>
        <v>Russia</v>
      </c>
      <c r="N23" s="31"/>
      <c r="O23" s="150">
        <v>3</v>
      </c>
      <c r="P23" s="272" t="str">
        <f>VLOOKUP(3,'Dummy Table'!A18:B22,2,FALSE)</f>
        <v>Ukraine</v>
      </c>
      <c r="Q23" s="272"/>
      <c r="R23" s="272"/>
      <c r="S23" s="272"/>
      <c r="T23" s="78">
        <f t="shared" si="3"/>
        <v>3</v>
      </c>
      <c r="U23" s="78">
        <f>VLOOKUP(P23,'Dummy Table'!B4:C40,2,FALSE)</f>
        <v>1</v>
      </c>
      <c r="V23" s="78">
        <f>VLOOKUP(P23,'Dummy Table'!B4:D40,3,FALSE)</f>
        <v>0</v>
      </c>
      <c r="W23" s="78">
        <f>VLOOKUP(P23,'Dummy Table'!B4:E40,4,FALSE)</f>
        <v>2</v>
      </c>
      <c r="X23" s="78">
        <f>VLOOKUP(P23,'Dummy Table'!B4:F40,5,FALSE)</f>
        <v>4</v>
      </c>
      <c r="Y23" s="78" t="s">
        <v>45</v>
      </c>
      <c r="Z23" s="78">
        <f>VLOOKUP(P23,'Dummy Table'!B4:G40,6,FALSE)</f>
        <v>5</v>
      </c>
      <c r="AA23" s="78">
        <f>X23-Z23</f>
        <v>-1</v>
      </c>
      <c r="AB23" s="78">
        <f>U23*3+V23*1</f>
        <v>3</v>
      </c>
      <c r="AC23" s="194"/>
      <c r="AD23" s="31"/>
      <c r="AE23" s="14"/>
      <c r="AH23" s="195" t="str">
        <f>Matches!H18</f>
        <v>Czech Republic</v>
      </c>
      <c r="CY23" s="14"/>
    </row>
    <row r="24" spans="1:103" s="17" customFormat="1" ht="15" customHeight="1" x14ac:dyDescent="0.2">
      <c r="A24" s="16"/>
      <c r="B24" s="79">
        <v>14</v>
      </c>
      <c r="C24" s="80" t="s">
        <v>42</v>
      </c>
      <c r="D24" s="81">
        <v>44363.75</v>
      </c>
      <c r="E24" s="82" t="s">
        <v>24</v>
      </c>
      <c r="F24" s="224">
        <v>0</v>
      </c>
      <c r="G24" s="224">
        <v>2</v>
      </c>
      <c r="H24" s="83" t="s">
        <v>26</v>
      </c>
      <c r="I24" s="84"/>
      <c r="J24" s="84"/>
      <c r="K24" s="84"/>
      <c r="L24" s="237"/>
      <c r="M24" s="85" t="str">
        <f t="shared" si="0"/>
        <v>Wales</v>
      </c>
      <c r="N24" s="31"/>
      <c r="O24" s="146">
        <v>4</v>
      </c>
      <c r="P24" s="245" t="str">
        <f>VLOOKUP(4,'Dummy Table'!A18:B22,2,FALSE)</f>
        <v>North Macedonia</v>
      </c>
      <c r="Q24" s="245"/>
      <c r="R24" s="245"/>
      <c r="S24" s="245"/>
      <c r="T24" s="55">
        <f t="shared" si="3"/>
        <v>3</v>
      </c>
      <c r="U24" s="55">
        <f>VLOOKUP(P24,'Dummy Table'!B4:C40,2,FALSE)</f>
        <v>0</v>
      </c>
      <c r="V24" s="55">
        <f>VLOOKUP(P24,'Dummy Table'!B4:D40,3,FALSE)</f>
        <v>0</v>
      </c>
      <c r="W24" s="55">
        <f>VLOOKUP(P24,'Dummy Table'!B4:E40,4,FALSE)</f>
        <v>3</v>
      </c>
      <c r="X24" s="55">
        <f>VLOOKUP(P24,'Dummy Table'!B4:F40,5,FALSE)</f>
        <v>2</v>
      </c>
      <c r="Y24" s="55" t="s">
        <v>45</v>
      </c>
      <c r="Z24" s="55">
        <f>VLOOKUP(P24,'Dummy Table'!B4:G40,6,FALSE)</f>
        <v>8</v>
      </c>
      <c r="AA24" s="55">
        <f>X24-Z24</f>
        <v>-6</v>
      </c>
      <c r="AB24" s="55">
        <f>U24*3+V24*1</f>
        <v>0</v>
      </c>
      <c r="AC24" s="194"/>
      <c r="AD24" s="31"/>
      <c r="AE24" s="14"/>
      <c r="AH24" s="195" t="str">
        <f>Matches!E15</f>
        <v>England</v>
      </c>
      <c r="CY24" s="14"/>
    </row>
    <row r="25" spans="1:103" s="17" customFormat="1" ht="15" customHeight="1" x14ac:dyDescent="0.2">
      <c r="A25" s="16"/>
      <c r="B25" s="79">
        <v>15</v>
      </c>
      <c r="C25" s="80" t="s">
        <v>42</v>
      </c>
      <c r="D25" s="81">
        <v>44363.875</v>
      </c>
      <c r="E25" s="82" t="s">
        <v>13</v>
      </c>
      <c r="F25" s="224">
        <v>3</v>
      </c>
      <c r="G25" s="224">
        <v>0</v>
      </c>
      <c r="H25" s="83" t="s">
        <v>23</v>
      </c>
      <c r="I25" s="84"/>
      <c r="J25" s="84"/>
      <c r="K25" s="84"/>
      <c r="L25" s="237"/>
      <c r="M25" s="85" t="str">
        <f t="shared" si="0"/>
        <v>Italy</v>
      </c>
      <c r="N25" s="31"/>
      <c r="O25" s="240" t="s">
        <v>51</v>
      </c>
      <c r="P25" s="241"/>
      <c r="Q25" s="241"/>
      <c r="R25" s="241"/>
      <c r="S25" s="241"/>
      <c r="T25" s="35" t="s">
        <v>37</v>
      </c>
      <c r="U25" s="35" t="s">
        <v>38</v>
      </c>
      <c r="V25" s="35" t="s">
        <v>39</v>
      </c>
      <c r="W25" s="35" t="s">
        <v>40</v>
      </c>
      <c r="X25" s="35" t="s">
        <v>41</v>
      </c>
      <c r="Y25" s="35"/>
      <c r="Z25" s="35" t="s">
        <v>42</v>
      </c>
      <c r="AA25" s="36" t="s">
        <v>43</v>
      </c>
      <c r="AB25" s="35" t="s">
        <v>44</v>
      </c>
      <c r="AC25" s="194"/>
      <c r="AD25" s="31"/>
      <c r="AE25" s="14"/>
      <c r="AH25" s="195" t="str">
        <f>Matches!H15</f>
        <v>Croatia</v>
      </c>
      <c r="CY25" s="14"/>
    </row>
    <row r="26" spans="1:103" s="17" customFormat="1" ht="15" customHeight="1" x14ac:dyDescent="0.2">
      <c r="A26" s="16"/>
      <c r="B26" s="79">
        <v>16</v>
      </c>
      <c r="C26" s="80" t="s">
        <v>48</v>
      </c>
      <c r="D26" s="81">
        <v>44364.625</v>
      </c>
      <c r="E26" s="82" t="s">
        <v>25</v>
      </c>
      <c r="F26" s="224">
        <v>2</v>
      </c>
      <c r="G26" s="224">
        <v>1</v>
      </c>
      <c r="H26" s="83" t="s">
        <v>15</v>
      </c>
      <c r="I26" s="84"/>
      <c r="J26" s="84"/>
      <c r="K26" s="84"/>
      <c r="L26" s="237"/>
      <c r="M26" s="85" t="str">
        <f t="shared" si="0"/>
        <v>Ukraine</v>
      </c>
      <c r="N26" s="31"/>
      <c r="O26" s="151">
        <v>1</v>
      </c>
      <c r="P26" s="275" t="str">
        <f>VLOOKUP(1,'Dummy Table'!A25:B29,2,FALSE)</f>
        <v>England</v>
      </c>
      <c r="Q26" s="275"/>
      <c r="R26" s="275"/>
      <c r="S26" s="275"/>
      <c r="T26" s="86">
        <f>SUM(U26:W26)</f>
        <v>3</v>
      </c>
      <c r="U26" s="86">
        <f>VLOOKUP(P26,'Dummy Table'!B4:C40,2,FALSE)</f>
        <v>2</v>
      </c>
      <c r="V26" s="86">
        <f>VLOOKUP(P26,'Dummy Table'!B4:D40,3,FALSE)</f>
        <v>1</v>
      </c>
      <c r="W26" s="86">
        <f>VLOOKUP(P26,'Dummy Table'!B4:E40,4,FALSE)</f>
        <v>0</v>
      </c>
      <c r="X26" s="86">
        <f>VLOOKUP(P26,'Dummy Table'!B4:F40,5,FALSE)</f>
        <v>2</v>
      </c>
      <c r="Y26" s="87" t="s">
        <v>45</v>
      </c>
      <c r="Z26" s="86">
        <f>VLOOKUP(P26,'Dummy Table'!B4:G40,6,FALSE)</f>
        <v>0</v>
      </c>
      <c r="AA26" s="86">
        <f>X26-Z26</f>
        <v>2</v>
      </c>
      <c r="AB26" s="86">
        <f>U26*3+V26*1</f>
        <v>7</v>
      </c>
      <c r="AC26" s="194"/>
      <c r="AD26" s="31"/>
      <c r="AE26" s="14"/>
      <c r="AH26" s="195" t="str">
        <f>Matches!E20</f>
        <v>Spain</v>
      </c>
      <c r="CY26" s="14"/>
    </row>
    <row r="27" spans="1:103" s="17" customFormat="1" ht="15" customHeight="1" x14ac:dyDescent="0.2">
      <c r="A27" s="16"/>
      <c r="B27" s="79">
        <v>17</v>
      </c>
      <c r="C27" s="80" t="s">
        <v>46</v>
      </c>
      <c r="D27" s="81">
        <v>44364.75</v>
      </c>
      <c r="E27" s="82" t="s">
        <v>7</v>
      </c>
      <c r="F27" s="224">
        <v>1</v>
      </c>
      <c r="G27" s="224">
        <v>2</v>
      </c>
      <c r="H27" s="83" t="s">
        <v>4</v>
      </c>
      <c r="I27" s="84"/>
      <c r="J27" s="84"/>
      <c r="K27" s="84"/>
      <c r="L27" s="237"/>
      <c r="M27" s="85" t="str">
        <f t="shared" si="0"/>
        <v>Belgium</v>
      </c>
      <c r="N27" s="31"/>
      <c r="O27" s="151">
        <v>2</v>
      </c>
      <c r="P27" s="269" t="str">
        <f>VLOOKUP(2,'Dummy Table'!A25:B29,2,FALSE)</f>
        <v>Croatia</v>
      </c>
      <c r="Q27" s="269"/>
      <c r="R27" s="269"/>
      <c r="S27" s="269"/>
      <c r="T27" s="88">
        <f t="shared" ref="T27:T29" si="4">SUM(U27:W27)</f>
        <v>3</v>
      </c>
      <c r="U27" s="88">
        <f>VLOOKUP(P27,'Dummy Table'!B4:C40,2,FALSE)</f>
        <v>1</v>
      </c>
      <c r="V27" s="88">
        <f>VLOOKUP(P27,'Dummy Table'!B4:D40,3,FALSE)</f>
        <v>1</v>
      </c>
      <c r="W27" s="88">
        <f>VLOOKUP(P27,'Dummy Table'!B4:E40,4,FALSE)</f>
        <v>1</v>
      </c>
      <c r="X27" s="88">
        <f>VLOOKUP(P27,'Dummy Table'!B4:F40,5,FALSE)</f>
        <v>4</v>
      </c>
      <c r="Y27" s="88" t="s">
        <v>45</v>
      </c>
      <c r="Z27" s="88">
        <f>VLOOKUP(P27,'Dummy Table'!B4:G40,6,FALSE)</f>
        <v>3</v>
      </c>
      <c r="AA27" s="88">
        <f>X27-Z27</f>
        <v>1</v>
      </c>
      <c r="AB27" s="88">
        <f>U27*3+V27*1</f>
        <v>4</v>
      </c>
      <c r="AC27" s="194"/>
      <c r="AD27" s="31"/>
      <c r="AE27" s="14"/>
      <c r="AH27" s="195" t="str">
        <f>Matches!H20</f>
        <v>Sweden</v>
      </c>
      <c r="CY27" s="14"/>
    </row>
    <row r="28" spans="1:103" s="17" customFormat="1" ht="15" customHeight="1" x14ac:dyDescent="0.2">
      <c r="A28" s="16"/>
      <c r="B28" s="79">
        <v>18</v>
      </c>
      <c r="C28" s="80" t="s">
        <v>48</v>
      </c>
      <c r="D28" s="81">
        <v>44364.875</v>
      </c>
      <c r="E28" s="82" t="s">
        <v>14</v>
      </c>
      <c r="F28" s="224">
        <v>2</v>
      </c>
      <c r="G28" s="224">
        <v>0</v>
      </c>
      <c r="H28" s="83" t="s">
        <v>2</v>
      </c>
      <c r="I28" s="84"/>
      <c r="J28" s="84"/>
      <c r="K28" s="84"/>
      <c r="L28" s="237"/>
      <c r="M28" s="85" t="str">
        <f t="shared" si="0"/>
        <v>Netherlands</v>
      </c>
      <c r="N28" s="31"/>
      <c r="O28" s="152">
        <v>3</v>
      </c>
      <c r="P28" s="274" t="str">
        <f>VLOOKUP(3,'Dummy Table'!A25:B29,2,FALSE)</f>
        <v>Czech Republic</v>
      </c>
      <c r="Q28" s="274"/>
      <c r="R28" s="274"/>
      <c r="S28" s="274"/>
      <c r="T28" s="89">
        <f t="shared" si="4"/>
        <v>3</v>
      </c>
      <c r="U28" s="89">
        <f>VLOOKUP(P28,'Dummy Table'!B4:C40,2,FALSE)</f>
        <v>1</v>
      </c>
      <c r="V28" s="89">
        <f>VLOOKUP(P28,'Dummy Table'!B4:D40,3,FALSE)</f>
        <v>1</v>
      </c>
      <c r="W28" s="89">
        <f>VLOOKUP(P28,'Dummy Table'!B4:E40,4,FALSE)</f>
        <v>1</v>
      </c>
      <c r="X28" s="89">
        <f>VLOOKUP(P28,'Dummy Table'!B4:F40,5,FALSE)</f>
        <v>3</v>
      </c>
      <c r="Y28" s="89" t="s">
        <v>45</v>
      </c>
      <c r="Z28" s="89">
        <f>VLOOKUP(P28,'Dummy Table'!B4:G40,6,FALSE)</f>
        <v>2</v>
      </c>
      <c r="AA28" s="89">
        <f>X28-Z28</f>
        <v>1</v>
      </c>
      <c r="AB28" s="89">
        <f>U28*3+V28*1</f>
        <v>4</v>
      </c>
      <c r="AC28" s="194"/>
      <c r="AD28" s="31"/>
      <c r="AE28" s="14"/>
      <c r="AH28" s="195" t="str">
        <f>Matches!E19</f>
        <v>Poland</v>
      </c>
      <c r="CY28" s="14"/>
    </row>
    <row r="29" spans="1:103" s="17" customFormat="1" ht="15" customHeight="1" x14ac:dyDescent="0.2">
      <c r="A29" s="16"/>
      <c r="B29" s="79">
        <v>19</v>
      </c>
      <c r="C29" s="80" t="s">
        <v>49</v>
      </c>
      <c r="D29" s="81">
        <v>44365.625</v>
      </c>
      <c r="E29" s="82" t="s">
        <v>22</v>
      </c>
      <c r="F29" s="224">
        <v>1</v>
      </c>
      <c r="G29" s="224">
        <v>0</v>
      </c>
      <c r="H29" s="83" t="s">
        <v>20</v>
      </c>
      <c r="I29" s="84"/>
      <c r="J29" s="84"/>
      <c r="K29" s="84"/>
      <c r="L29" s="237"/>
      <c r="M29" s="85" t="str">
        <f t="shared" si="0"/>
        <v>Sweden</v>
      </c>
      <c r="N29" s="31"/>
      <c r="O29" s="146">
        <v>4</v>
      </c>
      <c r="P29" s="245" t="str">
        <f>VLOOKUP(4,'Dummy Table'!A25:B29,2,FALSE)</f>
        <v>Scotland</v>
      </c>
      <c r="Q29" s="245"/>
      <c r="R29" s="245"/>
      <c r="S29" s="245"/>
      <c r="T29" s="55">
        <f t="shared" si="4"/>
        <v>3</v>
      </c>
      <c r="U29" s="55">
        <f>VLOOKUP(P29,'Dummy Table'!B4:C40,2,FALSE)</f>
        <v>0</v>
      </c>
      <c r="V29" s="55">
        <f>VLOOKUP(P29,'Dummy Table'!B4:D40,3,FALSE)</f>
        <v>1</v>
      </c>
      <c r="W29" s="55">
        <f>VLOOKUP(P29,'Dummy Table'!B4:E40,4,FALSE)</f>
        <v>2</v>
      </c>
      <c r="X29" s="55">
        <f>VLOOKUP(P29,'Dummy Table'!B4:F40,5,FALSE)</f>
        <v>1</v>
      </c>
      <c r="Y29" s="55" t="s">
        <v>45</v>
      </c>
      <c r="Z29" s="55">
        <f>VLOOKUP(P29,'Dummy Table'!B4:G40,6,FALSE)</f>
        <v>5</v>
      </c>
      <c r="AA29" s="55">
        <f>X29-Z29</f>
        <v>-4</v>
      </c>
      <c r="AB29" s="55">
        <f>U29*3+V29*1</f>
        <v>1</v>
      </c>
      <c r="AC29" s="194"/>
      <c r="AD29" s="31"/>
      <c r="AE29" s="14"/>
      <c r="AH29" s="195" t="str">
        <f>Matches!H19</f>
        <v>Slovakia</v>
      </c>
      <c r="CY29" s="14"/>
    </row>
    <row r="30" spans="1:103" s="17" customFormat="1" ht="15" customHeight="1" x14ac:dyDescent="0.2">
      <c r="A30" s="16"/>
      <c r="B30" s="79">
        <v>20</v>
      </c>
      <c r="C30" s="80" t="s">
        <v>39</v>
      </c>
      <c r="D30" s="81">
        <v>44365.75</v>
      </c>
      <c r="E30" s="82" t="s">
        <v>5</v>
      </c>
      <c r="F30" s="224">
        <v>1</v>
      </c>
      <c r="G30" s="224">
        <v>1</v>
      </c>
      <c r="H30" s="83" t="s">
        <v>6</v>
      </c>
      <c r="I30" s="84"/>
      <c r="J30" s="84"/>
      <c r="K30" s="84"/>
      <c r="L30" s="237"/>
      <c r="M30" s="85" t="str">
        <f t="shared" si="0"/>
        <v/>
      </c>
      <c r="N30" s="31"/>
      <c r="O30" s="240" t="s">
        <v>52</v>
      </c>
      <c r="P30" s="241"/>
      <c r="Q30" s="241"/>
      <c r="R30" s="241"/>
      <c r="S30" s="241"/>
      <c r="T30" s="35" t="s">
        <v>37</v>
      </c>
      <c r="U30" s="35" t="s">
        <v>38</v>
      </c>
      <c r="V30" s="35" t="s">
        <v>39</v>
      </c>
      <c r="W30" s="35" t="s">
        <v>40</v>
      </c>
      <c r="X30" s="35" t="s">
        <v>41</v>
      </c>
      <c r="Y30" s="35"/>
      <c r="Z30" s="35" t="s">
        <v>42</v>
      </c>
      <c r="AA30" s="36" t="s">
        <v>43</v>
      </c>
      <c r="AB30" s="35" t="s">
        <v>44</v>
      </c>
      <c r="AC30" s="194"/>
      <c r="AD30" s="31"/>
      <c r="AE30" s="14"/>
      <c r="AH30" s="195" t="str">
        <f>Matches!E22</f>
        <v>France</v>
      </c>
      <c r="CY30" s="14"/>
    </row>
    <row r="31" spans="1:103" s="17" customFormat="1" ht="15" customHeight="1" x14ac:dyDescent="0.2">
      <c r="A31" s="16"/>
      <c r="B31" s="79">
        <v>21</v>
      </c>
      <c r="C31" s="80" t="s">
        <v>39</v>
      </c>
      <c r="D31" s="81">
        <v>44365.875</v>
      </c>
      <c r="E31" s="82" t="s">
        <v>8</v>
      </c>
      <c r="F31" s="224">
        <v>0</v>
      </c>
      <c r="G31" s="224">
        <v>0</v>
      </c>
      <c r="H31" s="83" t="s">
        <v>19</v>
      </c>
      <c r="I31" s="84"/>
      <c r="J31" s="84"/>
      <c r="K31" s="84"/>
      <c r="L31" s="237"/>
      <c r="M31" s="85" t="str">
        <f t="shared" si="0"/>
        <v/>
      </c>
      <c r="N31" s="31"/>
      <c r="O31" s="153">
        <v>1</v>
      </c>
      <c r="P31" s="276" t="str">
        <f>VLOOKUP(1,'Dummy Table'!A31:B35,2,FALSE)</f>
        <v>Sweden</v>
      </c>
      <c r="Q31" s="276"/>
      <c r="R31" s="276"/>
      <c r="S31" s="276"/>
      <c r="T31" s="90">
        <f>SUM(U31:W31)</f>
        <v>3</v>
      </c>
      <c r="U31" s="90">
        <f>VLOOKUP(P31,'Dummy Table'!B4:C40,2,FALSE)</f>
        <v>2</v>
      </c>
      <c r="V31" s="90">
        <f>VLOOKUP(P31,'Dummy Table'!B4:D40,3,FALSE)</f>
        <v>1</v>
      </c>
      <c r="W31" s="90">
        <f>VLOOKUP(P31,'Dummy Table'!B4:E40,4,FALSE)</f>
        <v>0</v>
      </c>
      <c r="X31" s="90">
        <f>VLOOKUP(P31,'Dummy Table'!B4:F40,5,FALSE)</f>
        <v>4</v>
      </c>
      <c r="Y31" s="91" t="s">
        <v>45</v>
      </c>
      <c r="Z31" s="90">
        <f>VLOOKUP(P31,'Dummy Table'!B4:G40,6,FALSE)</f>
        <v>2</v>
      </c>
      <c r="AA31" s="90">
        <f>X31-Z31</f>
        <v>2</v>
      </c>
      <c r="AB31" s="90">
        <f>U31*3+V31*1</f>
        <v>7</v>
      </c>
      <c r="AC31" s="194"/>
      <c r="AD31" s="31"/>
      <c r="AE31" s="14"/>
      <c r="AH31" s="195" t="str">
        <f>Matches!H22</f>
        <v>Germany</v>
      </c>
      <c r="CY31" s="14"/>
    </row>
    <row r="32" spans="1:103" s="17" customFormat="1" ht="15" customHeight="1" x14ac:dyDescent="0.2">
      <c r="A32" s="16"/>
      <c r="B32" s="79">
        <v>22</v>
      </c>
      <c r="C32" s="80" t="s">
        <v>41</v>
      </c>
      <c r="D32" s="81">
        <v>44366.625</v>
      </c>
      <c r="E32" s="82" t="s">
        <v>12</v>
      </c>
      <c r="F32" s="224">
        <v>1</v>
      </c>
      <c r="G32" s="224">
        <v>1</v>
      </c>
      <c r="H32" s="83" t="s">
        <v>10</v>
      </c>
      <c r="I32" s="84"/>
      <c r="J32" s="84"/>
      <c r="K32" s="84"/>
      <c r="L32" s="237"/>
      <c r="M32" s="85" t="str">
        <f t="shared" si="0"/>
        <v/>
      </c>
      <c r="N32" s="31"/>
      <c r="O32" s="153">
        <v>2</v>
      </c>
      <c r="P32" s="271" t="str">
        <f>VLOOKUP(2,'Dummy Table'!A31:B35,2,FALSE)</f>
        <v>Spain</v>
      </c>
      <c r="Q32" s="271"/>
      <c r="R32" s="271"/>
      <c r="S32" s="271"/>
      <c r="T32" s="92">
        <f t="shared" ref="T32:T34" si="5">SUM(U32:W32)</f>
        <v>3</v>
      </c>
      <c r="U32" s="92">
        <f>VLOOKUP(P32,'Dummy Table'!B4:C40,2,FALSE)</f>
        <v>1</v>
      </c>
      <c r="V32" s="92">
        <f>VLOOKUP(P32,'Dummy Table'!B4:D40,3,FALSE)</f>
        <v>2</v>
      </c>
      <c r="W32" s="92">
        <f>VLOOKUP(P32,'Dummy Table'!B4:E40,4,FALSE)</f>
        <v>0</v>
      </c>
      <c r="X32" s="92">
        <f>VLOOKUP(P32,'Dummy Table'!B4:F40,5,FALSE)</f>
        <v>6</v>
      </c>
      <c r="Y32" s="92" t="s">
        <v>45</v>
      </c>
      <c r="Z32" s="92">
        <f>VLOOKUP(P32,'Dummy Table'!B4:G40,6,FALSE)</f>
        <v>1</v>
      </c>
      <c r="AA32" s="92">
        <f>X32-Z32</f>
        <v>5</v>
      </c>
      <c r="AB32" s="92">
        <f>U32*3+V32*1</f>
        <v>5</v>
      </c>
      <c r="AC32" s="194"/>
      <c r="AD32" s="31"/>
      <c r="AE32" s="14"/>
      <c r="AH32" s="195" t="str">
        <f>Matches!E21</f>
        <v>Hungary</v>
      </c>
      <c r="CY32" s="14"/>
    </row>
    <row r="33" spans="1:103" s="17" customFormat="1" ht="15" customHeight="1" x14ac:dyDescent="0.2">
      <c r="A33" s="16"/>
      <c r="B33" s="79">
        <v>23</v>
      </c>
      <c r="C33" s="80" t="s">
        <v>41</v>
      </c>
      <c r="D33" s="81">
        <v>44366.75</v>
      </c>
      <c r="E33" s="82" t="s">
        <v>17</v>
      </c>
      <c r="F33" s="224">
        <v>2</v>
      </c>
      <c r="G33" s="224">
        <v>4</v>
      </c>
      <c r="H33" s="83" t="s">
        <v>11</v>
      </c>
      <c r="I33" s="84"/>
      <c r="J33" s="84"/>
      <c r="K33" s="84"/>
      <c r="L33" s="237"/>
      <c r="M33" s="85" t="str">
        <f t="shared" si="0"/>
        <v>Germany</v>
      </c>
      <c r="N33" s="31"/>
      <c r="O33" s="154">
        <v>3</v>
      </c>
      <c r="P33" s="277" t="str">
        <f>VLOOKUP(3,'Dummy Table'!A31:B35,2,FALSE)</f>
        <v>Slovakia</v>
      </c>
      <c r="Q33" s="277"/>
      <c r="R33" s="277"/>
      <c r="S33" s="277"/>
      <c r="T33" s="93">
        <f t="shared" si="5"/>
        <v>3</v>
      </c>
      <c r="U33" s="93">
        <f>VLOOKUP(P33,'Dummy Table'!B4:C40,2,FALSE)</f>
        <v>1</v>
      </c>
      <c r="V33" s="93">
        <f>VLOOKUP(P33,'Dummy Table'!B4:D40,3,FALSE)</f>
        <v>0</v>
      </c>
      <c r="W33" s="93">
        <f>VLOOKUP(P33,'Dummy Table'!B4:E40,4,FALSE)</f>
        <v>2</v>
      </c>
      <c r="X33" s="93">
        <f>VLOOKUP(P33,'Dummy Table'!B4:F40,5,FALSE)</f>
        <v>2</v>
      </c>
      <c r="Y33" s="93" t="s">
        <v>45</v>
      </c>
      <c r="Z33" s="93">
        <f>VLOOKUP(P33,'Dummy Table'!B4:G40,6,FALSE)</f>
        <v>7</v>
      </c>
      <c r="AA33" s="93">
        <f>X33-Z33</f>
        <v>-5</v>
      </c>
      <c r="AB33" s="93">
        <f>U33*3+V33*1</f>
        <v>3</v>
      </c>
      <c r="AC33" s="194"/>
      <c r="AD33" s="31"/>
      <c r="AE33" s="14"/>
      <c r="AH33" s="195" t="str">
        <f>Matches!H21</f>
        <v>Portugal</v>
      </c>
      <c r="CY33" s="14"/>
    </row>
    <row r="34" spans="1:103" s="17" customFormat="1" ht="15" customHeight="1" thickBot="1" x14ac:dyDescent="0.25">
      <c r="A34" s="16">
        <f>IF(F34&lt;&gt;"",2,0)</f>
        <v>2</v>
      </c>
      <c r="B34" s="94">
        <v>24</v>
      </c>
      <c r="C34" s="95" t="s">
        <v>49</v>
      </c>
      <c r="D34" s="96">
        <v>44366.875</v>
      </c>
      <c r="E34" s="97" t="s">
        <v>21</v>
      </c>
      <c r="F34" s="225">
        <v>1</v>
      </c>
      <c r="G34" s="225">
        <v>1</v>
      </c>
      <c r="H34" s="98" t="s">
        <v>16</v>
      </c>
      <c r="I34" s="99"/>
      <c r="J34" s="99"/>
      <c r="K34" s="100"/>
      <c r="L34" s="233"/>
      <c r="M34" s="101" t="str">
        <f t="shared" si="0"/>
        <v/>
      </c>
      <c r="N34" s="31"/>
      <c r="O34" s="146">
        <v>4</v>
      </c>
      <c r="P34" s="245" t="str">
        <f>VLOOKUP(4,'Dummy Table'!A31:B35,2,FALSE)</f>
        <v>Poland</v>
      </c>
      <c r="Q34" s="245"/>
      <c r="R34" s="245"/>
      <c r="S34" s="245"/>
      <c r="T34" s="55">
        <f t="shared" si="5"/>
        <v>3</v>
      </c>
      <c r="U34" s="55">
        <f>VLOOKUP(P34,'Dummy Table'!B4:C40,2,FALSE)</f>
        <v>0</v>
      </c>
      <c r="V34" s="55">
        <f>VLOOKUP(P34,'Dummy Table'!B4:D40,3,FALSE)</f>
        <v>1</v>
      </c>
      <c r="W34" s="55">
        <f>VLOOKUP(P34,'Dummy Table'!B4:E40,4,FALSE)</f>
        <v>2</v>
      </c>
      <c r="X34" s="55">
        <f>VLOOKUP(P34,'Dummy Table'!B4:F40,5,FALSE)</f>
        <v>4</v>
      </c>
      <c r="Y34" s="55" t="s">
        <v>45</v>
      </c>
      <c r="Z34" s="55">
        <f>VLOOKUP(P34,'Dummy Table'!B4:G40,6,FALSE)</f>
        <v>6</v>
      </c>
      <c r="AA34" s="55">
        <f>X34-Z34</f>
        <v>-2</v>
      </c>
      <c r="AB34" s="55">
        <f>U34*3+V34*1</f>
        <v>1</v>
      </c>
      <c r="AC34" s="194"/>
      <c r="AD34" s="31"/>
      <c r="AE34" s="14"/>
      <c r="AH34" s="16"/>
      <c r="CY34" s="14"/>
    </row>
    <row r="35" spans="1:103" s="17" customFormat="1" ht="15" customHeight="1" x14ac:dyDescent="0.2">
      <c r="A35" s="16"/>
      <c r="B35" s="37">
        <v>25</v>
      </c>
      <c r="C35" s="38" t="s">
        <v>42</v>
      </c>
      <c r="D35" s="39">
        <v>44367.75</v>
      </c>
      <c r="E35" s="40" t="s">
        <v>23</v>
      </c>
      <c r="F35" s="223">
        <v>3</v>
      </c>
      <c r="G35" s="223">
        <v>1</v>
      </c>
      <c r="H35" s="41" t="s">
        <v>24</v>
      </c>
      <c r="I35" s="42"/>
      <c r="J35" s="42"/>
      <c r="K35" s="42"/>
      <c r="L35" s="229">
        <v>3</v>
      </c>
      <c r="M35" s="102" t="str">
        <f t="shared" si="0"/>
        <v>Switzerland</v>
      </c>
      <c r="N35" s="31"/>
      <c r="O35" s="240" t="s">
        <v>53</v>
      </c>
      <c r="P35" s="241"/>
      <c r="Q35" s="241"/>
      <c r="R35" s="241"/>
      <c r="S35" s="241"/>
      <c r="T35" s="35" t="s">
        <v>37</v>
      </c>
      <c r="U35" s="35" t="s">
        <v>38</v>
      </c>
      <c r="V35" s="35" t="s">
        <v>39</v>
      </c>
      <c r="W35" s="35" t="s">
        <v>40</v>
      </c>
      <c r="X35" s="35" t="s">
        <v>41</v>
      </c>
      <c r="Y35" s="35"/>
      <c r="Z35" s="35" t="s">
        <v>42</v>
      </c>
      <c r="AA35" s="36" t="s">
        <v>43</v>
      </c>
      <c r="AB35" s="35" t="s">
        <v>44</v>
      </c>
      <c r="AC35" s="194"/>
      <c r="AD35" s="31"/>
      <c r="AE35" s="14"/>
      <c r="AH35" s="16"/>
      <c r="CY35" s="14"/>
    </row>
    <row r="36" spans="1:103" s="17" customFormat="1" ht="15" customHeight="1" x14ac:dyDescent="0.2">
      <c r="A36" s="16"/>
      <c r="B36" s="46">
        <v>26</v>
      </c>
      <c r="C36" s="47" t="s">
        <v>42</v>
      </c>
      <c r="D36" s="48">
        <v>44367.75</v>
      </c>
      <c r="E36" s="49" t="s">
        <v>13</v>
      </c>
      <c r="F36" s="224">
        <v>1</v>
      </c>
      <c r="G36" s="224">
        <v>0</v>
      </c>
      <c r="H36" s="50" t="s">
        <v>26</v>
      </c>
      <c r="I36" s="51"/>
      <c r="J36" s="51"/>
      <c r="K36" s="51"/>
      <c r="L36" s="230"/>
      <c r="M36" s="52" t="str">
        <f t="shared" si="0"/>
        <v>Italy</v>
      </c>
      <c r="N36" s="31"/>
      <c r="O36" s="155">
        <v>1</v>
      </c>
      <c r="P36" s="242" t="str">
        <f>VLOOKUP(1,'Dummy Table'!A37:B41,2,FALSE)</f>
        <v>France</v>
      </c>
      <c r="Q36" s="242"/>
      <c r="R36" s="242"/>
      <c r="S36" s="242"/>
      <c r="T36" s="103">
        <f>SUM(U36:W36)</f>
        <v>3</v>
      </c>
      <c r="U36" s="103">
        <f>VLOOKUP(P36,'Dummy Table'!B4:C40,2,FALSE)</f>
        <v>1</v>
      </c>
      <c r="V36" s="103">
        <f>VLOOKUP(P36,'Dummy Table'!B4:D40,3,FALSE)</f>
        <v>2</v>
      </c>
      <c r="W36" s="103">
        <f>VLOOKUP(P36,'Dummy Table'!B4:E40,4,FALSE)</f>
        <v>0</v>
      </c>
      <c r="X36" s="103">
        <f>VLOOKUP(P36,'Dummy Table'!B4:F40,5,FALSE)</f>
        <v>4</v>
      </c>
      <c r="Y36" s="104" t="s">
        <v>45</v>
      </c>
      <c r="Z36" s="103">
        <f>VLOOKUP(P36,'Dummy Table'!B4:G40,6,FALSE)</f>
        <v>3</v>
      </c>
      <c r="AA36" s="103">
        <f>X36-Z36</f>
        <v>1</v>
      </c>
      <c r="AB36" s="103">
        <f>U36*3+V36*1</f>
        <v>5</v>
      </c>
      <c r="AC36" s="194"/>
      <c r="AD36" s="31"/>
      <c r="AE36" s="14"/>
      <c r="AH36" s="16"/>
      <c r="CY36" s="14"/>
    </row>
    <row r="37" spans="1:103" s="17" customFormat="1" ht="15" customHeight="1" x14ac:dyDescent="0.2">
      <c r="A37" s="16"/>
      <c r="B37" s="46">
        <v>27</v>
      </c>
      <c r="C37" s="47" t="s">
        <v>48</v>
      </c>
      <c r="D37" s="48">
        <v>44368.75</v>
      </c>
      <c r="E37" s="49" t="s">
        <v>15</v>
      </c>
      <c r="F37" s="224">
        <v>0</v>
      </c>
      <c r="G37" s="224">
        <v>3</v>
      </c>
      <c r="H37" s="50" t="s">
        <v>14</v>
      </c>
      <c r="I37" s="51"/>
      <c r="J37" s="51"/>
      <c r="K37" s="51"/>
      <c r="L37" s="230"/>
      <c r="M37" s="52" t="str">
        <f t="shared" si="0"/>
        <v>Netherlands</v>
      </c>
      <c r="N37" s="31"/>
      <c r="O37" s="155">
        <v>2</v>
      </c>
      <c r="P37" s="243" t="str">
        <f>VLOOKUP(2,'Dummy Table'!A37:B41,2,FALSE)</f>
        <v>Germany</v>
      </c>
      <c r="Q37" s="243"/>
      <c r="R37" s="243"/>
      <c r="S37" s="243"/>
      <c r="T37" s="105">
        <f t="shared" ref="T37:T39" si="6">SUM(U37:W37)</f>
        <v>3</v>
      </c>
      <c r="U37" s="105">
        <f>VLOOKUP(P37,'Dummy Table'!B4:C40,2,FALSE)</f>
        <v>1</v>
      </c>
      <c r="V37" s="105">
        <f>VLOOKUP(P37,'Dummy Table'!B4:D40,3,FALSE)</f>
        <v>1</v>
      </c>
      <c r="W37" s="105">
        <f>VLOOKUP(P37,'Dummy Table'!B4:E40,4,FALSE)</f>
        <v>1</v>
      </c>
      <c r="X37" s="105">
        <f>VLOOKUP(P37,'Dummy Table'!B4:F40,5,FALSE)</f>
        <v>6</v>
      </c>
      <c r="Y37" s="105" t="s">
        <v>45</v>
      </c>
      <c r="Z37" s="105">
        <f>VLOOKUP(P37,'Dummy Table'!B4:G40,6,FALSE)</f>
        <v>5</v>
      </c>
      <c r="AA37" s="105">
        <f>X37-Z37</f>
        <v>1</v>
      </c>
      <c r="AB37" s="105">
        <f>U37*3+V37*1</f>
        <v>4</v>
      </c>
      <c r="AC37" s="194"/>
      <c r="AD37" s="31"/>
      <c r="AE37" s="14"/>
      <c r="AH37" s="16"/>
      <c r="CY37" s="14"/>
    </row>
    <row r="38" spans="1:103" s="17" customFormat="1" ht="15" customHeight="1" x14ac:dyDescent="0.2">
      <c r="A38" s="16"/>
      <c r="B38" s="46">
        <v>28</v>
      </c>
      <c r="C38" s="47" t="s">
        <v>48</v>
      </c>
      <c r="D38" s="48">
        <v>44368.75</v>
      </c>
      <c r="E38" s="49" t="s">
        <v>25</v>
      </c>
      <c r="F38" s="224">
        <v>0</v>
      </c>
      <c r="G38" s="224">
        <v>1</v>
      </c>
      <c r="H38" s="50" t="s">
        <v>2</v>
      </c>
      <c r="I38" s="51"/>
      <c r="J38" s="51"/>
      <c r="K38" s="51"/>
      <c r="L38" s="230"/>
      <c r="M38" s="52" t="str">
        <f t="shared" si="0"/>
        <v>Austria</v>
      </c>
      <c r="N38" s="31"/>
      <c r="O38" s="156">
        <v>3</v>
      </c>
      <c r="P38" s="244" t="str">
        <f>VLOOKUP(3,'Dummy Table'!A37:B41,2,FALSE)</f>
        <v>Portugal</v>
      </c>
      <c r="Q38" s="244"/>
      <c r="R38" s="244"/>
      <c r="S38" s="244"/>
      <c r="T38" s="106">
        <f t="shared" si="6"/>
        <v>3</v>
      </c>
      <c r="U38" s="106">
        <f>VLOOKUP(P38,'Dummy Table'!B4:C40,2,FALSE)</f>
        <v>1</v>
      </c>
      <c r="V38" s="106">
        <f>VLOOKUP(P38,'Dummy Table'!B4:D40,3,FALSE)</f>
        <v>1</v>
      </c>
      <c r="W38" s="106">
        <f>VLOOKUP(P38,'Dummy Table'!B4:E40,4,FALSE)</f>
        <v>1</v>
      </c>
      <c r="X38" s="106">
        <f>VLOOKUP(P38,'Dummy Table'!B4:F40,5,FALSE)</f>
        <v>7</v>
      </c>
      <c r="Y38" s="106" t="s">
        <v>45</v>
      </c>
      <c r="Z38" s="106">
        <f>VLOOKUP(P38,'Dummy Table'!B4:G40,6,FALSE)</f>
        <v>6</v>
      </c>
      <c r="AA38" s="106">
        <f>X38-Z38</f>
        <v>1</v>
      </c>
      <c r="AB38" s="106">
        <f>U38*3+V38*1</f>
        <v>4</v>
      </c>
      <c r="AC38" s="194"/>
      <c r="AD38" s="31"/>
      <c r="AE38" s="14"/>
      <c r="AH38" s="16"/>
      <c r="CY38" s="14"/>
    </row>
    <row r="39" spans="1:103" s="17" customFormat="1" ht="15" customHeight="1" x14ac:dyDescent="0.2">
      <c r="A39" s="16"/>
      <c r="B39" s="46">
        <v>29</v>
      </c>
      <c r="C39" s="47" t="s">
        <v>46</v>
      </c>
      <c r="D39" s="48">
        <v>44368.875</v>
      </c>
      <c r="E39" s="49" t="s">
        <v>18</v>
      </c>
      <c r="F39" s="224">
        <v>1</v>
      </c>
      <c r="G39" s="224">
        <v>4</v>
      </c>
      <c r="H39" s="50" t="s">
        <v>7</v>
      </c>
      <c r="I39" s="51"/>
      <c r="J39" s="51"/>
      <c r="K39" s="51"/>
      <c r="L39" s="230"/>
      <c r="M39" s="52" t="str">
        <f t="shared" si="0"/>
        <v>Denmark</v>
      </c>
      <c r="N39" s="31"/>
      <c r="O39" s="146">
        <v>4</v>
      </c>
      <c r="P39" s="245" t="str">
        <f>VLOOKUP(4,'Dummy Table'!A37:B41,2,FALSE)</f>
        <v>Hungary</v>
      </c>
      <c r="Q39" s="245"/>
      <c r="R39" s="245"/>
      <c r="S39" s="245"/>
      <c r="T39" s="55">
        <f t="shared" si="6"/>
        <v>3</v>
      </c>
      <c r="U39" s="55">
        <f>VLOOKUP(P39,'Dummy Table'!B4:C40,2,FALSE)</f>
        <v>0</v>
      </c>
      <c r="V39" s="55">
        <f>VLOOKUP(P39,'Dummy Table'!B4:D40,3,FALSE)</f>
        <v>2</v>
      </c>
      <c r="W39" s="55">
        <f>VLOOKUP(P39,'Dummy Table'!B4:E40,4,FALSE)</f>
        <v>1</v>
      </c>
      <c r="X39" s="55">
        <f>VLOOKUP(P39,'Dummy Table'!B4:F40,5,FALSE)</f>
        <v>3</v>
      </c>
      <c r="Y39" s="55" t="s">
        <v>45</v>
      </c>
      <c r="Z39" s="55">
        <f>VLOOKUP(P39,'Dummy Table'!B4:G40,6,FALSE)</f>
        <v>6</v>
      </c>
      <c r="AA39" s="55">
        <f>X39-Z39</f>
        <v>-3</v>
      </c>
      <c r="AB39" s="55">
        <f>U39*3+V39*1</f>
        <v>2</v>
      </c>
      <c r="AC39" s="194"/>
      <c r="AD39" s="31"/>
      <c r="AE39" s="14"/>
      <c r="AH39" s="16"/>
      <c r="CY39" s="14"/>
    </row>
    <row r="40" spans="1:103" s="17" customFormat="1" ht="15" customHeight="1" x14ac:dyDescent="0.2">
      <c r="A40" s="16"/>
      <c r="B40" s="46">
        <v>30</v>
      </c>
      <c r="C40" s="47" t="s">
        <v>46</v>
      </c>
      <c r="D40" s="48">
        <v>44368.875</v>
      </c>
      <c r="E40" s="49" t="s">
        <v>9</v>
      </c>
      <c r="F40" s="224">
        <v>0</v>
      </c>
      <c r="G40" s="224">
        <v>2</v>
      </c>
      <c r="H40" s="50" t="s">
        <v>4</v>
      </c>
      <c r="I40" s="51"/>
      <c r="J40" s="51"/>
      <c r="K40" s="51"/>
      <c r="L40" s="230"/>
      <c r="M40" s="52" t="str">
        <f t="shared" si="0"/>
        <v>Belgium</v>
      </c>
      <c r="N40" s="31"/>
      <c r="O40" s="157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158"/>
      <c r="AD40" s="31"/>
      <c r="AE40" s="14"/>
      <c r="AH40" s="16"/>
      <c r="CY40" s="14"/>
    </row>
    <row r="41" spans="1:103" s="17" customFormat="1" ht="15" customHeight="1" x14ac:dyDescent="0.2">
      <c r="A41" s="16"/>
      <c r="B41" s="46">
        <v>31</v>
      </c>
      <c r="C41" s="47" t="s">
        <v>39</v>
      </c>
      <c r="D41" s="48">
        <v>44369.875</v>
      </c>
      <c r="E41" s="49" t="s">
        <v>5</v>
      </c>
      <c r="F41" s="224">
        <v>3</v>
      </c>
      <c r="G41" s="224">
        <v>1</v>
      </c>
      <c r="H41" s="50" t="s">
        <v>19</v>
      </c>
      <c r="I41" s="51"/>
      <c r="J41" s="51"/>
      <c r="K41" s="51"/>
      <c r="L41" s="230"/>
      <c r="M41" s="52" t="str">
        <f t="shared" si="0"/>
        <v>Croatia</v>
      </c>
      <c r="N41" s="31"/>
      <c r="O41" s="159" t="s">
        <v>54</v>
      </c>
      <c r="P41" s="107"/>
      <c r="Q41" s="107"/>
      <c r="R41" s="107"/>
      <c r="S41" s="107"/>
      <c r="T41" s="107"/>
      <c r="U41" s="108"/>
      <c r="V41" s="107"/>
      <c r="W41" s="107"/>
      <c r="X41" s="107"/>
      <c r="Y41" s="107"/>
      <c r="Z41" s="107"/>
      <c r="AA41" s="107"/>
      <c r="AB41" s="107"/>
      <c r="AC41" s="160"/>
      <c r="AD41" s="31"/>
      <c r="AE41" s="14"/>
      <c r="AH41" s="16"/>
      <c r="CY41" s="14"/>
    </row>
    <row r="42" spans="1:103" s="17" customFormat="1" ht="15" customHeight="1" x14ac:dyDescent="0.2">
      <c r="A42" s="16"/>
      <c r="B42" s="46">
        <v>32</v>
      </c>
      <c r="C42" s="47" t="s">
        <v>39</v>
      </c>
      <c r="D42" s="48">
        <v>44369.875</v>
      </c>
      <c r="E42" s="49" t="s">
        <v>6</v>
      </c>
      <c r="F42" s="224">
        <v>0</v>
      </c>
      <c r="G42" s="224">
        <v>1</v>
      </c>
      <c r="H42" s="50" t="s">
        <v>8</v>
      </c>
      <c r="I42" s="51"/>
      <c r="J42" s="51"/>
      <c r="K42" s="51"/>
      <c r="L42" s="230"/>
      <c r="M42" s="52" t="str">
        <f t="shared" si="0"/>
        <v>England</v>
      </c>
      <c r="N42" s="31"/>
      <c r="O42" s="161"/>
      <c r="P42" s="109" t="s">
        <v>31</v>
      </c>
      <c r="Q42" s="109"/>
      <c r="R42" s="109"/>
      <c r="S42" s="109"/>
      <c r="T42" s="110" t="s">
        <v>37</v>
      </c>
      <c r="U42" s="110" t="s">
        <v>38</v>
      </c>
      <c r="V42" s="110" t="s">
        <v>39</v>
      </c>
      <c r="W42" s="110" t="s">
        <v>40</v>
      </c>
      <c r="X42" s="110" t="s">
        <v>41</v>
      </c>
      <c r="Y42" s="110"/>
      <c r="Z42" s="110" t="s">
        <v>42</v>
      </c>
      <c r="AA42" s="110" t="s">
        <v>43</v>
      </c>
      <c r="AB42" s="110" t="s">
        <v>44</v>
      </c>
      <c r="AC42" s="162" t="s">
        <v>29</v>
      </c>
      <c r="AD42" s="31"/>
      <c r="AE42" s="14"/>
      <c r="AH42" s="16"/>
      <c r="CY42" s="14"/>
    </row>
    <row r="43" spans="1:103" s="17" customFormat="1" ht="15" customHeight="1" x14ac:dyDescent="0.2">
      <c r="A43" s="16"/>
      <c r="B43" s="46">
        <v>33</v>
      </c>
      <c r="C43" s="47" t="s">
        <v>49</v>
      </c>
      <c r="D43" s="48">
        <v>44370.75</v>
      </c>
      <c r="E43" s="49" t="s">
        <v>22</v>
      </c>
      <c r="F43" s="224">
        <v>3</v>
      </c>
      <c r="G43" s="224">
        <v>2</v>
      </c>
      <c r="H43" s="50" t="s">
        <v>16</v>
      </c>
      <c r="I43" s="51"/>
      <c r="J43" s="51"/>
      <c r="K43" s="51"/>
      <c r="L43" s="230"/>
      <c r="M43" s="52" t="str">
        <f t="shared" si="0"/>
        <v>Sweden</v>
      </c>
      <c r="N43" s="31"/>
      <c r="O43" s="163">
        <v>1</v>
      </c>
      <c r="P43" s="234" t="str">
        <f>INDEX('Dummy Table'!DH3:DH8,MATCH(Matches!O43,'Dummy Table'!DU3:DU8,0),0)</f>
        <v>Portugal</v>
      </c>
      <c r="Q43" s="234"/>
      <c r="R43" s="234"/>
      <c r="S43" s="234"/>
      <c r="T43" s="111">
        <f>VLOOKUP(P43,P11:AB39,5,FALSE)</f>
        <v>3</v>
      </c>
      <c r="U43" s="111">
        <f>VLOOKUP(P43,P11:AB39,6,FALSE)</f>
        <v>1</v>
      </c>
      <c r="V43" s="111">
        <f>VLOOKUP(P43,P11:AB39,7,FALSE)</f>
        <v>1</v>
      </c>
      <c r="W43" s="111">
        <f>VLOOKUP(P43,P11:AB39,8,FALSE)</f>
        <v>1</v>
      </c>
      <c r="X43" s="111">
        <f>VLOOKUP(P43,P11:AB39,9,FALSE)</f>
        <v>7</v>
      </c>
      <c r="Y43" s="111" t="s">
        <v>45</v>
      </c>
      <c r="Z43" s="111">
        <f>VLOOKUP(P43,P11:AB39,11,FALSE)</f>
        <v>6</v>
      </c>
      <c r="AA43" s="111">
        <f>VLOOKUP(P43,P11:AB39,12,FALSE)</f>
        <v>1</v>
      </c>
      <c r="AB43" s="111">
        <f>VLOOKUP(P43,P11:AB39,13,FALSE)</f>
        <v>4</v>
      </c>
      <c r="AC43" s="164" t="str">
        <f>INDEX('Dummy Table'!DV3:DV8,MATCH(Matches!O43,'Dummy Table'!DU3:DU8,0),0)</f>
        <v>F</v>
      </c>
      <c r="AD43" s="31"/>
      <c r="AE43" s="14"/>
      <c r="AH43" s="16"/>
      <c r="CY43" s="14"/>
    </row>
    <row r="44" spans="1:103" s="17" customFormat="1" ht="15" customHeight="1" x14ac:dyDescent="0.2">
      <c r="A44" s="16"/>
      <c r="B44" s="46">
        <v>34</v>
      </c>
      <c r="C44" s="47" t="s">
        <v>49</v>
      </c>
      <c r="D44" s="48">
        <v>44370.75</v>
      </c>
      <c r="E44" s="49" t="s">
        <v>20</v>
      </c>
      <c r="F44" s="224">
        <v>0</v>
      </c>
      <c r="G44" s="224">
        <v>5</v>
      </c>
      <c r="H44" s="50" t="s">
        <v>21</v>
      </c>
      <c r="I44" s="51"/>
      <c r="J44" s="51"/>
      <c r="K44" s="51"/>
      <c r="L44" s="230"/>
      <c r="M44" s="52" t="str">
        <f t="shared" si="0"/>
        <v>Spain</v>
      </c>
      <c r="N44" s="31"/>
      <c r="O44" s="163">
        <v>2</v>
      </c>
      <c r="P44" s="234" t="str">
        <f>INDEX('Dummy Table'!DH3:DH8,MATCH(Matches!O44,'Dummy Table'!DU3:DU8,0),0)</f>
        <v>Czech Republic</v>
      </c>
      <c r="Q44" s="234"/>
      <c r="R44" s="234"/>
      <c r="S44" s="234"/>
      <c r="T44" s="111">
        <f>VLOOKUP(P44,P11:AB39,5,FALSE)</f>
        <v>3</v>
      </c>
      <c r="U44" s="111">
        <f>VLOOKUP(P44,P11:AB39,6,FALSE)</f>
        <v>1</v>
      </c>
      <c r="V44" s="111">
        <f>VLOOKUP(P44,P11:AB39,7,FALSE)</f>
        <v>1</v>
      </c>
      <c r="W44" s="111">
        <f>VLOOKUP(P44,P11:AB39,8,FALSE)</f>
        <v>1</v>
      </c>
      <c r="X44" s="111">
        <f>VLOOKUP(P44,P11:AB39,9,FALSE)</f>
        <v>3</v>
      </c>
      <c r="Y44" s="111" t="s">
        <v>45</v>
      </c>
      <c r="Z44" s="111">
        <f>VLOOKUP(P44,P11:AB39,11,FALSE)</f>
        <v>2</v>
      </c>
      <c r="AA44" s="111">
        <f>VLOOKUP(P44,P11:AB39,12,FALSE)</f>
        <v>1</v>
      </c>
      <c r="AB44" s="111">
        <f>VLOOKUP(P44,P11:AB39,13,FALSE)</f>
        <v>4</v>
      </c>
      <c r="AC44" s="164" t="str">
        <f>INDEX('Dummy Table'!DV3:DV8,MATCH(Matches!O44,'Dummy Table'!DU3:DU8,0),0)</f>
        <v>D</v>
      </c>
      <c r="AD44" s="31"/>
      <c r="AE44" s="14"/>
      <c r="AF44" s="227"/>
      <c r="AG44" s="227"/>
      <c r="AH44" s="227"/>
      <c r="AI44" s="227"/>
      <c r="AJ44" s="227"/>
      <c r="AK44" s="227"/>
      <c r="AL44" s="227"/>
      <c r="AM44" s="227"/>
      <c r="AN44" s="227"/>
      <c r="AO44" s="227"/>
      <c r="AP44" s="227"/>
      <c r="CY44" s="14"/>
    </row>
    <row r="45" spans="1:103" s="17" customFormat="1" ht="15" customHeight="1" x14ac:dyDescent="0.2">
      <c r="A45" s="16"/>
      <c r="B45" s="46">
        <v>35</v>
      </c>
      <c r="C45" s="47" t="s">
        <v>41</v>
      </c>
      <c r="D45" s="48">
        <v>44370.875</v>
      </c>
      <c r="E45" s="49" t="s">
        <v>17</v>
      </c>
      <c r="F45" s="224">
        <v>2</v>
      </c>
      <c r="G45" s="224">
        <v>2</v>
      </c>
      <c r="H45" s="50" t="s">
        <v>10</v>
      </c>
      <c r="I45" s="51"/>
      <c r="J45" s="51"/>
      <c r="K45" s="51"/>
      <c r="L45" s="230"/>
      <c r="M45" s="52" t="str">
        <f t="shared" si="0"/>
        <v/>
      </c>
      <c r="N45" s="31"/>
      <c r="O45" s="163">
        <v>3</v>
      </c>
      <c r="P45" s="234" t="str">
        <f>INDEX('Dummy Table'!DH3:DH8,MATCH(Matches!O45,'Dummy Table'!DU3:DU8,0),0)</f>
        <v>Switzerland</v>
      </c>
      <c r="Q45" s="234"/>
      <c r="R45" s="234"/>
      <c r="S45" s="234"/>
      <c r="T45" s="111">
        <f>VLOOKUP(P45,P11:AB39,5,FALSE)</f>
        <v>3</v>
      </c>
      <c r="U45" s="111">
        <f>VLOOKUP(P45,P11:AB39,6,FALSE)</f>
        <v>1</v>
      </c>
      <c r="V45" s="111">
        <f>VLOOKUP(P45,P11:AB39,7,FALSE)</f>
        <v>1</v>
      </c>
      <c r="W45" s="111">
        <f>VLOOKUP(P45,P11:AB39,8,FALSE)</f>
        <v>1</v>
      </c>
      <c r="X45" s="111">
        <f>VLOOKUP(P45,P11:AB39,9,FALSE)</f>
        <v>4</v>
      </c>
      <c r="Y45" s="111" t="s">
        <v>45</v>
      </c>
      <c r="Z45" s="111">
        <f>VLOOKUP(P45,P11:AB39,11,FALSE)</f>
        <v>5</v>
      </c>
      <c r="AA45" s="111">
        <f>VLOOKUP(P45,P11:AB39,12,FALSE)</f>
        <v>-1</v>
      </c>
      <c r="AB45" s="111">
        <f>VLOOKUP(P45,P11:AB39,13,FALSE)</f>
        <v>4</v>
      </c>
      <c r="AC45" s="164" t="str">
        <f>INDEX('Dummy Table'!DV3:DV8,MATCH(Matches!O45,'Dummy Table'!DU3:DU8,0),0)</f>
        <v>A</v>
      </c>
      <c r="AD45" s="31"/>
      <c r="AE45" s="14"/>
      <c r="AF45" s="227"/>
      <c r="AG45" s="16"/>
      <c r="AH45" s="16"/>
      <c r="AI45" s="16"/>
      <c r="AJ45" s="16"/>
      <c r="AK45" s="16"/>
      <c r="AL45" s="16"/>
      <c r="AM45" s="227"/>
      <c r="AN45" s="227"/>
      <c r="AO45" s="227"/>
      <c r="AP45" s="227"/>
      <c r="CY45" s="14"/>
    </row>
    <row r="46" spans="1:103" s="17" customFormat="1" ht="15" customHeight="1" thickBot="1" x14ac:dyDescent="0.25">
      <c r="A46" s="16">
        <f>IF(F46&lt;&gt;"",3,0)</f>
        <v>3</v>
      </c>
      <c r="B46" s="112">
        <v>36</v>
      </c>
      <c r="C46" s="113" t="s">
        <v>41</v>
      </c>
      <c r="D46" s="114">
        <v>44370.875</v>
      </c>
      <c r="E46" s="115" t="s">
        <v>11</v>
      </c>
      <c r="F46" s="226">
        <v>2</v>
      </c>
      <c r="G46" s="226">
        <v>2</v>
      </c>
      <c r="H46" s="116" t="s">
        <v>12</v>
      </c>
      <c r="I46" s="117"/>
      <c r="J46" s="117"/>
      <c r="K46" s="117"/>
      <c r="L46" s="239"/>
      <c r="M46" s="118" t="str">
        <f>IF(F46&lt;&gt;"",IF(F46&gt;G46,E46,IF(F46&lt;G46,H46,"")),"")</f>
        <v/>
      </c>
      <c r="N46" s="31"/>
      <c r="O46" s="163">
        <v>4</v>
      </c>
      <c r="P46" s="234" t="str">
        <f>INDEX('Dummy Table'!DH3:DH8,MATCH(Matches!O46,'Dummy Table'!DU3:DU8,0),0)</f>
        <v>Ukraine</v>
      </c>
      <c r="Q46" s="234"/>
      <c r="R46" s="234"/>
      <c r="S46" s="234"/>
      <c r="T46" s="111">
        <f>VLOOKUP(P46,P11:AB39,5,FALSE)</f>
        <v>3</v>
      </c>
      <c r="U46" s="111">
        <f>VLOOKUP(P46,P11:AB39,6,FALSE)</f>
        <v>1</v>
      </c>
      <c r="V46" s="111">
        <f>VLOOKUP(P46,P11:AB39,7,FALSE)</f>
        <v>0</v>
      </c>
      <c r="W46" s="111">
        <f>VLOOKUP(P46,P11:AB39,8,FALSE)</f>
        <v>2</v>
      </c>
      <c r="X46" s="111">
        <f>VLOOKUP(P46,P11:AB39,9,FALSE)</f>
        <v>4</v>
      </c>
      <c r="Y46" s="111" t="s">
        <v>45</v>
      </c>
      <c r="Z46" s="111">
        <f>VLOOKUP(P46,P11:AB39,11,FALSE)</f>
        <v>5</v>
      </c>
      <c r="AA46" s="111">
        <f>VLOOKUP(P46,P11:AB39,12,FALSE)</f>
        <v>-1</v>
      </c>
      <c r="AB46" s="111">
        <f>VLOOKUP(P46,P11:AB39,13,FALSE)</f>
        <v>3</v>
      </c>
      <c r="AC46" s="164" t="str">
        <f>INDEX('Dummy Table'!DV3:DV8,MATCH(Matches!O46,'Dummy Table'!DU3:DU8,0),0)</f>
        <v>C</v>
      </c>
      <c r="AD46" s="31"/>
      <c r="AE46" s="14"/>
      <c r="AF46" s="227"/>
      <c r="AG46" s="16"/>
      <c r="AH46" s="16"/>
      <c r="AI46" s="16"/>
      <c r="AJ46" s="16"/>
      <c r="AK46" s="16"/>
      <c r="AL46" s="16"/>
      <c r="AM46" s="227"/>
      <c r="AN46" s="227"/>
      <c r="AO46" s="227"/>
      <c r="AP46" s="227"/>
      <c r="CY46" s="14"/>
    </row>
    <row r="47" spans="1:103" s="17" customFormat="1" ht="15" customHeight="1" thickBot="1" x14ac:dyDescent="0.25">
      <c r="A47" s="16"/>
      <c r="B47" s="209" t="s">
        <v>118</v>
      </c>
      <c r="C47" s="32"/>
      <c r="D47" s="33"/>
      <c r="E47" s="119"/>
      <c r="F47" s="32"/>
      <c r="G47" s="32"/>
      <c r="H47" s="120"/>
      <c r="I47" s="32"/>
      <c r="J47" s="32"/>
      <c r="K47" s="32"/>
      <c r="L47" s="32"/>
      <c r="M47" s="34"/>
      <c r="N47" s="31"/>
      <c r="O47" s="165">
        <v>5</v>
      </c>
      <c r="P47" s="235" t="str">
        <f>INDEX('Dummy Table'!DH3:DH8,MATCH(Matches!O47,'Dummy Table'!DU3:DU8,0),0)</f>
        <v>Finland</v>
      </c>
      <c r="Q47" s="235"/>
      <c r="R47" s="235"/>
      <c r="S47" s="235"/>
      <c r="T47" s="121">
        <f>VLOOKUP(P47,P11:AB39,5,FALSE)</f>
        <v>3</v>
      </c>
      <c r="U47" s="121">
        <f>VLOOKUP(P47,P11:AB39,6,FALSE)</f>
        <v>1</v>
      </c>
      <c r="V47" s="121">
        <f>VLOOKUP(P47,P11:AB39,7,FALSE)</f>
        <v>0</v>
      </c>
      <c r="W47" s="121">
        <f>VLOOKUP(P47,P11:AB39,8,FALSE)</f>
        <v>2</v>
      </c>
      <c r="X47" s="121">
        <f>VLOOKUP(P47,P11:AB39,9,FALSE)</f>
        <v>1</v>
      </c>
      <c r="Y47" s="121" t="s">
        <v>45</v>
      </c>
      <c r="Z47" s="121">
        <f>VLOOKUP(P47,P11:AB39,11,FALSE)</f>
        <v>3</v>
      </c>
      <c r="AA47" s="121">
        <f>VLOOKUP(P47,P11:AB39,12,FALSE)</f>
        <v>-2</v>
      </c>
      <c r="AB47" s="121">
        <f>VLOOKUP(P47,P11:AB39,13,FALSE)</f>
        <v>3</v>
      </c>
      <c r="AC47" s="166" t="str">
        <f>INDEX('Dummy Table'!DV3:DV8,MATCH(Matches!O47,'Dummy Table'!DU3:DU8,0),0)</f>
        <v>B</v>
      </c>
      <c r="AD47" s="31"/>
      <c r="AE47" s="14"/>
      <c r="AF47" s="227"/>
      <c r="AG47" s="16"/>
      <c r="AH47" s="16"/>
      <c r="AI47" s="16"/>
      <c r="AJ47" s="16"/>
      <c r="AK47" s="16"/>
      <c r="AL47" s="16"/>
      <c r="AM47" s="227"/>
      <c r="AN47" s="227"/>
      <c r="AO47" s="227"/>
      <c r="AP47" s="227"/>
      <c r="CY47" s="14"/>
    </row>
    <row r="48" spans="1:103" s="17" customFormat="1" ht="15" customHeight="1" x14ac:dyDescent="0.2">
      <c r="A48" s="16"/>
      <c r="B48" s="71">
        <v>37</v>
      </c>
      <c r="C48" s="72" t="s">
        <v>55</v>
      </c>
      <c r="D48" s="73">
        <v>44373.75</v>
      </c>
      <c r="E48" s="74" t="str">
        <f>IF(SUM(T11:T14)=12,P12,"Group A Runner Up")</f>
        <v>Wales</v>
      </c>
      <c r="F48" s="206">
        <v>1</v>
      </c>
      <c r="G48" s="206" t="s">
        <v>119</v>
      </c>
      <c r="H48" s="75" t="str">
        <f>IF(SUM(T16:T19)=12,P17,"Group B Runner Up")</f>
        <v>Denmark</v>
      </c>
      <c r="I48" s="72"/>
      <c r="J48" s="72"/>
      <c r="K48" s="76"/>
      <c r="L48" s="236">
        <v>4</v>
      </c>
      <c r="M48" s="122" t="str">
        <f t="shared" ref="M48:M50" si="7">IF(AND(F48&lt;&gt;"",G48&lt;&gt;""),IF(AH48+AJ48&gt;AI48+AK48,E48,IF(AH48+AJ48&lt;AI48+AK48,H48,"")),"")</f>
        <v>Denmark</v>
      </c>
      <c r="N48" s="31"/>
      <c r="O48" s="167">
        <v>6</v>
      </c>
      <c r="P48" s="238" t="str">
        <f>INDEX('Dummy Table'!DH3:DH8,MATCH(Matches!O48,'Dummy Table'!DU3:DU8,0),0)</f>
        <v>Slovakia</v>
      </c>
      <c r="Q48" s="238"/>
      <c r="R48" s="238"/>
      <c r="S48" s="238"/>
      <c r="T48" s="168">
        <f>VLOOKUP(P48,P11:AB39,5,FALSE)</f>
        <v>3</v>
      </c>
      <c r="U48" s="168">
        <f>VLOOKUP(P48,P11:AB39,6,FALSE)</f>
        <v>1</v>
      </c>
      <c r="V48" s="168">
        <f>VLOOKUP(P48,P11:AB39,7,FALSE)</f>
        <v>0</v>
      </c>
      <c r="W48" s="168">
        <f>VLOOKUP(P48,P11:AB39,8,FALSE)</f>
        <v>2</v>
      </c>
      <c r="X48" s="168">
        <f>VLOOKUP(P48,P11:AB39,9,FALSE)</f>
        <v>2</v>
      </c>
      <c r="Y48" s="168" t="s">
        <v>45</v>
      </c>
      <c r="Z48" s="168">
        <f>VLOOKUP(P48,P11:AB39,11,FALSE)</f>
        <v>7</v>
      </c>
      <c r="AA48" s="168">
        <f>VLOOKUP(P48,P11:AB39,12,FALSE)</f>
        <v>-5</v>
      </c>
      <c r="AB48" s="168">
        <f>VLOOKUP(P48,P11:AB39,13,FALSE)</f>
        <v>3</v>
      </c>
      <c r="AC48" s="169" t="str">
        <f>INDEX('Dummy Table'!DV3:DV8,MATCH(Matches!O48,'Dummy Table'!DU3:DU8,0),0)</f>
        <v>E</v>
      </c>
      <c r="AD48" s="31"/>
      <c r="AE48" s="14"/>
      <c r="AF48" s="227"/>
      <c r="AG48" s="16"/>
      <c r="AH48" s="16">
        <f>VALUE(SUBSTITUTE(F48,"*",""))</f>
        <v>1</v>
      </c>
      <c r="AI48" s="16">
        <f>VALUE(SUBSTITUTE(G48,"*",""))</f>
        <v>1</v>
      </c>
      <c r="AJ48" s="16">
        <f>IF($AH48=$AI48,IF(RIGHT(TRIM(F48))="*",1,0),0)</f>
        <v>0</v>
      </c>
      <c r="AK48" s="16">
        <f>IF($AH48=$AI48,IF(RIGHT(TRIM(G48))="*",1,0),0)</f>
        <v>1</v>
      </c>
      <c r="AL48" s="16"/>
      <c r="AM48" s="227"/>
      <c r="AN48" s="227"/>
      <c r="AO48" s="227"/>
      <c r="AP48" s="227"/>
      <c r="CV48" s="14"/>
    </row>
    <row r="49" spans="1:96" s="17" customFormat="1" ht="15" customHeight="1" x14ac:dyDescent="0.2">
      <c r="A49" s="16"/>
      <c r="B49" s="79">
        <v>38</v>
      </c>
      <c r="C49" s="80" t="s">
        <v>55</v>
      </c>
      <c r="D49" s="81">
        <v>44373.875</v>
      </c>
      <c r="E49" s="82" t="str">
        <f>IF(SUM(T11:T14)=12,P11,"Group A Winner")</f>
        <v>Italy</v>
      </c>
      <c r="F49" s="206">
        <v>2</v>
      </c>
      <c r="G49" s="206">
        <v>0</v>
      </c>
      <c r="H49" s="83" t="str">
        <f>IF(SUM(T21:T24)=12,P22,"Group C Runner Up")</f>
        <v>Austria</v>
      </c>
      <c r="I49" s="80"/>
      <c r="J49" s="80"/>
      <c r="K49" s="84"/>
      <c r="L49" s="237"/>
      <c r="M49" s="122" t="str">
        <f t="shared" si="7"/>
        <v>Italy</v>
      </c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123"/>
      <c r="AD49" s="31"/>
      <c r="AE49" s="14"/>
      <c r="AF49" s="227"/>
      <c r="AG49" s="16"/>
      <c r="AH49" s="16">
        <f t="shared" ref="AH49:AH62" si="8">VALUE(SUBSTITUTE(F49,"*",""))</f>
        <v>2</v>
      </c>
      <c r="AI49" s="16">
        <f t="shared" ref="AI49:AI62" si="9">VALUE(SUBSTITUTE(G49,"*",""))</f>
        <v>0</v>
      </c>
      <c r="AJ49" s="16">
        <f t="shared" ref="AJ49:AJ62" si="10">IF($AH49=$AI49,IF(RIGHT(TRIM(F49))="*",1,0),0)</f>
        <v>0</v>
      </c>
      <c r="AK49" s="16">
        <f t="shared" ref="AK49:AK62" si="11">IF($AH49=$AI49,IF(RIGHT(TRIM(G49))="*",1,0),0)</f>
        <v>0</v>
      </c>
      <c r="AL49" s="16"/>
      <c r="AM49" s="227"/>
      <c r="AN49" s="227"/>
      <c r="AO49" s="227"/>
      <c r="AP49" s="227"/>
      <c r="CR49" s="14"/>
    </row>
    <row r="50" spans="1:96" ht="15" customHeight="1" x14ac:dyDescent="0.2">
      <c r="A50" s="16"/>
      <c r="B50" s="79">
        <v>39</v>
      </c>
      <c r="C50" s="80" t="s">
        <v>55</v>
      </c>
      <c r="D50" s="81">
        <v>44374.75</v>
      </c>
      <c r="E50" s="82" t="str">
        <f>IF(SUM(T21:T24)=12,P21,"Group C Winner")</f>
        <v>Netherlands</v>
      </c>
      <c r="F50" s="206">
        <v>2</v>
      </c>
      <c r="G50" s="206">
        <v>0</v>
      </c>
      <c r="H50" s="83" t="str">
        <f>IF(SUM(T43:T48)=18,INDEX(P43:P48,MATCH(INDEX('Dummy Table'!DM13:DM27,MATCH(10,'Dummy Table'!DU13:DU27,0),0),AC43:AC48,0),0),"Group D/E/F 3rd Place")</f>
        <v>Czech Republic</v>
      </c>
      <c r="I50" s="80"/>
      <c r="J50" s="80"/>
      <c r="K50" s="84"/>
      <c r="L50" s="237"/>
      <c r="M50" s="122" t="str">
        <f t="shared" si="7"/>
        <v>Netherlands</v>
      </c>
      <c r="N50" s="31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 s="17"/>
      <c r="AF50" s="227"/>
      <c r="AG50" s="16"/>
      <c r="AH50" s="16">
        <f t="shared" si="8"/>
        <v>2</v>
      </c>
      <c r="AI50" s="16">
        <f t="shared" si="9"/>
        <v>0</v>
      </c>
      <c r="AJ50" s="16">
        <f t="shared" si="10"/>
        <v>0</v>
      </c>
      <c r="AK50" s="16">
        <f t="shared" si="11"/>
        <v>0</v>
      </c>
      <c r="AL50" s="13"/>
      <c r="AM50" s="228"/>
      <c r="AN50" s="228"/>
      <c r="AO50" s="228"/>
      <c r="AP50" s="228"/>
    </row>
    <row r="51" spans="1:96" ht="15" customHeight="1" x14ac:dyDescent="0.2">
      <c r="B51" s="79">
        <v>40</v>
      </c>
      <c r="C51" s="80" t="s">
        <v>55</v>
      </c>
      <c r="D51" s="81">
        <v>44374.875</v>
      </c>
      <c r="E51" s="196" t="str">
        <f>IF(SUM(T16:T19)=12,P16,"Group B Winner")</f>
        <v>Belgium</v>
      </c>
      <c r="F51" s="206" t="s">
        <v>119</v>
      </c>
      <c r="G51" s="206">
        <v>1</v>
      </c>
      <c r="H51" s="197" t="str">
        <f>IF(SUM(T43:T48)=18,INDEX(P43:P48,MATCH(INDEX('Dummy Table'!DL13:DL27,MATCH(10,'Dummy Table'!DU13:DU27,0),0),AC43:AC48,0),0),"Group A/D/E/F 3rd Place")</f>
        <v>Portugal</v>
      </c>
      <c r="I51" s="198"/>
      <c r="J51" s="198"/>
      <c r="K51" s="124"/>
      <c r="L51" s="237"/>
      <c r="M51" s="122" t="str">
        <f>IF(AND(F51&lt;&gt;"",G51&lt;&gt;""),IF(AH51+AJ51&gt;AI51+AK51,E51,IF(AH51+AJ51&lt;AI51+AK51,H51,"")),"")</f>
        <v>Belgium</v>
      </c>
      <c r="N51" s="3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F51" s="228"/>
      <c r="AG51" s="13"/>
      <c r="AH51" s="16">
        <f t="shared" si="8"/>
        <v>1</v>
      </c>
      <c r="AI51" s="16">
        <f t="shared" si="9"/>
        <v>1</v>
      </c>
      <c r="AJ51" s="16">
        <f t="shared" si="10"/>
        <v>1</v>
      </c>
      <c r="AK51" s="16">
        <f t="shared" si="11"/>
        <v>0</v>
      </c>
      <c r="AL51" s="13"/>
      <c r="AM51" s="228"/>
      <c r="AN51" s="228"/>
      <c r="AO51" s="228"/>
      <c r="AP51" s="228"/>
    </row>
    <row r="52" spans="1:96" ht="15" customHeight="1" x14ac:dyDescent="0.2">
      <c r="B52" s="79">
        <v>41</v>
      </c>
      <c r="C52" s="80" t="s">
        <v>55</v>
      </c>
      <c r="D52" s="81">
        <v>44375.75</v>
      </c>
      <c r="E52" s="196" t="str">
        <f>IF(SUM(T26:T29)=12,P27,"Group D Runner Up")</f>
        <v>Croatia</v>
      </c>
      <c r="F52" s="206">
        <v>1</v>
      </c>
      <c r="G52" s="206">
        <v>2</v>
      </c>
      <c r="H52" s="197" t="str">
        <f>IF(SUM(T31:T34)=12,P32,"Group E Runner Up")</f>
        <v>Spain</v>
      </c>
      <c r="I52" s="198"/>
      <c r="J52" s="198"/>
      <c r="K52" s="124"/>
      <c r="L52" s="237"/>
      <c r="M52" s="122" t="str">
        <f t="shared" ref="M52:M62" si="12">IF(AND(F52&lt;&gt;"",G52&lt;&gt;""),IF(AH52+AJ52&gt;AI52+AK52,E52,IF(AH52+AJ52&lt;AI52+AK52,H52,"")),"")</f>
        <v>Spain</v>
      </c>
      <c r="N52" s="21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F52" s="228"/>
      <c r="AG52" s="13"/>
      <c r="AH52" s="16">
        <f t="shared" si="8"/>
        <v>1</v>
      </c>
      <c r="AI52" s="16">
        <f t="shared" si="9"/>
        <v>2</v>
      </c>
      <c r="AJ52" s="16">
        <f t="shared" si="10"/>
        <v>0</v>
      </c>
      <c r="AK52" s="16">
        <f t="shared" si="11"/>
        <v>0</v>
      </c>
      <c r="AL52" s="13"/>
      <c r="AM52" s="228"/>
      <c r="AN52" s="228"/>
      <c r="AO52" s="228"/>
      <c r="AP52" s="228"/>
    </row>
    <row r="53" spans="1:96" ht="15" customHeight="1" x14ac:dyDescent="0.2">
      <c r="B53" s="79">
        <v>42</v>
      </c>
      <c r="C53" s="80" t="s">
        <v>55</v>
      </c>
      <c r="D53" s="81">
        <v>44375.875</v>
      </c>
      <c r="E53" s="196" t="str">
        <f>IF(SUM(T36:T39)=12,P36,"Group F Winner")</f>
        <v>France</v>
      </c>
      <c r="F53" s="206">
        <v>2</v>
      </c>
      <c r="G53" s="206">
        <v>0</v>
      </c>
      <c r="H53" s="197" t="str">
        <f>IF(SUM(T43:T48)=18,INDEX(P43:P48,MATCH(INDEX('Dummy Table'!DO13:DO27,MATCH(10,'Dummy Table'!DU13:DU27,0),0),AC43:AC48,0),0),"Group A/B/C 3rd Place")</f>
        <v>Switzerland</v>
      </c>
      <c r="I53" s="198"/>
      <c r="J53" s="198"/>
      <c r="K53" s="124"/>
      <c r="L53" s="237"/>
      <c r="M53" s="122" t="str">
        <f t="shared" si="12"/>
        <v>France</v>
      </c>
      <c r="N53" s="21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F53" s="228"/>
      <c r="AG53" s="13"/>
      <c r="AH53" s="16">
        <f t="shared" si="8"/>
        <v>2</v>
      </c>
      <c r="AI53" s="16">
        <f t="shared" si="9"/>
        <v>0</v>
      </c>
      <c r="AJ53" s="16">
        <f t="shared" si="10"/>
        <v>0</v>
      </c>
      <c r="AK53" s="16">
        <f t="shared" si="11"/>
        <v>0</v>
      </c>
      <c r="AL53" s="13"/>
      <c r="AM53" s="228"/>
      <c r="AN53" s="228"/>
      <c r="AO53" s="228"/>
      <c r="AP53" s="228"/>
    </row>
    <row r="54" spans="1:96" ht="15" customHeight="1" x14ac:dyDescent="0.2">
      <c r="B54" s="79">
        <v>43</v>
      </c>
      <c r="C54" s="80" t="s">
        <v>55</v>
      </c>
      <c r="D54" s="81">
        <v>44376.75</v>
      </c>
      <c r="E54" s="196" t="str">
        <f>IF(SUM(T26:T29)=12,P26,"Group D Winner")</f>
        <v>England</v>
      </c>
      <c r="F54" s="206">
        <v>1</v>
      </c>
      <c r="G54" s="206">
        <v>3</v>
      </c>
      <c r="H54" s="197" t="str">
        <f>IF(SUM(T36:T39)=12,P37,"Group F Runner Up")</f>
        <v>Germany</v>
      </c>
      <c r="I54" s="198"/>
      <c r="J54" s="198"/>
      <c r="K54" s="124"/>
      <c r="L54" s="237"/>
      <c r="M54" s="122" t="str">
        <f t="shared" si="12"/>
        <v>Germany</v>
      </c>
      <c r="N54" s="21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F54" s="228"/>
      <c r="AG54" s="13"/>
      <c r="AH54" s="16">
        <f t="shared" si="8"/>
        <v>1</v>
      </c>
      <c r="AI54" s="16">
        <f t="shared" si="9"/>
        <v>3</v>
      </c>
      <c r="AJ54" s="16">
        <f t="shared" si="10"/>
        <v>0</v>
      </c>
      <c r="AK54" s="16">
        <f t="shared" si="11"/>
        <v>0</v>
      </c>
      <c r="AL54" s="13"/>
      <c r="AM54" s="228"/>
      <c r="AN54" s="228"/>
      <c r="AO54" s="228"/>
      <c r="AP54" s="228"/>
    </row>
    <row r="55" spans="1:96" ht="15" customHeight="1" thickBot="1" x14ac:dyDescent="0.25">
      <c r="A55" s="16">
        <f>IF(F55&lt;&gt;"",4,0)</f>
        <v>4</v>
      </c>
      <c r="B55" s="94">
        <v>44</v>
      </c>
      <c r="C55" s="95" t="s">
        <v>55</v>
      </c>
      <c r="D55" s="96">
        <v>44376.875</v>
      </c>
      <c r="E55" s="199" t="str">
        <f>IF(SUM(T31:T34)=12,P31,"Group E Winner")</f>
        <v>Sweden</v>
      </c>
      <c r="F55" s="207" t="s">
        <v>119</v>
      </c>
      <c r="G55" s="207">
        <v>1</v>
      </c>
      <c r="H55" s="200" t="str">
        <f>IF(SUM(T43:T48)=18,INDEX(P43:P48,MATCH(INDEX('Dummy Table'!DN13:DN27,MATCH(10,'Dummy Table'!DU13:DU27,0),0),AC43:AC48,0),0),"Group A/B/C/D 3rd Place")</f>
        <v>Ukraine</v>
      </c>
      <c r="I55" s="134"/>
      <c r="J55" s="134"/>
      <c r="K55" s="125"/>
      <c r="L55" s="233"/>
      <c r="M55" s="122" t="str">
        <f t="shared" si="12"/>
        <v>Sweden</v>
      </c>
      <c r="N55" s="21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F55" s="228"/>
      <c r="AG55" s="13"/>
      <c r="AH55" s="16">
        <f t="shared" si="8"/>
        <v>1</v>
      </c>
      <c r="AI55" s="16">
        <f t="shared" si="9"/>
        <v>1</v>
      </c>
      <c r="AJ55" s="16">
        <f t="shared" si="10"/>
        <v>1</v>
      </c>
      <c r="AK55" s="16">
        <f t="shared" si="11"/>
        <v>0</v>
      </c>
      <c r="AL55" s="13"/>
      <c r="AM55" s="228"/>
      <c r="AN55" s="228"/>
      <c r="AO55" s="228"/>
      <c r="AP55" s="228"/>
    </row>
    <row r="56" spans="1:96" ht="15" customHeight="1" x14ac:dyDescent="0.2">
      <c r="B56" s="37">
        <v>45</v>
      </c>
      <c r="C56" s="126" t="s">
        <v>56</v>
      </c>
      <c r="D56" s="39">
        <v>44379.75</v>
      </c>
      <c r="E56" s="40" t="str">
        <f>IF(AND(F53&lt;&gt;"",G53&lt;&gt;""),IF((AH53+AJ53)&gt;(AI53+AK53),E53,IF((AH53+AJ53)&lt;(AI53+AK53),H53,"Match 42 Winner")),"Match 42 Winner")</f>
        <v>France</v>
      </c>
      <c r="F56" s="205">
        <v>2</v>
      </c>
      <c r="G56" s="205">
        <v>1</v>
      </c>
      <c r="H56" s="41" t="str">
        <f>IF(AND(F52&lt;&gt;"",G52&lt;&gt;""),IF((AH52+AJ52)&gt;(AI52+AK52),E52,IF((AH52+AJ52)&lt;(AI52+AK52),H52,"Match 41 Winner")),"Match 41 Winner")</f>
        <v>Spain</v>
      </c>
      <c r="I56" s="126"/>
      <c r="J56" s="126"/>
      <c r="K56" s="127"/>
      <c r="L56" s="229">
        <v>5</v>
      </c>
      <c r="M56" s="122" t="str">
        <f t="shared" si="12"/>
        <v>France</v>
      </c>
      <c r="N56" s="21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F56" s="228"/>
      <c r="AG56" s="13"/>
      <c r="AH56" s="16">
        <f t="shared" si="8"/>
        <v>2</v>
      </c>
      <c r="AI56" s="16">
        <f t="shared" si="9"/>
        <v>1</v>
      </c>
      <c r="AJ56" s="16">
        <f t="shared" si="10"/>
        <v>0</v>
      </c>
      <c r="AK56" s="16">
        <f t="shared" si="11"/>
        <v>0</v>
      </c>
      <c r="AL56" s="13"/>
      <c r="AM56" s="228"/>
      <c r="AN56" s="228"/>
      <c r="AO56" s="228"/>
      <c r="AP56" s="228"/>
    </row>
    <row r="57" spans="1:96" ht="15" customHeight="1" x14ac:dyDescent="0.2">
      <c r="B57" s="46">
        <v>46</v>
      </c>
      <c r="C57" s="128" t="s">
        <v>56</v>
      </c>
      <c r="D57" s="48">
        <v>44379.875</v>
      </c>
      <c r="E57" s="49" t="str">
        <f>IF(AND(F51&lt;&gt;"",G51&lt;&gt;""),IF((AH51+AJ51)&gt;(AI51+AK51),E51,IF((AH51+AJ51)&lt;(AI51+AK51),H51,"Match 40 Winner")),"Match 40 Winner")</f>
        <v>Belgium</v>
      </c>
      <c r="F57" s="206">
        <v>1</v>
      </c>
      <c r="G57" s="206" t="s">
        <v>119</v>
      </c>
      <c r="H57" s="50" t="str">
        <f>IF(AND(F49&lt;&gt;"",G49&lt;&gt;""),IF((AH49+AJ49)&gt;(AI49+AK49),E49,IF((AH49+AJ49)&lt;(AI49+AK49),H49,"Match 38 Winner")),"Match 38 Winner")</f>
        <v>Italy</v>
      </c>
      <c r="I57" s="128"/>
      <c r="J57" s="128"/>
      <c r="K57" s="129"/>
      <c r="L57" s="230"/>
      <c r="M57" s="122" t="str">
        <f t="shared" si="12"/>
        <v>Italy</v>
      </c>
      <c r="N57" s="21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F57" s="228"/>
      <c r="AG57" s="13"/>
      <c r="AH57" s="16">
        <f t="shared" si="8"/>
        <v>1</v>
      </c>
      <c r="AI57" s="16">
        <f t="shared" si="9"/>
        <v>1</v>
      </c>
      <c r="AJ57" s="16">
        <f t="shared" si="10"/>
        <v>0</v>
      </c>
      <c r="AK57" s="16">
        <f t="shared" si="11"/>
        <v>1</v>
      </c>
      <c r="AL57" s="13"/>
      <c r="AM57" s="228"/>
      <c r="AN57" s="228"/>
      <c r="AO57" s="228"/>
      <c r="AP57" s="228"/>
    </row>
    <row r="58" spans="1:96" ht="15" customHeight="1" x14ac:dyDescent="0.2">
      <c r="B58" s="46">
        <v>47</v>
      </c>
      <c r="C58" s="128" t="s">
        <v>56</v>
      </c>
      <c r="D58" s="48">
        <v>44380.75</v>
      </c>
      <c r="E58" s="49" t="str">
        <f>IF(AND(F50&lt;&gt;"",G50&lt;&gt;""),IF((AH50+AJ50)&gt;(AI50+AK50),E50,IF((AH50+AJ50)&lt;(AI50+AK50),H50,"Match 39 Winner")),"Match 39 Winner")</f>
        <v>Netherlands</v>
      </c>
      <c r="F58" s="206">
        <v>2</v>
      </c>
      <c r="G58" s="206">
        <v>0</v>
      </c>
      <c r="H58" s="50" t="str">
        <f>IF(AND(F48&lt;&gt;"",G48&lt;&gt;""),IF((AH48+AJ48)&gt;(AI48+AK48),E48,IF((AH48+AJ48)&lt;(AI48+AK48),H48,"Match 37 Winner")),"Match 37 Winner")</f>
        <v>Denmark</v>
      </c>
      <c r="I58" s="128"/>
      <c r="J58" s="128"/>
      <c r="K58" s="129"/>
      <c r="L58" s="230"/>
      <c r="M58" s="122" t="str">
        <f t="shared" si="12"/>
        <v>Netherlands</v>
      </c>
      <c r="N58" s="21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F58" s="228"/>
      <c r="AG58" s="13"/>
      <c r="AH58" s="16">
        <f t="shared" si="8"/>
        <v>2</v>
      </c>
      <c r="AI58" s="16">
        <f t="shared" si="9"/>
        <v>0</v>
      </c>
      <c r="AJ58" s="16">
        <f t="shared" si="10"/>
        <v>0</v>
      </c>
      <c r="AK58" s="16">
        <f t="shared" si="11"/>
        <v>0</v>
      </c>
      <c r="AL58" s="13"/>
      <c r="AM58" s="228"/>
      <c r="AN58" s="228"/>
      <c r="AO58" s="228"/>
      <c r="AP58" s="228"/>
    </row>
    <row r="59" spans="1:96" ht="15" customHeight="1" thickBot="1" x14ac:dyDescent="0.25">
      <c r="A59" s="16">
        <f>IF(F59&lt;&gt;"",5,0)</f>
        <v>5</v>
      </c>
      <c r="B59" s="62">
        <v>48</v>
      </c>
      <c r="C59" s="130" t="s">
        <v>56</v>
      </c>
      <c r="D59" s="64">
        <v>44380.875</v>
      </c>
      <c r="E59" s="65" t="str">
        <f>IF(AND(F55&lt;&gt;"",G55&lt;&gt;""),IF((AH55+AJ55)&gt;(AI55+AK55),E55,IF((AH55+AJ55)&lt;(AI55+AK55),H55,"Match 44 Winner")),"Match 44 Winner")</f>
        <v>Sweden</v>
      </c>
      <c r="F59" s="207">
        <v>0</v>
      </c>
      <c r="G59" s="207">
        <v>2</v>
      </c>
      <c r="H59" s="66" t="str">
        <f>IF(AND(F54&lt;&gt;"",G54&lt;&gt;""),IF((AH54+AJ54)&gt;(AI54+AK54),E54,IF((AH54+AJ54)&lt;(AI54+AK54),H54,"Match 43 Winner")),"Match 43 Winner")</f>
        <v>Germany</v>
      </c>
      <c r="I59" s="130"/>
      <c r="J59" s="130"/>
      <c r="K59" s="131"/>
      <c r="L59" s="231"/>
      <c r="M59" s="122" t="str">
        <f t="shared" si="12"/>
        <v>Germany</v>
      </c>
      <c r="N59" s="21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F59" s="228"/>
      <c r="AG59" s="13"/>
      <c r="AH59" s="16">
        <f t="shared" si="8"/>
        <v>0</v>
      </c>
      <c r="AI59" s="16">
        <f t="shared" si="9"/>
        <v>2</v>
      </c>
      <c r="AJ59" s="16">
        <f t="shared" si="10"/>
        <v>0</v>
      </c>
      <c r="AK59" s="16">
        <f t="shared" si="11"/>
        <v>0</v>
      </c>
      <c r="AL59" s="13"/>
      <c r="AM59" s="228"/>
      <c r="AN59" s="228"/>
      <c r="AO59" s="228"/>
      <c r="AP59" s="228"/>
    </row>
    <row r="60" spans="1:96" ht="15" customHeight="1" x14ac:dyDescent="0.2">
      <c r="B60" s="71">
        <v>49</v>
      </c>
      <c r="C60" s="132" t="s">
        <v>57</v>
      </c>
      <c r="D60" s="73">
        <v>44383.875</v>
      </c>
      <c r="E60" s="74" t="str">
        <f>IF(AND(F56&lt;&gt;"",G56&lt;&gt;""),IF((AH56+AJ56)&gt;(AI56+AK56),E56,IF((AH56+AJ56)&lt;(AI56+AK56),H56,"Match 45 Winner")),"Match 45 Winner")</f>
        <v>France</v>
      </c>
      <c r="F60" s="205">
        <v>1</v>
      </c>
      <c r="G60" s="205">
        <v>0</v>
      </c>
      <c r="H60" s="75" t="str">
        <f>IF(AND(F57&lt;&gt;"",G57&lt;&gt;""),IF((AH57+AJ57)&gt;(AI57+AK57),E57,IF((AH57+AJ57)&lt;(AI57+AK57),H57,"Match 46 Winner")),"Match 46 Winner")</f>
        <v>Italy</v>
      </c>
      <c r="I60" s="132"/>
      <c r="J60" s="132"/>
      <c r="K60" s="133"/>
      <c r="L60" s="232">
        <v>6</v>
      </c>
      <c r="M60" s="122" t="str">
        <f t="shared" si="12"/>
        <v>France</v>
      </c>
      <c r="N60" s="21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F60" s="228"/>
      <c r="AG60" s="13"/>
      <c r="AH60" s="16">
        <f t="shared" si="8"/>
        <v>1</v>
      </c>
      <c r="AI60" s="16">
        <f t="shared" si="9"/>
        <v>0</v>
      </c>
      <c r="AJ60" s="16">
        <f t="shared" si="10"/>
        <v>0</v>
      </c>
      <c r="AK60" s="16">
        <f t="shared" si="11"/>
        <v>0</v>
      </c>
      <c r="AL60" s="13"/>
      <c r="AM60" s="228"/>
      <c r="AN60" s="228"/>
      <c r="AO60" s="228"/>
      <c r="AP60" s="228"/>
    </row>
    <row r="61" spans="1:96" ht="15" customHeight="1" thickBot="1" x14ac:dyDescent="0.25">
      <c r="A61" s="16">
        <f>IF(F61&lt;&gt;"",6,0)</f>
        <v>6</v>
      </c>
      <c r="B61" s="94">
        <v>50</v>
      </c>
      <c r="C61" s="134" t="s">
        <v>57</v>
      </c>
      <c r="D61" s="96">
        <v>44384.875</v>
      </c>
      <c r="E61" s="97" t="str">
        <f>IF(AND(F58&lt;&gt;"",G58&lt;&gt;""),IF((AH58+AJ58)&gt;(AI58+AK58),E58,IF((AH58+AJ58)&lt;(AI58+AK58),H58,"Match 47 Winner")),"Match 47 Winner")</f>
        <v>Netherlands</v>
      </c>
      <c r="F61" s="207">
        <v>1</v>
      </c>
      <c r="G61" s="207">
        <v>2</v>
      </c>
      <c r="H61" s="98" t="str">
        <f>IF(AND(F59&lt;&gt;"",G59&lt;&gt;""),IF((AH59+AJ59)&gt;(AI59+AK59),E59,IF((AH59+AJ59)&lt;(AI59+AK59),H59,"Match 48 Winner")),"Match 48 Winner")</f>
        <v>Germany</v>
      </c>
      <c r="I61" s="134"/>
      <c r="J61" s="134"/>
      <c r="K61" s="125"/>
      <c r="L61" s="233"/>
      <c r="M61" s="122" t="str">
        <f t="shared" si="12"/>
        <v>Germany</v>
      </c>
      <c r="N61" s="2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F61" s="228"/>
      <c r="AG61" s="13"/>
      <c r="AH61" s="16">
        <f t="shared" si="8"/>
        <v>1</v>
      </c>
      <c r="AI61" s="16">
        <f t="shared" si="9"/>
        <v>2</v>
      </c>
      <c r="AJ61" s="16">
        <f t="shared" si="10"/>
        <v>0</v>
      </c>
      <c r="AK61" s="16">
        <f t="shared" si="11"/>
        <v>0</v>
      </c>
      <c r="AL61" s="13"/>
      <c r="AM61" s="228"/>
      <c r="AN61" s="228"/>
      <c r="AO61" s="228"/>
      <c r="AP61" s="228"/>
    </row>
    <row r="62" spans="1:96" ht="15" customHeight="1" thickBot="1" x14ac:dyDescent="0.25">
      <c r="A62" s="16">
        <f>IF(F62&lt;&gt;"",7,0)</f>
        <v>7</v>
      </c>
      <c r="B62" s="135">
        <v>51</v>
      </c>
      <c r="C62" s="136" t="s">
        <v>41</v>
      </c>
      <c r="D62" s="137">
        <v>44388.875</v>
      </c>
      <c r="E62" s="138" t="str">
        <f>IF(AND(F60&lt;&gt;"",G60&lt;&gt;""),IF((AH60+AJ60)&gt;(AI60+AK60),E60,IF((AH60+AJ60)&lt;(AI60+AK60),H60,"Match 49 Winner")),"Match 49 Winner")</f>
        <v>France</v>
      </c>
      <c r="F62" s="208">
        <v>2</v>
      </c>
      <c r="G62" s="208">
        <v>1</v>
      </c>
      <c r="H62" s="139" t="str">
        <f>IF(AND(F61&lt;&gt;"",G61&lt;&gt;""),IF((AH61+AJ61)&gt;(AI61+AK61),E61,IF((AH61+AJ61)&lt;(AI61+AK61),H61,"Match 50 Winner")),"Match 50 Winner")</f>
        <v>Germany</v>
      </c>
      <c r="I62" s="136"/>
      <c r="J62" s="136"/>
      <c r="K62" s="140"/>
      <c r="L62" s="141">
        <v>7</v>
      </c>
      <c r="M62" s="122" t="str">
        <f t="shared" si="12"/>
        <v>France</v>
      </c>
      <c r="N62" s="21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F62" s="228"/>
      <c r="AG62" s="13"/>
      <c r="AH62" s="13">
        <f t="shared" si="8"/>
        <v>2</v>
      </c>
      <c r="AI62" s="13">
        <f t="shared" si="9"/>
        <v>1</v>
      </c>
      <c r="AJ62" s="16">
        <f t="shared" si="10"/>
        <v>0</v>
      </c>
      <c r="AK62" s="16">
        <f t="shared" si="11"/>
        <v>0</v>
      </c>
      <c r="AL62" s="13"/>
      <c r="AM62" s="228"/>
      <c r="AN62" s="228"/>
      <c r="AO62" s="228"/>
      <c r="AP62" s="228"/>
    </row>
    <row r="63" spans="1:96" ht="15" customHeight="1" x14ac:dyDescent="0.2">
      <c r="A63" s="16"/>
      <c r="B63" s="246" t="s">
        <v>110</v>
      </c>
      <c r="C63" s="247"/>
      <c r="D63" s="247"/>
      <c r="E63" s="247"/>
      <c r="F63" s="247"/>
      <c r="G63" s="247"/>
      <c r="H63" s="247"/>
      <c r="I63" s="247"/>
      <c r="J63" s="247"/>
      <c r="K63" s="247"/>
      <c r="L63" s="247"/>
      <c r="M63" s="248"/>
      <c r="N63" s="201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F63" s="228"/>
      <c r="AG63" s="228"/>
      <c r="AH63" s="228"/>
      <c r="AI63" s="228"/>
      <c r="AJ63" s="228"/>
      <c r="AK63" s="228"/>
      <c r="AL63" s="228"/>
      <c r="AM63" s="228"/>
      <c r="AN63" s="228"/>
      <c r="AO63" s="228"/>
      <c r="AP63" s="228"/>
    </row>
    <row r="64" spans="1:96" ht="21" x14ac:dyDescent="0.2">
      <c r="A64" s="14"/>
      <c r="B64" s="249" t="str">
        <f>IF(F62&lt;&gt;"",IF(F62&gt;G62,E62,IF(F62&lt;G62,H62,"")),"")</f>
        <v>France</v>
      </c>
      <c r="C64" s="249"/>
      <c r="D64" s="249"/>
      <c r="E64" s="249"/>
      <c r="F64" s="249"/>
      <c r="G64" s="249"/>
      <c r="H64" s="249"/>
      <c r="I64" s="249"/>
      <c r="J64" s="249"/>
      <c r="K64" s="249"/>
      <c r="L64" s="249"/>
      <c r="M64" s="250"/>
      <c r="N64" s="201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F64" s="228"/>
      <c r="AG64" s="228"/>
      <c r="AH64" s="228"/>
      <c r="AI64" s="228"/>
      <c r="AJ64" s="228"/>
      <c r="AK64" s="228"/>
      <c r="AL64" s="228"/>
      <c r="AM64" s="228"/>
      <c r="AN64" s="228"/>
      <c r="AO64" s="228"/>
      <c r="AP64" s="228"/>
    </row>
    <row r="65" spans="1:42" x14ac:dyDescent="0.2">
      <c r="A65" s="14"/>
      <c r="B65"/>
      <c r="C65"/>
      <c r="D65"/>
      <c r="E65"/>
      <c r="F65"/>
      <c r="G65"/>
      <c r="H65"/>
      <c r="I65"/>
      <c r="J65"/>
      <c r="K65"/>
      <c r="L65"/>
      <c r="M65"/>
      <c r="N65" s="201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F65" s="228"/>
      <c r="AG65" s="228"/>
      <c r="AH65" s="228"/>
      <c r="AI65" s="228"/>
      <c r="AJ65" s="228"/>
      <c r="AK65" s="228"/>
      <c r="AL65" s="228"/>
      <c r="AM65" s="228"/>
      <c r="AN65" s="228"/>
      <c r="AO65" s="228"/>
      <c r="AP65" s="228"/>
    </row>
    <row r="66" spans="1:42" x14ac:dyDescent="0.2">
      <c r="A66" s="14"/>
      <c r="B66"/>
      <c r="C66"/>
      <c r="D66"/>
      <c r="E66"/>
      <c r="F66"/>
      <c r="G66"/>
      <c r="H66"/>
      <c r="I66"/>
      <c r="J66"/>
      <c r="K66"/>
      <c r="L66"/>
      <c r="M66"/>
      <c r="N66" s="201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F66" s="228"/>
      <c r="AG66" s="228"/>
      <c r="AH66" s="228"/>
      <c r="AI66" s="228"/>
      <c r="AJ66" s="228"/>
      <c r="AK66" s="228"/>
      <c r="AL66" s="228"/>
      <c r="AM66" s="228"/>
      <c r="AN66" s="228"/>
      <c r="AO66" s="228"/>
      <c r="AP66" s="228"/>
    </row>
    <row r="67" spans="1:42" x14ac:dyDescent="0.2">
      <c r="B67"/>
      <c r="C67"/>
      <c r="D67"/>
      <c r="E67"/>
      <c r="F67"/>
      <c r="G67"/>
      <c r="H67"/>
      <c r="I67"/>
      <c r="J67"/>
      <c r="K67"/>
      <c r="L67"/>
      <c r="M67"/>
      <c r="N67" s="201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F67" s="228"/>
      <c r="AG67" s="228"/>
      <c r="AH67" s="228"/>
      <c r="AI67" s="228"/>
      <c r="AJ67" s="228"/>
      <c r="AK67" s="228"/>
      <c r="AL67" s="228"/>
      <c r="AM67" s="228"/>
      <c r="AN67" s="228"/>
      <c r="AO67" s="228"/>
      <c r="AP67" s="228"/>
    </row>
    <row r="68" spans="1:42" x14ac:dyDescent="0.2">
      <c r="B68"/>
      <c r="C68"/>
      <c r="D68"/>
      <c r="E68"/>
      <c r="F68"/>
      <c r="G68"/>
      <c r="H68"/>
      <c r="I68"/>
      <c r="J68"/>
      <c r="K68"/>
      <c r="L68"/>
      <c r="M68"/>
      <c r="N68" s="201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pans="1:42" ht="16" x14ac:dyDescent="0.2">
      <c r="N69" s="202"/>
      <c r="O69" s="203"/>
      <c r="P69" s="203"/>
      <c r="Q69" s="203"/>
      <c r="R69" s="203"/>
      <c r="S69" s="203"/>
      <c r="T69" s="203"/>
      <c r="U69" s="203"/>
      <c r="V69" s="203"/>
      <c r="W69" s="203"/>
      <c r="X69" s="203"/>
      <c r="Y69" s="203"/>
      <c r="Z69" s="203"/>
      <c r="AA69" s="203"/>
      <c r="AB69" s="203"/>
      <c r="AC69" s="203"/>
      <c r="AD69" s="203"/>
    </row>
    <row r="70" spans="1:42" x14ac:dyDescent="0.2">
      <c r="O70" s="203"/>
      <c r="P70" s="203"/>
      <c r="Q70" s="203"/>
      <c r="R70" s="203"/>
      <c r="S70" s="203"/>
      <c r="T70" s="203"/>
      <c r="U70" s="203"/>
      <c r="V70" s="203"/>
      <c r="W70" s="203"/>
      <c r="X70" s="203"/>
      <c r="Y70" s="203"/>
      <c r="Z70" s="203"/>
      <c r="AA70" s="203"/>
      <c r="AB70" s="203"/>
      <c r="AC70" s="203"/>
      <c r="AD70" s="203"/>
    </row>
    <row r="71" spans="1:42" x14ac:dyDescent="0.2">
      <c r="O71" s="203"/>
      <c r="P71" s="203"/>
      <c r="Q71" s="203"/>
      <c r="R71" s="203"/>
      <c r="S71" s="203"/>
      <c r="T71" s="203"/>
      <c r="U71" s="203"/>
      <c r="V71" s="203"/>
      <c r="W71" s="203"/>
      <c r="X71" s="203"/>
      <c r="Y71" s="203"/>
      <c r="Z71" s="203"/>
      <c r="AA71" s="203"/>
      <c r="AB71" s="203"/>
      <c r="AC71" s="203"/>
      <c r="AD71" s="203"/>
    </row>
  </sheetData>
  <sheetProtection algorithmName="SHA-512" hashValue="/anjC/VibEvrOhwJhbZYuDlbz53xoMiOcrRT3Mjt4kM0IwrVsHLVQQ45KnUvTZIJoktcKx0pMKTgdz8tdOMXEg==" saltValue="S0iiwTAf48Ea6Y2tRRagwA==" spinCount="100000" sheet="1" selectLockedCells="1"/>
  <mergeCells count="53">
    <mergeCell ref="U6:AC6"/>
    <mergeCell ref="B1:AC1"/>
    <mergeCell ref="O15:S15"/>
    <mergeCell ref="P16:S16"/>
    <mergeCell ref="P17:S17"/>
    <mergeCell ref="N7:AC7"/>
    <mergeCell ref="P18:S18"/>
    <mergeCell ref="P19:S19"/>
    <mergeCell ref="O20:S20"/>
    <mergeCell ref="L23:L34"/>
    <mergeCell ref="P32:S32"/>
    <mergeCell ref="P23:S23"/>
    <mergeCell ref="P24:S24"/>
    <mergeCell ref="P21:S21"/>
    <mergeCell ref="P28:S28"/>
    <mergeCell ref="P29:S29"/>
    <mergeCell ref="O25:S25"/>
    <mergeCell ref="P26:S26"/>
    <mergeCell ref="O30:S30"/>
    <mergeCell ref="P31:S31"/>
    <mergeCell ref="P33:S33"/>
    <mergeCell ref="P34:S34"/>
    <mergeCell ref="B63:M63"/>
    <mergeCell ref="B64:M64"/>
    <mergeCell ref="B2:D4"/>
    <mergeCell ref="U2:AC2"/>
    <mergeCell ref="U3:AC3"/>
    <mergeCell ref="U4:AC4"/>
    <mergeCell ref="U5:AC5"/>
    <mergeCell ref="F9:G9"/>
    <mergeCell ref="O10:S10"/>
    <mergeCell ref="L11:L22"/>
    <mergeCell ref="P11:S11"/>
    <mergeCell ref="P12:S12"/>
    <mergeCell ref="P13:S13"/>
    <mergeCell ref="P14:S14"/>
    <mergeCell ref="P22:S22"/>
    <mergeCell ref="P27:S27"/>
    <mergeCell ref="L56:L59"/>
    <mergeCell ref="L60:L61"/>
    <mergeCell ref="P45:S45"/>
    <mergeCell ref="P46:S46"/>
    <mergeCell ref="P47:S47"/>
    <mergeCell ref="L48:L55"/>
    <mergeCell ref="P48:S48"/>
    <mergeCell ref="L35:L46"/>
    <mergeCell ref="O35:S35"/>
    <mergeCell ref="P36:S36"/>
    <mergeCell ref="P37:S37"/>
    <mergeCell ref="P38:S38"/>
    <mergeCell ref="P39:S39"/>
    <mergeCell ref="P43:S43"/>
    <mergeCell ref="P44:S44"/>
  </mergeCells>
  <conditionalFormatting sqref="E11:E46">
    <cfRule type="expression" dxfId="15" priority="27">
      <formula>$F11&lt;$G11</formula>
    </cfRule>
    <cfRule type="expression" dxfId="14" priority="28">
      <formula>$F11&gt;$G11</formula>
    </cfRule>
  </conditionalFormatting>
  <conditionalFormatting sqref="H11:H46">
    <cfRule type="expression" dxfId="13" priority="25">
      <formula>$F11&lt;$G11</formula>
    </cfRule>
    <cfRule type="expression" dxfId="12" priority="26">
      <formula>$F11&gt;$G11</formula>
    </cfRule>
  </conditionalFormatting>
  <conditionalFormatting sqref="E48:E62">
    <cfRule type="expression" dxfId="11" priority="32">
      <formula>F48+I48&lt;G48+J48</formula>
    </cfRule>
    <cfRule type="expression" dxfId="10" priority="33">
      <formula>F48+I48&gt;G48+J48</formula>
    </cfRule>
  </conditionalFormatting>
  <conditionalFormatting sqref="H48:H62">
    <cfRule type="expression" dxfId="9" priority="30">
      <formula>F48+I48&gt;G48+J48</formula>
    </cfRule>
    <cfRule type="expression" dxfId="8" priority="31">
      <formula>F48+I48&lt;G48+J48</formula>
    </cfRule>
  </conditionalFormatting>
  <conditionalFormatting sqref="B64">
    <cfRule type="expression" dxfId="7" priority="9">
      <formula>$R122=8</formula>
    </cfRule>
    <cfRule type="expression" dxfId="6" priority="10">
      <formula>$R122=7</formula>
    </cfRule>
    <cfRule type="expression" dxfId="5" priority="11">
      <formula>$R122=6</formula>
    </cfRule>
    <cfRule type="expression" dxfId="4" priority="12">
      <formula>$R122=5</formula>
    </cfRule>
    <cfRule type="expression" dxfId="3" priority="13">
      <formula>$R122=4</formula>
    </cfRule>
    <cfRule type="expression" dxfId="2" priority="14">
      <formula>$R122=3</formula>
    </cfRule>
    <cfRule type="expression" dxfId="1" priority="15">
      <formula>$R122=2</formula>
    </cfRule>
    <cfRule type="expression" dxfId="0" priority="16">
      <formula>$R122=1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A3B94-42DD-4D16-B1E3-7DD8303D18AA}">
  <dimension ref="A1:B40"/>
  <sheetViews>
    <sheetView workbookViewId="0">
      <selection activeCell="A36" sqref="A36"/>
    </sheetView>
  </sheetViews>
  <sheetFormatPr baseColWidth="10" defaultColWidth="9.1640625" defaultRowHeight="15" x14ac:dyDescent="0.2"/>
  <cols>
    <col min="1" max="1" width="23.1640625" style="211" bestFit="1" customWidth="1"/>
    <col min="2" max="16384" width="9.1640625" style="204"/>
  </cols>
  <sheetData>
    <row r="1" spans="1:2" x14ac:dyDescent="0.2">
      <c r="A1" s="285" t="s">
        <v>55</v>
      </c>
      <c r="B1" s="285"/>
    </row>
    <row r="2" spans="1:2" x14ac:dyDescent="0.2">
      <c r="A2" s="210" t="str">
        <f>Matches!E48</f>
        <v>Wales</v>
      </c>
      <c r="B2" s="210">
        <f>Matches!F48</f>
        <v>1</v>
      </c>
    </row>
    <row r="3" spans="1:2" x14ac:dyDescent="0.2">
      <c r="A3" s="210" t="str">
        <f>Matches!E49</f>
        <v>Italy</v>
      </c>
      <c r="B3" s="210">
        <f>Matches!F49</f>
        <v>2</v>
      </c>
    </row>
    <row r="4" spans="1:2" x14ac:dyDescent="0.2">
      <c r="A4" s="210" t="str">
        <f>Matches!E50</f>
        <v>Netherlands</v>
      </c>
      <c r="B4" s="210">
        <f>Matches!F50</f>
        <v>2</v>
      </c>
    </row>
    <row r="5" spans="1:2" x14ac:dyDescent="0.2">
      <c r="A5" s="210" t="str">
        <f>Matches!E51</f>
        <v>Belgium</v>
      </c>
      <c r="B5" s="210" t="str">
        <f>Matches!F51</f>
        <v>1*</v>
      </c>
    </row>
    <row r="6" spans="1:2" x14ac:dyDescent="0.2">
      <c r="A6" s="210" t="str">
        <f>Matches!E52</f>
        <v>Croatia</v>
      </c>
      <c r="B6" s="210">
        <f>Matches!F52</f>
        <v>1</v>
      </c>
    </row>
    <row r="7" spans="1:2" x14ac:dyDescent="0.2">
      <c r="A7" s="210" t="str">
        <f>Matches!E53</f>
        <v>France</v>
      </c>
      <c r="B7" s="210">
        <f>Matches!F53</f>
        <v>2</v>
      </c>
    </row>
    <row r="8" spans="1:2" x14ac:dyDescent="0.2">
      <c r="A8" s="210" t="str">
        <f>Matches!E54</f>
        <v>England</v>
      </c>
      <c r="B8" s="210">
        <f>Matches!F54</f>
        <v>1</v>
      </c>
    </row>
    <row r="9" spans="1:2" x14ac:dyDescent="0.2">
      <c r="A9" s="210" t="str">
        <f>Matches!E55</f>
        <v>Sweden</v>
      </c>
      <c r="B9" s="210" t="str">
        <f>Matches!F55</f>
        <v>1*</v>
      </c>
    </row>
    <row r="10" spans="1:2" x14ac:dyDescent="0.2">
      <c r="A10" s="210" t="str">
        <f>Matches!H48</f>
        <v>Denmark</v>
      </c>
      <c r="B10" s="210" t="str">
        <f>Matches!G48</f>
        <v>1*</v>
      </c>
    </row>
    <row r="11" spans="1:2" x14ac:dyDescent="0.2">
      <c r="A11" s="210" t="str">
        <f>Matches!H49</f>
        <v>Austria</v>
      </c>
      <c r="B11" s="210">
        <f>Matches!G49</f>
        <v>0</v>
      </c>
    </row>
    <row r="12" spans="1:2" x14ac:dyDescent="0.2">
      <c r="A12" s="210" t="str">
        <f>Matches!H50</f>
        <v>Czech Republic</v>
      </c>
      <c r="B12" s="210">
        <f>Matches!G50</f>
        <v>0</v>
      </c>
    </row>
    <row r="13" spans="1:2" x14ac:dyDescent="0.2">
      <c r="A13" s="210" t="str">
        <f>Matches!H51</f>
        <v>Portugal</v>
      </c>
      <c r="B13" s="210">
        <f>Matches!G51</f>
        <v>1</v>
      </c>
    </row>
    <row r="14" spans="1:2" x14ac:dyDescent="0.2">
      <c r="A14" s="210" t="str">
        <f>Matches!H52</f>
        <v>Spain</v>
      </c>
      <c r="B14" s="210">
        <f>Matches!G52</f>
        <v>2</v>
      </c>
    </row>
    <row r="15" spans="1:2" x14ac:dyDescent="0.2">
      <c r="A15" s="210" t="str">
        <f>Matches!H53</f>
        <v>Switzerland</v>
      </c>
      <c r="B15" s="210">
        <f>Matches!G53</f>
        <v>0</v>
      </c>
    </row>
    <row r="16" spans="1:2" x14ac:dyDescent="0.2">
      <c r="A16" s="210" t="str">
        <f>Matches!H54</f>
        <v>Germany</v>
      </c>
      <c r="B16" s="210">
        <f>Matches!G54</f>
        <v>3</v>
      </c>
    </row>
    <row r="17" spans="1:2" x14ac:dyDescent="0.2">
      <c r="A17" s="210" t="str">
        <f>Matches!H55</f>
        <v>Ukraine</v>
      </c>
      <c r="B17" s="210">
        <f>Matches!G55</f>
        <v>1</v>
      </c>
    </row>
    <row r="18" spans="1:2" x14ac:dyDescent="0.2">
      <c r="A18" s="285" t="s">
        <v>56</v>
      </c>
      <c r="B18" s="285"/>
    </row>
    <row r="19" spans="1:2" x14ac:dyDescent="0.2">
      <c r="A19" s="210" t="str">
        <f>Matches!E56</f>
        <v>France</v>
      </c>
      <c r="B19" s="210">
        <f>Matches!F56</f>
        <v>2</v>
      </c>
    </row>
    <row r="20" spans="1:2" x14ac:dyDescent="0.2">
      <c r="A20" s="210" t="str">
        <f>Matches!E57</f>
        <v>Belgium</v>
      </c>
      <c r="B20" s="210">
        <f>Matches!F57</f>
        <v>1</v>
      </c>
    </row>
    <row r="21" spans="1:2" x14ac:dyDescent="0.2">
      <c r="A21" s="210" t="str">
        <f>Matches!E58</f>
        <v>Netherlands</v>
      </c>
      <c r="B21" s="210">
        <f>Matches!F58</f>
        <v>2</v>
      </c>
    </row>
    <row r="22" spans="1:2" x14ac:dyDescent="0.2">
      <c r="A22" s="210" t="str">
        <f>Matches!E59</f>
        <v>Sweden</v>
      </c>
      <c r="B22" s="210">
        <f>Matches!F59</f>
        <v>0</v>
      </c>
    </row>
    <row r="23" spans="1:2" x14ac:dyDescent="0.2">
      <c r="A23" s="210" t="str">
        <f>Matches!H56</f>
        <v>Spain</v>
      </c>
      <c r="B23" s="210">
        <f>Matches!G56</f>
        <v>1</v>
      </c>
    </row>
    <row r="24" spans="1:2" x14ac:dyDescent="0.2">
      <c r="A24" s="210" t="str">
        <f>Matches!H57</f>
        <v>Italy</v>
      </c>
      <c r="B24" s="210" t="str">
        <f>Matches!G57</f>
        <v>1*</v>
      </c>
    </row>
    <row r="25" spans="1:2" x14ac:dyDescent="0.2">
      <c r="A25" s="210" t="str">
        <f>Matches!H58</f>
        <v>Denmark</v>
      </c>
      <c r="B25" s="210">
        <f>Matches!G58</f>
        <v>0</v>
      </c>
    </row>
    <row r="26" spans="1:2" x14ac:dyDescent="0.2">
      <c r="A26" s="210" t="str">
        <f>Matches!H59</f>
        <v>Germany</v>
      </c>
      <c r="B26" s="210">
        <f>Matches!G59</f>
        <v>2</v>
      </c>
    </row>
    <row r="27" spans="1:2" x14ac:dyDescent="0.2">
      <c r="A27" s="285" t="s">
        <v>57</v>
      </c>
      <c r="B27" s="285"/>
    </row>
    <row r="28" spans="1:2" x14ac:dyDescent="0.2">
      <c r="A28" s="210" t="str">
        <f>Matches!E60</f>
        <v>France</v>
      </c>
      <c r="B28" s="210">
        <f>Matches!F60</f>
        <v>1</v>
      </c>
    </row>
    <row r="29" spans="1:2" x14ac:dyDescent="0.2">
      <c r="A29" s="210" t="str">
        <f>Matches!E61</f>
        <v>Netherlands</v>
      </c>
      <c r="B29" s="210">
        <f>Matches!F61</f>
        <v>1</v>
      </c>
    </row>
    <row r="30" spans="1:2" x14ac:dyDescent="0.2">
      <c r="A30" s="210" t="str">
        <f>Matches!H60</f>
        <v>Italy</v>
      </c>
      <c r="B30" s="210">
        <f>Matches!G60</f>
        <v>0</v>
      </c>
    </row>
    <row r="31" spans="1:2" x14ac:dyDescent="0.2">
      <c r="A31" s="210" t="str">
        <f>Matches!H61</f>
        <v>Germany</v>
      </c>
      <c r="B31" s="210">
        <f>Matches!G61</f>
        <v>2</v>
      </c>
    </row>
    <row r="32" spans="1:2" x14ac:dyDescent="0.2">
      <c r="A32" s="285" t="s">
        <v>41</v>
      </c>
      <c r="B32" s="285"/>
    </row>
    <row r="33" spans="1:2" x14ac:dyDescent="0.2">
      <c r="A33" s="210" t="str">
        <f>Matches!E62</f>
        <v>France</v>
      </c>
      <c r="B33" s="210">
        <f>Matches!F62</f>
        <v>2</v>
      </c>
    </row>
    <row r="34" spans="1:2" x14ac:dyDescent="0.2">
      <c r="A34" s="210" t="str">
        <f>Matches!H62</f>
        <v>Germany</v>
      </c>
      <c r="B34" s="210">
        <f>Matches!G62</f>
        <v>1</v>
      </c>
    </row>
    <row r="35" spans="1:2" x14ac:dyDescent="0.2">
      <c r="A35" s="285" t="s">
        <v>110</v>
      </c>
      <c r="B35" s="285"/>
    </row>
    <row r="36" spans="1:2" x14ac:dyDescent="0.2">
      <c r="A36" s="210" t="str">
        <f>Matches!B64</f>
        <v>France</v>
      </c>
      <c r="B36" s="210"/>
    </row>
    <row r="37" spans="1:2" x14ac:dyDescent="0.2">
      <c r="A37"/>
    </row>
    <row r="38" spans="1:2" x14ac:dyDescent="0.2">
      <c r="A38"/>
    </row>
    <row r="39" spans="1:2" x14ac:dyDescent="0.2">
      <c r="A39"/>
    </row>
    <row r="40" spans="1:2" x14ac:dyDescent="0.2">
      <c r="A40"/>
    </row>
  </sheetData>
  <sheetProtection algorithmName="SHA-512" hashValue="Tx3agSYt6mOB9KEErjO/nug5+1YA8Nir2w77PCxWnYX6Cbm4fug6Xk2h28pspqH8n/hAik7KH6qiirN8AmOs4Q==" saltValue="Gani8J1vwGYzsz45SHAlDg==" spinCount="100000" sheet="1" objects="1" scenarios="1"/>
  <mergeCells count="5">
    <mergeCell ref="A18:B18"/>
    <mergeCell ref="A27:B27"/>
    <mergeCell ref="A32:B32"/>
    <mergeCell ref="A35:B35"/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P104"/>
  <sheetViews>
    <sheetView showGridLines="0" workbookViewId="0">
      <pane ySplit="3" topLeftCell="A4" activePane="bottomLeft" state="frozen"/>
      <selection activeCell="I59" sqref="I59"/>
      <selection pane="bottomLeft" activeCell="I59" sqref="I59"/>
    </sheetView>
  </sheetViews>
  <sheetFormatPr baseColWidth="10" defaultColWidth="8.83203125" defaultRowHeight="15" x14ac:dyDescent="0.2"/>
  <cols>
    <col min="1" max="1" width="2.83203125" customWidth="1"/>
    <col min="2" max="2" width="3.5" customWidth="1"/>
    <col min="3" max="3" width="21.5" customWidth="1"/>
    <col min="4" max="4" width="1.5" customWidth="1"/>
    <col min="5" max="5" width="2.5" customWidth="1"/>
    <col min="6" max="6" width="24.5" bestFit="1" customWidth="1"/>
    <col min="7" max="7" width="3" customWidth="1"/>
    <col min="8" max="8" width="15" bestFit="1" customWidth="1"/>
    <col min="9" max="10" width="8.83203125" customWidth="1"/>
    <col min="11" max="11" width="2.5" customWidth="1"/>
  </cols>
  <sheetData>
    <row r="1" spans="1:16" s="1" customFormat="1" ht="5" customHeight="1" x14ac:dyDescent="0.2"/>
    <row r="2" spans="1:16" s="4" customFormat="1" ht="30" customHeight="1" x14ac:dyDescent="0.2">
      <c r="A2" s="2"/>
      <c r="B2" s="3" t="s">
        <v>0</v>
      </c>
      <c r="C2" s="2"/>
      <c r="D2" s="2"/>
      <c r="E2" s="2"/>
      <c r="F2" s="2"/>
      <c r="G2" s="2"/>
      <c r="H2" s="2"/>
      <c r="I2" s="2"/>
      <c r="J2" s="2"/>
    </row>
    <row r="3" spans="1:16" ht="5" customHeight="1" x14ac:dyDescent="0.2">
      <c r="I3" s="5"/>
      <c r="J3" s="5"/>
    </row>
    <row r="4" spans="1:16" ht="15" customHeight="1" x14ac:dyDescent="0.2">
      <c r="B4" s="6" t="s">
        <v>1</v>
      </c>
      <c r="C4" s="7"/>
      <c r="E4" s="170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 ht="15" customHeight="1" x14ac:dyDescent="0.2">
      <c r="B5" s="9">
        <v>1</v>
      </c>
      <c r="C5" s="20" t="s">
        <v>2</v>
      </c>
      <c r="E5" s="171"/>
      <c r="F5" s="172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1:16" ht="15" customHeight="1" x14ac:dyDescent="0.2">
      <c r="B6" s="9">
        <v>2</v>
      </c>
      <c r="C6" s="20" t="s">
        <v>4</v>
      </c>
      <c r="E6" s="171"/>
      <c r="F6" s="17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ht="15" customHeight="1" x14ac:dyDescent="0.2">
      <c r="B7" s="9">
        <v>3</v>
      </c>
      <c r="C7" s="20" t="s">
        <v>5</v>
      </c>
      <c r="E7" s="171"/>
      <c r="F7" s="172"/>
      <c r="G7" s="12"/>
      <c r="H7" s="12"/>
      <c r="I7" s="12"/>
      <c r="J7" s="12"/>
      <c r="K7" s="12"/>
      <c r="L7" s="12"/>
      <c r="M7" s="12"/>
      <c r="N7" s="12"/>
      <c r="O7" s="12"/>
      <c r="P7" s="12"/>
    </row>
    <row r="8" spans="1:16" ht="15" customHeight="1" x14ac:dyDescent="0.2">
      <c r="B8" s="9">
        <v>4</v>
      </c>
      <c r="C8" s="20" t="s">
        <v>6</v>
      </c>
      <c r="E8" s="171"/>
      <c r="F8" s="172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1:16" ht="15" customHeight="1" x14ac:dyDescent="0.2">
      <c r="B9" s="9">
        <v>5</v>
      </c>
      <c r="C9" s="20" t="s">
        <v>7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ht="15" customHeight="1" x14ac:dyDescent="0.2">
      <c r="B10" s="9">
        <v>6</v>
      </c>
      <c r="C10" s="20" t="s">
        <v>8</v>
      </c>
      <c r="E10" s="170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ht="15" customHeight="1" x14ac:dyDescent="0.2">
      <c r="B11" s="9">
        <v>7</v>
      </c>
      <c r="C11" s="20" t="s">
        <v>9</v>
      </c>
      <c r="E11" s="173"/>
      <c r="F11" s="174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ht="15" customHeight="1" x14ac:dyDescent="0.2">
      <c r="B12" s="9">
        <v>8</v>
      </c>
      <c r="C12" s="20" t="s">
        <v>10</v>
      </c>
      <c r="E12" s="12"/>
      <c r="F12" s="175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ht="15" customHeight="1" x14ac:dyDescent="0.2">
      <c r="B13" s="9">
        <v>9</v>
      </c>
      <c r="C13" s="20" t="s">
        <v>11</v>
      </c>
      <c r="E13" s="12"/>
      <c r="F13" s="286"/>
      <c r="G13" s="286"/>
      <c r="H13" s="286"/>
      <c r="I13" s="286"/>
      <c r="J13" s="286"/>
      <c r="K13" s="286"/>
      <c r="L13" s="286"/>
      <c r="M13" s="286"/>
      <c r="N13" s="286"/>
      <c r="O13" s="286"/>
      <c r="P13" s="286"/>
    </row>
    <row r="14" spans="1:16" ht="15" customHeight="1" x14ac:dyDescent="0.2">
      <c r="B14" s="9">
        <v>10</v>
      </c>
      <c r="C14" s="20" t="s">
        <v>12</v>
      </c>
      <c r="E14" s="12"/>
      <c r="F14" s="286"/>
      <c r="G14" s="286"/>
      <c r="H14" s="286"/>
      <c r="I14" s="286"/>
      <c r="J14" s="286"/>
      <c r="K14" s="286"/>
      <c r="L14" s="286"/>
      <c r="M14" s="286"/>
      <c r="N14" s="286"/>
      <c r="O14" s="286"/>
      <c r="P14" s="286"/>
    </row>
    <row r="15" spans="1:16" ht="15" customHeight="1" x14ac:dyDescent="0.2">
      <c r="B15" s="9">
        <v>11</v>
      </c>
      <c r="C15" s="20" t="s">
        <v>13</v>
      </c>
      <c r="E15" s="173"/>
      <c r="F15" s="174"/>
      <c r="G15" s="176"/>
      <c r="H15" s="176"/>
      <c r="I15" s="176"/>
      <c r="J15" s="176"/>
      <c r="K15" s="12"/>
      <c r="L15" s="12"/>
      <c r="M15" s="12"/>
      <c r="N15" s="12"/>
      <c r="O15" s="12"/>
      <c r="P15" s="12"/>
    </row>
    <row r="16" spans="1:16" ht="15" customHeight="1" x14ac:dyDescent="0.2">
      <c r="B16" s="9">
        <v>12</v>
      </c>
      <c r="C16" s="20" t="s">
        <v>14</v>
      </c>
      <c r="E16" s="177"/>
      <c r="F16" s="175"/>
      <c r="G16" s="176"/>
      <c r="H16" s="176"/>
      <c r="I16" s="176"/>
      <c r="J16" s="176"/>
      <c r="K16" s="12"/>
      <c r="L16" s="12"/>
      <c r="M16" s="12"/>
      <c r="N16" s="12"/>
      <c r="O16" s="12"/>
      <c r="P16" s="12"/>
    </row>
    <row r="17" spans="2:16" ht="15" customHeight="1" x14ac:dyDescent="0.2">
      <c r="B17" s="9">
        <v>13</v>
      </c>
      <c r="C17" s="20" t="s">
        <v>15</v>
      </c>
      <c r="E17" s="12"/>
      <c r="F17" s="178"/>
      <c r="G17" s="176"/>
      <c r="H17" s="176"/>
      <c r="I17" s="176"/>
      <c r="J17" s="12"/>
      <c r="K17" s="12"/>
      <c r="L17" s="12"/>
      <c r="M17" s="12"/>
      <c r="N17" s="12"/>
      <c r="O17" s="12"/>
      <c r="P17" s="12"/>
    </row>
    <row r="18" spans="2:16" ht="15" customHeight="1" x14ac:dyDescent="0.2">
      <c r="B18" s="9">
        <v>14</v>
      </c>
      <c r="C18" s="20" t="s">
        <v>16</v>
      </c>
      <c r="E18" s="173"/>
      <c r="F18" s="178"/>
      <c r="G18" s="176"/>
      <c r="H18" s="176"/>
      <c r="I18" s="176"/>
      <c r="J18" s="12"/>
      <c r="K18" s="12"/>
      <c r="L18" s="12"/>
      <c r="M18" s="12"/>
      <c r="N18" s="12"/>
      <c r="O18" s="12"/>
      <c r="P18" s="12"/>
    </row>
    <row r="19" spans="2:16" ht="15" customHeight="1" x14ac:dyDescent="0.2">
      <c r="B19" s="9">
        <v>15</v>
      </c>
      <c r="C19" s="20" t="s">
        <v>17</v>
      </c>
      <c r="E19" s="12"/>
      <c r="F19" s="175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2:16" ht="15" customHeight="1" x14ac:dyDescent="0.2">
      <c r="B20" s="9">
        <v>16</v>
      </c>
      <c r="C20" s="20" t="s">
        <v>18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2:16" ht="15" customHeight="1" x14ac:dyDescent="0.2">
      <c r="B21" s="9">
        <v>17</v>
      </c>
      <c r="C21" s="20" t="s">
        <v>19</v>
      </c>
      <c r="E21" s="12"/>
      <c r="F21" s="286"/>
      <c r="G21" s="286"/>
      <c r="H21" s="286"/>
      <c r="I21" s="286"/>
      <c r="J21" s="286"/>
      <c r="K21" s="286"/>
      <c r="L21" s="286"/>
      <c r="M21" s="286"/>
      <c r="N21" s="286"/>
      <c r="O21" s="286"/>
      <c r="P21" s="286"/>
    </row>
    <row r="22" spans="2:16" ht="15" customHeight="1" x14ac:dyDescent="0.2">
      <c r="B22" s="9">
        <v>18</v>
      </c>
      <c r="C22" s="20" t="s">
        <v>20</v>
      </c>
      <c r="E22" s="12"/>
      <c r="F22" s="286"/>
      <c r="G22" s="286"/>
      <c r="H22" s="286"/>
      <c r="I22" s="286"/>
      <c r="J22" s="286"/>
      <c r="K22" s="286"/>
      <c r="L22" s="286"/>
      <c r="M22" s="286"/>
      <c r="N22" s="286"/>
      <c r="O22" s="286"/>
      <c r="P22" s="286"/>
    </row>
    <row r="23" spans="2:16" ht="15" customHeight="1" x14ac:dyDescent="0.2">
      <c r="B23" s="9">
        <v>19</v>
      </c>
      <c r="C23" s="20" t="s">
        <v>21</v>
      </c>
      <c r="E23" s="12"/>
      <c r="F23" s="12"/>
      <c r="G23" s="12"/>
      <c r="H23" s="12"/>
      <c r="I23" s="179"/>
      <c r="J23" s="179"/>
      <c r="K23" s="12"/>
      <c r="L23" s="12"/>
      <c r="M23" s="12"/>
      <c r="N23" s="12"/>
      <c r="O23" s="12"/>
      <c r="P23" s="12"/>
    </row>
    <row r="24" spans="2:16" ht="15" customHeight="1" x14ac:dyDescent="0.2">
      <c r="B24" s="9">
        <v>20</v>
      </c>
      <c r="C24" s="20" t="s">
        <v>22</v>
      </c>
      <c r="E24" s="173"/>
      <c r="F24" s="12"/>
      <c r="G24" s="179"/>
      <c r="H24" s="179"/>
      <c r="I24" s="179"/>
      <c r="J24" s="179"/>
      <c r="K24" s="12"/>
      <c r="L24" s="12"/>
      <c r="M24" s="12"/>
      <c r="N24" s="12"/>
      <c r="O24" s="12"/>
      <c r="P24" s="12"/>
    </row>
    <row r="25" spans="2:16" ht="15" customHeight="1" x14ac:dyDescent="0.2">
      <c r="B25" s="9">
        <v>21</v>
      </c>
      <c r="C25" s="20" t="s">
        <v>23</v>
      </c>
      <c r="E25" s="12"/>
      <c r="F25" s="12"/>
      <c r="G25" s="179"/>
      <c r="H25" s="179"/>
      <c r="I25" s="179"/>
      <c r="J25" s="12"/>
      <c r="K25" s="12"/>
      <c r="L25" s="12"/>
      <c r="M25" s="12"/>
      <c r="N25" s="12"/>
      <c r="O25" s="12"/>
      <c r="P25" s="12"/>
    </row>
    <row r="26" spans="2:16" ht="15" customHeight="1" x14ac:dyDescent="0.2">
      <c r="B26" s="9">
        <v>22</v>
      </c>
      <c r="C26" s="20" t="s">
        <v>24</v>
      </c>
      <c r="E26" s="12"/>
      <c r="F26" s="180"/>
      <c r="G26" s="179"/>
      <c r="H26" s="179"/>
      <c r="I26" s="12"/>
      <c r="J26" s="12"/>
      <c r="K26" s="12"/>
      <c r="L26" s="12"/>
      <c r="M26" s="12"/>
      <c r="N26" s="12"/>
      <c r="O26" s="12"/>
      <c r="P26" s="12"/>
    </row>
    <row r="27" spans="2:16" ht="15" customHeight="1" x14ac:dyDescent="0.2">
      <c r="B27" s="9">
        <v>23</v>
      </c>
      <c r="C27" s="20" t="s">
        <v>25</v>
      </c>
      <c r="E27" s="173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2:16" ht="15" customHeight="1" x14ac:dyDescent="0.2">
      <c r="B28" s="9">
        <v>24</v>
      </c>
      <c r="C28" s="20" t="s">
        <v>26</v>
      </c>
      <c r="E28" s="12"/>
      <c r="F28" s="180"/>
      <c r="G28" s="12"/>
      <c r="H28" s="12"/>
      <c r="I28" s="12"/>
      <c r="J28" s="178"/>
      <c r="K28" s="12"/>
      <c r="L28" s="12"/>
      <c r="M28" s="12"/>
      <c r="N28" s="12"/>
      <c r="O28" s="12"/>
      <c r="P28" s="12"/>
    </row>
    <row r="29" spans="2:16" ht="15" customHeight="1" x14ac:dyDescent="0.2">
      <c r="F29" s="11"/>
      <c r="G29" s="11"/>
      <c r="H29" s="11"/>
      <c r="I29" s="11"/>
    </row>
    <row r="30" spans="2:16" ht="15" customHeight="1" x14ac:dyDescent="0.2">
      <c r="E30" s="8"/>
    </row>
    <row r="31" spans="2:16" ht="15" customHeight="1" x14ac:dyDescent="0.2">
      <c r="E31" s="19"/>
      <c r="F31" s="18"/>
    </row>
    <row r="32" spans="2:16" ht="15" customHeight="1" x14ac:dyDescent="0.25"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</row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5" customHeight="1" x14ac:dyDescent="0.2"/>
    <row r="41" ht="15" customHeight="1" x14ac:dyDescent="0.2"/>
    <row r="42" ht="1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spans="1:8" ht="15" customHeight="1" x14ac:dyDescent="0.2"/>
    <row r="98" spans="1:8" ht="15" customHeight="1" x14ac:dyDescent="0.2"/>
    <row r="99" spans="1:8" ht="15" customHeight="1" x14ac:dyDescent="0.2"/>
    <row r="100" spans="1:8" ht="15" customHeight="1" x14ac:dyDescent="0.2"/>
    <row r="101" spans="1:8" ht="15" customHeight="1" x14ac:dyDescent="0.2"/>
    <row r="102" spans="1:8" ht="15" customHeight="1" x14ac:dyDescent="0.2">
      <c r="H102" s="10"/>
    </row>
    <row r="103" spans="1:8" ht="15" customHeight="1" x14ac:dyDescent="0.2"/>
    <row r="104" spans="1:8" x14ac:dyDescent="0.2">
      <c r="A104" t="s">
        <v>27</v>
      </c>
    </row>
  </sheetData>
  <mergeCells count="2">
    <mergeCell ref="F13:P14"/>
    <mergeCell ref="F21:P22"/>
  </mergeCells>
  <pageMargins left="0.28000000000000003" right="0.27" top="0.39" bottom="0.38" header="0.25" footer="0.25"/>
  <pageSetup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V80"/>
  <sheetViews>
    <sheetView showGridLines="0" topLeftCell="A13" zoomScale="80" zoomScaleNormal="80" workbookViewId="0">
      <selection activeCell="I59" sqref="I59"/>
    </sheetView>
  </sheetViews>
  <sheetFormatPr baseColWidth="10" defaultColWidth="9.1640625" defaultRowHeight="13" x14ac:dyDescent="0.15"/>
  <cols>
    <col min="1" max="112" width="8.83203125" style="213" customWidth="1"/>
    <col min="113" max="119" width="8.83203125" style="219" customWidth="1"/>
    <col min="120" max="240" width="8.83203125" style="213" customWidth="1"/>
    <col min="241" max="247" width="8.83203125" style="219" customWidth="1"/>
    <col min="248" max="256" width="8.83203125" style="213" customWidth="1"/>
    <col min="257" max="16384" width="9.1640625" style="213"/>
  </cols>
  <sheetData>
    <row r="1" spans="1:256" ht="14" x14ac:dyDescent="0.2">
      <c r="A1" s="21">
        <v>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 t="s">
        <v>58</v>
      </c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>
        <f>COLUMN()</f>
        <v>59</v>
      </c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2"/>
      <c r="DJ1" s="212"/>
      <c r="DK1" s="212"/>
      <c r="DL1" s="212"/>
      <c r="DM1" s="212"/>
      <c r="DN1" s="212"/>
      <c r="DO1" s="212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G1" s="21"/>
      <c r="GH1" s="21"/>
      <c r="GI1" s="21"/>
      <c r="GJ1" s="21"/>
      <c r="GK1" s="21"/>
      <c r="GL1" s="21"/>
      <c r="GM1" s="21"/>
      <c r="GN1" s="21"/>
      <c r="GO1" s="21"/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21"/>
      <c r="HB1" s="21"/>
      <c r="HC1" s="21"/>
      <c r="HD1" s="21"/>
      <c r="HE1" s="21"/>
      <c r="HF1" s="21"/>
      <c r="HG1" s="21"/>
      <c r="HH1" s="21"/>
      <c r="HI1" s="21"/>
      <c r="HJ1" s="21"/>
      <c r="HK1" s="21"/>
      <c r="HL1" s="21"/>
      <c r="HM1" s="21"/>
      <c r="HN1" s="21"/>
      <c r="HO1" s="21"/>
      <c r="HP1" s="21"/>
      <c r="HQ1" s="21"/>
      <c r="HR1" s="21"/>
      <c r="HS1" s="21"/>
      <c r="HT1" s="21"/>
      <c r="HU1" s="21"/>
      <c r="HV1" s="21"/>
      <c r="HW1" s="21"/>
      <c r="HX1" s="21"/>
      <c r="HY1" s="21"/>
      <c r="HZ1" s="21"/>
      <c r="IA1" s="21"/>
      <c r="IB1" s="21"/>
      <c r="IC1" s="21"/>
      <c r="ID1" s="21"/>
      <c r="IE1" s="21"/>
      <c r="IF1" s="21"/>
      <c r="IG1" s="212"/>
      <c r="IH1" s="212"/>
      <c r="II1" s="212"/>
      <c r="IJ1" s="212"/>
      <c r="IK1" s="212"/>
      <c r="IL1" s="212"/>
      <c r="IM1" s="212"/>
      <c r="IN1" s="21"/>
      <c r="IO1" s="21"/>
      <c r="IP1" s="21"/>
      <c r="IQ1" s="21"/>
      <c r="IR1" s="21"/>
      <c r="IS1" s="21"/>
      <c r="IT1" s="21"/>
      <c r="IU1" s="21"/>
      <c r="IV1" s="21"/>
    </row>
    <row r="2" spans="1:256" ht="14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 t="s">
        <v>59</v>
      </c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>
        <v>1</v>
      </c>
      <c r="AH2" s="21">
        <v>2</v>
      </c>
      <c r="AI2" s="21">
        <v>3</v>
      </c>
      <c r="AJ2" s="21">
        <v>5</v>
      </c>
      <c r="AK2" s="21">
        <v>6</v>
      </c>
      <c r="AL2" s="21">
        <v>9</v>
      </c>
      <c r="AM2" s="21"/>
      <c r="AN2" s="21"/>
      <c r="AO2" s="21" t="s">
        <v>60</v>
      </c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 t="s">
        <v>61</v>
      </c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 t="s">
        <v>62</v>
      </c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 t="s">
        <v>63</v>
      </c>
      <c r="DB2" s="21" t="s">
        <v>64</v>
      </c>
      <c r="DC2" s="21"/>
      <c r="DD2" s="21"/>
      <c r="DE2" s="21"/>
      <c r="DF2" s="21"/>
      <c r="DG2" s="21"/>
      <c r="DH2" s="21"/>
      <c r="DI2" s="212" t="s">
        <v>38</v>
      </c>
      <c r="DJ2" s="212" t="s">
        <v>39</v>
      </c>
      <c r="DK2" s="212" t="s">
        <v>40</v>
      </c>
      <c r="DL2" s="212" t="s">
        <v>63</v>
      </c>
      <c r="DM2" s="212" t="s">
        <v>64</v>
      </c>
      <c r="DN2" s="212" t="s">
        <v>65</v>
      </c>
      <c r="DO2" s="212" t="s">
        <v>44</v>
      </c>
      <c r="DP2" s="21" t="s">
        <v>66</v>
      </c>
      <c r="DQ2" s="21" t="s">
        <v>67</v>
      </c>
      <c r="DR2" s="21" t="s">
        <v>68</v>
      </c>
      <c r="DS2" s="21" t="s">
        <v>69</v>
      </c>
      <c r="DT2" s="21" t="s">
        <v>70</v>
      </c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2"/>
      <c r="IH2" s="212"/>
      <c r="II2" s="212"/>
      <c r="IJ2" s="212"/>
      <c r="IK2" s="212"/>
      <c r="IL2" s="212"/>
      <c r="IM2" s="212"/>
      <c r="IN2" s="21"/>
      <c r="IO2" s="21"/>
      <c r="IP2" s="21"/>
      <c r="IQ2" s="21"/>
      <c r="IR2" s="21"/>
      <c r="IS2" s="21"/>
      <c r="IT2" s="21"/>
      <c r="IU2" s="21"/>
      <c r="IV2" s="21"/>
    </row>
    <row r="3" spans="1:256" ht="14" x14ac:dyDescent="0.2">
      <c r="A3" s="21"/>
      <c r="B3" s="21"/>
      <c r="C3" s="21" t="s">
        <v>38</v>
      </c>
      <c r="D3" s="21" t="s">
        <v>39</v>
      </c>
      <c r="E3" s="21" t="s">
        <v>40</v>
      </c>
      <c r="F3" s="21" t="s">
        <v>63</v>
      </c>
      <c r="G3" s="21" t="s">
        <v>64</v>
      </c>
      <c r="H3" s="21" t="s">
        <v>71</v>
      </c>
      <c r="I3" s="21" t="s">
        <v>72</v>
      </c>
      <c r="J3" s="21" t="s">
        <v>73</v>
      </c>
      <c r="K3" s="21" t="s">
        <v>74</v>
      </c>
      <c r="L3" s="21"/>
      <c r="M3" s="21" t="s">
        <v>75</v>
      </c>
      <c r="N3" s="21"/>
      <c r="O3" s="21"/>
      <c r="P3" s="21" t="s">
        <v>76</v>
      </c>
      <c r="Q3" s="21" t="s">
        <v>77</v>
      </c>
      <c r="R3" s="21" t="s">
        <v>78</v>
      </c>
      <c r="S3" s="21" t="s">
        <v>79</v>
      </c>
      <c r="T3" s="21"/>
      <c r="U3" s="21" t="s">
        <v>80</v>
      </c>
      <c r="V3" s="21" t="s">
        <v>38</v>
      </c>
      <c r="W3" s="21" t="s">
        <v>39</v>
      </c>
      <c r="X3" s="21" t="s">
        <v>40</v>
      </c>
      <c r="Y3" s="21" t="s">
        <v>63</v>
      </c>
      <c r="Z3" s="21" t="s">
        <v>64</v>
      </c>
      <c r="AA3" s="21" t="s">
        <v>71</v>
      </c>
      <c r="AB3" s="21" t="s">
        <v>37</v>
      </c>
      <c r="AC3" s="21" t="s">
        <v>81</v>
      </c>
      <c r="AD3" s="21" t="s">
        <v>82</v>
      </c>
      <c r="AE3" s="21" t="s">
        <v>66</v>
      </c>
      <c r="AF3" s="21" t="s">
        <v>44</v>
      </c>
      <c r="AG3" s="21" t="s">
        <v>3</v>
      </c>
      <c r="AH3" s="21" t="s">
        <v>65</v>
      </c>
      <c r="AI3" s="21" t="s">
        <v>63</v>
      </c>
      <c r="AJ3" s="21" t="s">
        <v>83</v>
      </c>
      <c r="AK3" s="21" t="s">
        <v>82</v>
      </c>
      <c r="AL3" s="21" t="s">
        <v>66</v>
      </c>
      <c r="AM3" s="21" t="s">
        <v>84</v>
      </c>
      <c r="AN3" s="21"/>
      <c r="AO3" s="21" t="s">
        <v>80</v>
      </c>
      <c r="AP3" s="21" t="s">
        <v>38</v>
      </c>
      <c r="AQ3" s="21" t="s">
        <v>39</v>
      </c>
      <c r="AR3" s="21" t="s">
        <v>40</v>
      </c>
      <c r="AS3" s="21" t="s">
        <v>63</v>
      </c>
      <c r="AT3" s="21" t="s">
        <v>64</v>
      </c>
      <c r="AU3" s="21" t="s">
        <v>71</v>
      </c>
      <c r="AV3" s="21" t="s">
        <v>37</v>
      </c>
      <c r="AW3" s="21" t="s">
        <v>81</v>
      </c>
      <c r="AX3" s="21" t="s">
        <v>82</v>
      </c>
      <c r="AY3" s="21" t="s">
        <v>66</v>
      </c>
      <c r="AZ3" s="21" t="s">
        <v>44</v>
      </c>
      <c r="BA3" s="21" t="s">
        <v>3</v>
      </c>
      <c r="BB3" s="21" t="s">
        <v>65</v>
      </c>
      <c r="BC3" s="21" t="s">
        <v>63</v>
      </c>
      <c r="BD3" s="21" t="s">
        <v>83</v>
      </c>
      <c r="BE3" s="21" t="s">
        <v>82</v>
      </c>
      <c r="BF3" s="21" t="s">
        <v>66</v>
      </c>
      <c r="BG3" s="21" t="s">
        <v>84</v>
      </c>
      <c r="BH3" s="21"/>
      <c r="BI3" s="21" t="s">
        <v>80</v>
      </c>
      <c r="BJ3" s="21" t="s">
        <v>38</v>
      </c>
      <c r="BK3" s="21" t="s">
        <v>39</v>
      </c>
      <c r="BL3" s="21" t="s">
        <v>40</v>
      </c>
      <c r="BM3" s="21" t="s">
        <v>63</v>
      </c>
      <c r="BN3" s="21" t="s">
        <v>64</v>
      </c>
      <c r="BO3" s="21" t="s">
        <v>71</v>
      </c>
      <c r="BP3" s="21" t="s">
        <v>37</v>
      </c>
      <c r="BQ3" s="21" t="s">
        <v>81</v>
      </c>
      <c r="BR3" s="21" t="s">
        <v>82</v>
      </c>
      <c r="BS3" s="21" t="s">
        <v>66</v>
      </c>
      <c r="BT3" s="21" t="s">
        <v>44</v>
      </c>
      <c r="BU3" s="21" t="s">
        <v>3</v>
      </c>
      <c r="BV3" s="21" t="s">
        <v>65</v>
      </c>
      <c r="BW3" s="21" t="s">
        <v>63</v>
      </c>
      <c r="BX3" s="21" t="s">
        <v>81</v>
      </c>
      <c r="BY3" s="21" t="s">
        <v>82</v>
      </c>
      <c r="BZ3" s="21" t="s">
        <v>66</v>
      </c>
      <c r="CA3" s="21" t="s">
        <v>84</v>
      </c>
      <c r="CB3" s="21"/>
      <c r="CC3" s="21" t="s">
        <v>80</v>
      </c>
      <c r="CD3" s="21" t="s">
        <v>38</v>
      </c>
      <c r="CE3" s="21" t="s">
        <v>39</v>
      </c>
      <c r="CF3" s="21" t="s">
        <v>40</v>
      </c>
      <c r="CG3" s="21" t="s">
        <v>63</v>
      </c>
      <c r="CH3" s="21" t="s">
        <v>64</v>
      </c>
      <c r="CI3" s="21" t="s">
        <v>71</v>
      </c>
      <c r="CJ3" s="21" t="s">
        <v>37</v>
      </c>
      <c r="CK3" s="21" t="s">
        <v>81</v>
      </c>
      <c r="CL3" s="21" t="s">
        <v>82</v>
      </c>
      <c r="CM3" s="21" t="s">
        <v>66</v>
      </c>
      <c r="CN3" s="21" t="s">
        <v>44</v>
      </c>
      <c r="CO3" s="21" t="s">
        <v>3</v>
      </c>
      <c r="CP3" s="21" t="s">
        <v>65</v>
      </c>
      <c r="CQ3" s="21" t="s">
        <v>63</v>
      </c>
      <c r="CR3" s="21" t="s">
        <v>81</v>
      </c>
      <c r="CS3" s="21" t="s">
        <v>82</v>
      </c>
      <c r="CT3" s="21" t="s">
        <v>66</v>
      </c>
      <c r="CU3" s="21" t="s">
        <v>84</v>
      </c>
      <c r="CV3" s="21"/>
      <c r="CW3" s="21"/>
      <c r="CX3" s="21"/>
      <c r="CY3" s="21">
        <v>1</v>
      </c>
      <c r="CZ3" s="21" t="str">
        <f>Matches!E11</f>
        <v>Turkey</v>
      </c>
      <c r="DA3" s="21">
        <f>IF(AND(Matches!F11&lt;&gt;"",Matches!G11&lt;&gt;""),Matches!F11,0)</f>
        <v>0</v>
      </c>
      <c r="DB3" s="21">
        <f>IF(AND(Matches!G11&lt;&gt;"",Matches!F11&lt;&gt;""),Matches!G11,0)</f>
        <v>2</v>
      </c>
      <c r="DC3" s="21" t="str">
        <f>Matches!H11</f>
        <v>Italy</v>
      </c>
      <c r="DD3" s="21" t="str">
        <f>IF(AND(Matches!F11&lt;&gt;"",Matches!G11&lt;&gt;""),IF(DA3&gt;DB3,"W",IF(DA3=DB3,"D","L")),"")</f>
        <v>L</v>
      </c>
      <c r="DE3" s="21" t="str">
        <f>IF(DD3&lt;&gt;"",IF(DD3="W","L",IF(DD3="L","W","D")),"")</f>
        <v>W</v>
      </c>
      <c r="DF3" s="21"/>
      <c r="DG3" s="21"/>
      <c r="DH3" s="21" t="str">
        <f>Matches!P13</f>
        <v>Switzerland</v>
      </c>
      <c r="DI3" s="212">
        <f>Matches!U13</f>
        <v>1</v>
      </c>
      <c r="DJ3" s="212">
        <f>Matches!V13</f>
        <v>1</v>
      </c>
      <c r="DK3" s="212">
        <f>Matches!W13</f>
        <v>1</v>
      </c>
      <c r="DL3" s="212">
        <f>Matches!X13</f>
        <v>4</v>
      </c>
      <c r="DM3" s="212">
        <f>Matches!Z13</f>
        <v>5</v>
      </c>
      <c r="DN3" s="212">
        <f>Matches!AA13</f>
        <v>-1</v>
      </c>
      <c r="DO3" s="212">
        <f>Matches!AB13</f>
        <v>4</v>
      </c>
      <c r="DP3" s="21">
        <f>VLOOKUP(DH3,B4:J40,9,FALSE)</f>
        <v>47</v>
      </c>
      <c r="DQ3" s="21">
        <f>RANK(DO3,DO3:DO8)</f>
        <v>1</v>
      </c>
      <c r="DR3" s="21">
        <f>SUMPRODUCT((DQ3:DQ8=DQ3)*(DN3:DN8&gt;DN3))</f>
        <v>2</v>
      </c>
      <c r="DS3" s="21">
        <f>SUMPRODUCT((DQ3:DQ8=DQ3)*(DN3:DN8=DN3)*(DL3:DL8&gt;DL3))</f>
        <v>0</v>
      </c>
      <c r="DT3" s="21">
        <f>SUMPRODUCT((DQ3:DQ8=DQ3)*(DN3:DN8=DN3)*(DL3:DL8=DL3)*(DP3:DP8&gt;DP3))</f>
        <v>0</v>
      </c>
      <c r="DU3" s="21">
        <f>SUM(DQ3:DT3)</f>
        <v>3</v>
      </c>
      <c r="DV3" s="21" t="s">
        <v>42</v>
      </c>
      <c r="DW3" s="21">
        <v>1</v>
      </c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4"/>
      <c r="HZ3" s="214"/>
      <c r="IA3" s="21"/>
      <c r="IB3" s="21"/>
      <c r="IC3" s="21"/>
      <c r="ID3" s="21"/>
      <c r="IE3" s="21"/>
      <c r="IF3" s="21"/>
      <c r="IG3" s="212"/>
      <c r="IH3" s="212"/>
      <c r="II3" s="212"/>
      <c r="IJ3" s="212"/>
      <c r="IK3" s="212"/>
      <c r="IL3" s="212"/>
      <c r="IM3" s="212"/>
      <c r="IN3" s="21"/>
      <c r="IO3" s="21"/>
      <c r="IP3" s="21"/>
      <c r="IQ3" s="21"/>
      <c r="IR3" s="21"/>
      <c r="IS3" s="21"/>
      <c r="IT3" s="21"/>
      <c r="IU3" s="21"/>
      <c r="IV3" s="21"/>
    </row>
    <row r="4" spans="1:256" ht="14" x14ac:dyDescent="0.2">
      <c r="A4" s="21">
        <f>VLOOKUP(B4,CW4:CX8,2,FALSE)</f>
        <v>4</v>
      </c>
      <c r="B4" s="21" t="str">
        <f>Matches!AH10</f>
        <v>Turkey</v>
      </c>
      <c r="C4" s="21">
        <f>SUMPRODUCT((CZ3:CZ42=B4)*(DD3:DD42="W"))+SUMPRODUCT((DC3:DC42=B4)*(DE3:DE42="W"))</f>
        <v>0</v>
      </c>
      <c r="D4" s="21">
        <f>SUMPRODUCT((CZ3:CZ42=B4)*(DD3:DD42="D"))+SUMPRODUCT((DC3:DC42=B4)*(DE3:DE42="D"))</f>
        <v>0</v>
      </c>
      <c r="E4" s="21">
        <f>SUMPRODUCT((CZ3:CZ42=B4)*(DD3:DD42="L"))+SUMPRODUCT((DC3:DC42=B4)*(DE3:DE42="L"))</f>
        <v>3</v>
      </c>
      <c r="F4" s="21">
        <f>SUMIF(CZ3:CZ60,B4,DA3:DA60)+SUMIF(DC3:DC60,B4,DB3:DB60)</f>
        <v>1</v>
      </c>
      <c r="G4" s="21">
        <f>SUMIF(DC3:DC60,B4,DA3:DA60)+SUMIF(CZ3:CZ60,B4,DB3:DB60)</f>
        <v>7</v>
      </c>
      <c r="H4" s="21">
        <f>F4-G4+1000</f>
        <v>994</v>
      </c>
      <c r="I4" s="21">
        <f>C4*3+D4*1</f>
        <v>0</v>
      </c>
      <c r="J4" s="21">
        <v>42</v>
      </c>
      <c r="K4" s="21">
        <f>IF(COUNTIF(I4:I8,4)&lt;&gt;4,RANK(I4,I4:I8),I44)</f>
        <v>4</v>
      </c>
      <c r="L4" s="21"/>
      <c r="M4" s="21">
        <f>SUMPRODUCT((K4:K7=K4)*(J4:J7&lt;J4))+K4</f>
        <v>4</v>
      </c>
      <c r="N4" s="21" t="str">
        <f>INDEX(B4:B8,MATCH(1,M4:M8,0),0)</f>
        <v>Italy</v>
      </c>
      <c r="O4" s="21">
        <f>INDEX(K4:K8,MATCH(N4,B4:B8,0),0)</f>
        <v>1</v>
      </c>
      <c r="P4" s="21" t="str">
        <f>IF(O5=1,N4,"")</f>
        <v/>
      </c>
      <c r="Q4" s="21" t="str">
        <f>IF(O6=2,N5,"")</f>
        <v>Wales</v>
      </c>
      <c r="R4" s="21" t="str">
        <f>IF(O7=3,N6,"")</f>
        <v/>
      </c>
      <c r="S4" s="21" t="str">
        <f>IF(O8=4,N7,"")</f>
        <v/>
      </c>
      <c r="T4" s="21"/>
      <c r="U4" s="21" t="str">
        <f>IF(P4&lt;&gt;"",P4,"")</f>
        <v/>
      </c>
      <c r="V4" s="21">
        <f>SUMPRODUCT((CZ3:CZ42=U4)*(DC3:DC42=U5)*(DD3:DD42="W"))+SUMPRODUCT((CZ3:CZ42=U4)*(DC3:DC42=U6)*(DD3:DD42="W"))+SUMPRODUCT((CZ3:CZ42=U4)*(DC3:DC42=U7)*(DD3:DD42="W"))+SUMPRODUCT((CZ3:CZ42=U4)*(DC3:DC42=U8)*(DD3:DD42="W"))+SUMPRODUCT((CZ3:CZ42=U5)*(DC3:DC42=U4)*(DE3:DE42="W"))+SUMPRODUCT((CZ3:CZ42=U6)*(DC3:DC42=U4)*(DE3:DE42="W"))+SUMPRODUCT((CZ3:CZ42=U7)*(DC3:DC42=U4)*(DE3:DE42="W"))+SUMPRODUCT((CZ3:CZ42=U8)*(DC3:DC42=U4)*(DE3:DE42="W"))</f>
        <v>0</v>
      </c>
      <c r="W4" s="21">
        <f>SUMPRODUCT((CZ3:CZ42=U4)*(DC3:DC42=U5)*(DD3:DD42="D"))+SUMPRODUCT((CZ3:CZ42=U4)*(DC3:DC42=U6)*(DD3:DD42="D"))+SUMPRODUCT((CZ3:CZ42=U4)*(DC3:DC42=U7)*(DD3:DD42="D"))+SUMPRODUCT((CZ3:CZ42=U4)*(DC3:DC42=U8)*(DD3:DD42="D"))+SUMPRODUCT((CZ3:CZ42=U5)*(DC3:DC42=U4)*(DD3:DD42="D"))+SUMPRODUCT((CZ3:CZ42=U6)*(DC3:DC42=U4)*(DD3:DD42="D"))+SUMPRODUCT((CZ3:CZ42=U7)*(DC3:DC42=U4)*(DD3:DD42="D"))+SUMPRODUCT((CZ3:CZ42=U8)*(DC3:DC42=U4)*(DD3:DD42="D"))</f>
        <v>0</v>
      </c>
      <c r="X4" s="21">
        <f>SUMPRODUCT((CZ3:CZ42=U4)*(DC3:DC42=U5)*(DD3:DD42="L"))+SUMPRODUCT((CZ3:CZ42=U4)*(DC3:DC42=U6)*(DD3:DD42="L"))+SUMPRODUCT((CZ3:CZ42=U4)*(DC3:DC42=U7)*(DD3:DD42="L"))+SUMPRODUCT((CZ3:CZ42=U4)*(DC3:DC42=U8)*(DD3:DD42="L"))+SUMPRODUCT((CZ3:CZ42=U5)*(DC3:DC42=U4)*(DE3:DE42="L"))+SUMPRODUCT((CZ3:CZ42=U6)*(DC3:DC42=U4)*(DE3:DE42="L"))+SUMPRODUCT((CZ3:CZ42=U7)*(DC3:DC42=U4)*(DE3:DE42="L"))+SUMPRODUCT((CZ3:CZ42=U8)*(DC3:DC42=U4)*(DE3:DE42="L"))</f>
        <v>0</v>
      </c>
      <c r="Y4" s="21">
        <f>SUMPRODUCT((CZ3:CZ42=U4)*(DC3:DC42=U5)*DA3:DA42)+SUMPRODUCT((CZ3:CZ42=U4)*(DC3:DC42=U6)*DA3:DA42)+SUMPRODUCT((CZ3:CZ42=U4)*(DC3:DC42=U7)*DA3:DA42)+SUMPRODUCT((CZ3:CZ42=U4)*(DC3:DC42=U8)*DA3:DA42)+SUMPRODUCT((CZ3:CZ42=U5)*(DC3:DC42=U4)*DB3:DB42)+SUMPRODUCT((CZ3:CZ42=U6)*(DC3:DC42=U4)*DB3:DB42)+SUMPRODUCT((CZ3:CZ42=U7)*(DC3:DC42=U4)*DB3:DB42)+SUMPRODUCT((CZ3:CZ42=U8)*(DC3:DC42=U4)*DB3:DB42)</f>
        <v>0</v>
      </c>
      <c r="Z4" s="21">
        <f>SUMPRODUCT((CZ3:CZ42=U4)*(DC3:DC42=U5)*DB3:DB42)+SUMPRODUCT((CZ3:CZ42=U4)*(DC3:DC42=U6)*DB3:DB42)+SUMPRODUCT((CZ3:CZ42=U4)*(DC3:DC42=U7)*DB3:DB42)+SUMPRODUCT((CZ3:CZ42=U4)*(DC3:DC42=U8)*DB3:DB42)+SUMPRODUCT((CZ3:CZ42=U5)*(DC3:DC42=U4)*DA3:DA42)+SUMPRODUCT((CZ3:CZ42=U6)*(DC3:DC42=U4)*DA3:DA42)+SUMPRODUCT((CZ3:CZ42=U7)*(DC3:DC42=U4)*DA3:DA42)+SUMPRODUCT((CZ3:CZ42=U8)*(DC3:DC42=U4)*DA3:DA42)</f>
        <v>0</v>
      </c>
      <c r="AA4" s="21">
        <f>Y4-Z4+1000</f>
        <v>1000</v>
      </c>
      <c r="AB4" s="21" t="str">
        <f>IF(U4&lt;&gt;"",V4*3+W4*1,"")</f>
        <v/>
      </c>
      <c r="AC4" s="21" t="str">
        <f>IF(U4&lt;&gt;"",VLOOKUP(U4,B4:H40,7,FALSE),"")</f>
        <v/>
      </c>
      <c r="AD4" s="21" t="str">
        <f>IF(U4&lt;&gt;"",VLOOKUP(U4,B4:H40,5,FALSE),"")</f>
        <v/>
      </c>
      <c r="AE4" s="21" t="str">
        <f>IF(U4&lt;&gt;"",VLOOKUP(U4,B4:J40,9,FALSE),"")</f>
        <v/>
      </c>
      <c r="AF4" s="21" t="str">
        <f>AB4</f>
        <v/>
      </c>
      <c r="AG4" s="21" t="str">
        <f>IF(U4&lt;&gt;"",RANK(AF4,AF4:AF8),"")</f>
        <v/>
      </c>
      <c r="AH4" s="21" t="str">
        <f>IF(U4&lt;&gt;"",SUMPRODUCT((AF4:AF8=AF4)*(AA4:AA8&gt;AA4)),"")</f>
        <v/>
      </c>
      <c r="AI4" s="21" t="str">
        <f>IF(U4&lt;&gt;"",SUMPRODUCT((AF4:AF8=AF4)*(AA4:AA8=AA4)*(Y4:Y8&gt;Y4)),"")</f>
        <v/>
      </c>
      <c r="AJ4" s="21" t="str">
        <f>IF(U4&lt;&gt;"",SUMPRODUCT((AF4:AF8=AF4)*(AA4:AA8=AA4)*(Y4:Y8=Y4)*(AC4:AC8&gt;AC4)),"")</f>
        <v/>
      </c>
      <c r="AK4" s="21" t="str">
        <f>IF(U4&lt;&gt;"",SUMPRODUCT((AF4:AF8=AF4)*(AA4:AA8=AA4)*(Y4:Y8=Y4)*(AC4:AC8=AC4)*(AD4:AD8&gt;AD4)),"")</f>
        <v/>
      </c>
      <c r="AL4" s="21" t="str">
        <f>IF(U4&lt;&gt;"",SUMPRODUCT((AF4:AF8=AF4)*(AA4:AA8=AA4)*(Y4:Y8=Y4)*(AC4:AC8=AC4)*(AD4:AD8=AD4)*(AE4:AE8&gt;AE4)),"")</f>
        <v/>
      </c>
      <c r="AM4" s="21" t="str">
        <f>IF(U4&lt;&gt;"",IF(AM44&lt;&gt;"",IF(T43=3,AM44,AM44+T43),SUM(AG4:AL4)),"")</f>
        <v/>
      </c>
      <c r="AN4" s="21" t="str">
        <f>IF(U4&lt;&gt;"",INDEX(U4:U8,MATCH(1,AM4:AM8,0),0),"")</f>
        <v/>
      </c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 t="str">
        <f>IF(AN4&lt;&gt;"",AN4,N4)</f>
        <v>Italy</v>
      </c>
      <c r="CX4" s="21">
        <v>1</v>
      </c>
      <c r="CY4" s="21">
        <v>2</v>
      </c>
      <c r="CZ4" s="21" t="str">
        <f>Matches!E12</f>
        <v>Wales</v>
      </c>
      <c r="DA4" s="21">
        <f>IF(AND(Matches!F12&lt;&gt;"",Matches!G12&lt;&gt;""),Matches!F12,0)</f>
        <v>1</v>
      </c>
      <c r="DB4" s="21">
        <f>IF(AND(Matches!G12&lt;&gt;"",Matches!F12&lt;&gt;""),Matches!G12,0)</f>
        <v>1</v>
      </c>
      <c r="DC4" s="21" t="str">
        <f>Matches!H12</f>
        <v>Switzerland</v>
      </c>
      <c r="DD4" s="21" t="str">
        <f>IF(AND(Matches!F12&lt;&gt;"",Matches!G12&lt;&gt;""),IF(DA4&gt;DB4,"W",IF(DA4=DB4,"D","L")),"")</f>
        <v>D</v>
      </c>
      <c r="DE4" s="21" t="str">
        <f t="shared" ref="DE4:DE38" si="0">IF(DD4&lt;&gt;"",IF(DD4="W","L",IF(DD4="L","W","D")),"")</f>
        <v>D</v>
      </c>
      <c r="DF4" s="21"/>
      <c r="DG4" s="21"/>
      <c r="DH4" s="21" t="str">
        <f>Matches!P18</f>
        <v>Finland</v>
      </c>
      <c r="DI4" s="212">
        <f>Matches!U18</f>
        <v>1</v>
      </c>
      <c r="DJ4" s="212">
        <f>Matches!V18</f>
        <v>0</v>
      </c>
      <c r="DK4" s="212">
        <f>Matches!W18</f>
        <v>2</v>
      </c>
      <c r="DL4" s="212">
        <f>Matches!X18</f>
        <v>1</v>
      </c>
      <c r="DM4" s="212">
        <f>Matches!Z18</f>
        <v>3</v>
      </c>
      <c r="DN4" s="212">
        <f>Matches!AA18</f>
        <v>-2</v>
      </c>
      <c r="DO4" s="212">
        <f>Matches!AB18</f>
        <v>3</v>
      </c>
      <c r="DP4" s="21">
        <f>VLOOKUP(DH4,B4:J40,9,FALSE)</f>
        <v>36</v>
      </c>
      <c r="DQ4" s="21">
        <f>RANK(DO4,DO3:DO8)</f>
        <v>4</v>
      </c>
      <c r="DR4" s="21">
        <f>SUMPRODUCT((DQ3:DQ8=DQ4)*(DN3:DN8&gt;DN4))</f>
        <v>1</v>
      </c>
      <c r="DS4" s="21">
        <f>SUMPRODUCT((DQ3:DQ8=DQ4)*(DN3:DN8=DN4)*(DL3:DL8&gt;DL4))</f>
        <v>0</v>
      </c>
      <c r="DT4" s="21">
        <f>SUMPRODUCT((DQ3:DQ8=DQ4)*(DN3:DN8=DN4)*(DL3:DL8=DL4)*(DP3:DP8&gt;DP4))</f>
        <v>0</v>
      </c>
      <c r="DU4" s="21">
        <f t="shared" ref="DU4:DU8" si="1">SUM(DQ4:DT4)</f>
        <v>5</v>
      </c>
      <c r="DV4" s="21" t="s">
        <v>46</v>
      </c>
      <c r="DW4" s="21">
        <v>2</v>
      </c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214"/>
      <c r="HZ4" s="214"/>
      <c r="IA4" s="21"/>
      <c r="IB4" s="21"/>
      <c r="IC4" s="21"/>
      <c r="ID4" s="21"/>
      <c r="IE4" s="21"/>
      <c r="IF4" s="21"/>
      <c r="IG4" s="212"/>
      <c r="IH4" s="212"/>
      <c r="II4" s="212"/>
      <c r="IJ4" s="212"/>
      <c r="IK4" s="212"/>
      <c r="IL4" s="212"/>
      <c r="IM4" s="212"/>
      <c r="IN4" s="21"/>
      <c r="IO4" s="21"/>
      <c r="IP4" s="21"/>
      <c r="IQ4" s="21"/>
      <c r="IR4" s="21"/>
      <c r="IS4" s="21"/>
      <c r="IT4" s="21"/>
      <c r="IU4" s="21"/>
      <c r="IV4" s="21"/>
    </row>
    <row r="5" spans="1:256" ht="14" x14ac:dyDescent="0.2">
      <c r="A5" s="21">
        <f>VLOOKUP(B5,CW4:CX8,2,FALSE)</f>
        <v>1</v>
      </c>
      <c r="B5" s="21" t="str">
        <f>Matches!AH11</f>
        <v>Italy</v>
      </c>
      <c r="C5" s="21">
        <f>SUMPRODUCT((CZ3:CZ42=B5)*(DD3:DD42="W"))+SUMPRODUCT((DC3:DC42=B5)*(DE3:DE42="W"))</f>
        <v>3</v>
      </c>
      <c r="D5" s="21">
        <f>SUMPRODUCT((CZ3:CZ42=B5)*(DD3:DD42="D"))+SUMPRODUCT((DC3:DC42=B5)*(DE3:DE42="D"))</f>
        <v>0</v>
      </c>
      <c r="E5" s="21">
        <f>SUMPRODUCT((CZ3:CZ42=B5)*(DD3:DD42="L"))+SUMPRODUCT((DC3:DC42=B5)*(DE3:DE42="L"))</f>
        <v>0</v>
      </c>
      <c r="F5" s="21">
        <f>SUMIF(CZ3:CZ60,B5,DA3:DA60)+SUMIF(DC3:DC60,B5,DB3:DB60)</f>
        <v>6</v>
      </c>
      <c r="G5" s="21">
        <f>SUMIF(DC3:DC60,B5,DA3:DA60)+SUMIF(CZ3:CZ60,B5,DB3:DB60)</f>
        <v>0</v>
      </c>
      <c r="H5" s="21">
        <f t="shared" ref="H5:H7" si="2">F5-G5+1000</f>
        <v>1006</v>
      </c>
      <c r="I5" s="21">
        <f t="shared" ref="I5:I7" si="3">C5*3+D5*1</f>
        <v>9</v>
      </c>
      <c r="J5" s="21">
        <v>54</v>
      </c>
      <c r="K5" s="21">
        <f>IF(COUNTIF(I4:I8,4)&lt;&gt;4,RANK(I5,I4:I8),I45)</f>
        <v>1</v>
      </c>
      <c r="L5" s="21"/>
      <c r="M5" s="21">
        <f>SUMPRODUCT((K4:K7=K5)*(J4:J7&lt;J5))+K5</f>
        <v>1</v>
      </c>
      <c r="N5" s="21" t="str">
        <f>INDEX(B4:B8,MATCH(2,M4:M8,0),0)</f>
        <v>Wales</v>
      </c>
      <c r="O5" s="21">
        <f>INDEX(K4:K8,MATCH(N5,B4:B8,0),0)</f>
        <v>2</v>
      </c>
      <c r="P5" s="21" t="str">
        <f>IF(P4&lt;&gt;"",N5,"")</f>
        <v/>
      </c>
      <c r="Q5" s="21" t="str">
        <f>IF(Q4&lt;&gt;"",N6,"")</f>
        <v>Switzerland</v>
      </c>
      <c r="R5" s="21" t="str">
        <f>IF(R4&lt;&gt;"",N7,"")</f>
        <v/>
      </c>
      <c r="S5" s="21" t="str">
        <f>IF(S4&lt;&gt;"",N8,"")</f>
        <v/>
      </c>
      <c r="T5" s="21"/>
      <c r="U5" s="21" t="str">
        <f t="shared" ref="U5:U7" si="4">IF(P5&lt;&gt;"",P5,"")</f>
        <v/>
      </c>
      <c r="V5" s="21">
        <f>SUMPRODUCT((CZ3:CZ42=U5)*(DC3:DC42=U6)*(DD3:DD42="W"))+SUMPRODUCT((CZ3:CZ42=U5)*(DC3:DC42=U7)*(DD3:DD42="W"))+SUMPRODUCT((CZ3:CZ42=U5)*(DC3:DC42=U8)*(DD3:DD42="W"))+SUMPRODUCT((CZ3:CZ42=U5)*(DC3:DC42=U4)*(DD3:DD42="W"))+SUMPRODUCT((CZ3:CZ42=U6)*(DC3:DC42=U5)*(DE3:DE42="W"))+SUMPRODUCT((CZ3:CZ42=U7)*(DC3:DC42=U5)*(DE3:DE42="W"))+SUMPRODUCT((CZ3:CZ42=U8)*(DC3:DC42=U5)*(DE3:DE42="W"))+SUMPRODUCT((CZ3:CZ42=U4)*(DC3:DC42=U5)*(DE3:DE42="W"))</f>
        <v>0</v>
      </c>
      <c r="W5" s="21">
        <f>SUMPRODUCT((CZ3:CZ42=U5)*(DC3:DC42=U6)*(DD3:DD42="D"))+SUMPRODUCT((CZ3:CZ42=U5)*(DC3:DC42=U7)*(DD3:DD42="D"))+SUMPRODUCT((CZ3:CZ42=U5)*(DC3:DC42=U8)*(DD3:DD42="D"))+SUMPRODUCT((CZ3:CZ42=U5)*(DC3:DC42=U4)*(DD3:DD42="D"))+SUMPRODUCT((CZ3:CZ42=U6)*(DC3:DC42=U5)*(DD3:DD42="D"))+SUMPRODUCT((CZ3:CZ42=U7)*(DC3:DC42=U5)*(DD3:DD42="D"))+SUMPRODUCT((CZ3:CZ42=U8)*(DC3:DC42=U5)*(DD3:DD42="D"))+SUMPRODUCT((CZ3:CZ42=U4)*(DC3:DC42=U5)*(DD3:DD42="D"))</f>
        <v>0</v>
      </c>
      <c r="X5" s="21">
        <f>SUMPRODUCT((CZ3:CZ42=U5)*(DC3:DC42=U6)*(DD3:DD42="L"))+SUMPRODUCT((CZ3:CZ42=U5)*(DC3:DC42=U7)*(DD3:DD42="L"))+SUMPRODUCT((CZ3:CZ42=U5)*(DC3:DC42=U8)*(DD3:DD42="L"))+SUMPRODUCT((CZ3:CZ42=U5)*(DC3:DC42=U4)*(DD3:DD42="L"))+SUMPRODUCT((CZ3:CZ42=U6)*(DC3:DC42=U5)*(DE3:DE42="L"))+SUMPRODUCT((CZ3:CZ42=U7)*(DC3:DC42=U5)*(DE3:DE42="L"))+SUMPRODUCT((CZ3:CZ42=U8)*(DC3:DC42=U5)*(DE3:DE42="L"))+SUMPRODUCT((CZ3:CZ42=U4)*(DC3:DC42=U5)*(DE3:DE42="L"))</f>
        <v>0</v>
      </c>
      <c r="Y5" s="21">
        <f>SUMPRODUCT((CZ3:CZ42=U5)*(DC3:DC42=U6)*DA3:DA42)+SUMPRODUCT((CZ3:CZ42=U5)*(DC3:DC42=U7)*DA3:DA42)+SUMPRODUCT((CZ3:CZ42=U5)*(DC3:DC42=U8)*DA3:DA42)+SUMPRODUCT((CZ3:CZ42=U5)*(DC3:DC42=U4)*DA3:DA42)+SUMPRODUCT((CZ3:CZ42=U6)*(DC3:DC42=U5)*DB3:DB42)+SUMPRODUCT((CZ3:CZ42=U7)*(DC3:DC42=U5)*DB3:DB42)+SUMPRODUCT((CZ3:CZ42=U8)*(DC3:DC42=U5)*DB3:DB42)+SUMPRODUCT((CZ3:CZ42=U4)*(DC3:DC42=U5)*DB3:DB42)</f>
        <v>0</v>
      </c>
      <c r="Z5" s="21">
        <f>SUMPRODUCT((CZ3:CZ42=U5)*(DC3:DC42=U6)*DB3:DB42)+SUMPRODUCT((CZ3:CZ42=U5)*(DC3:DC42=U7)*DB3:DB42)+SUMPRODUCT((CZ3:CZ42=U5)*(DC3:DC42=U8)*DB3:DB42)+SUMPRODUCT((CZ3:CZ42=U5)*(DC3:DC42=U4)*DB3:DB42)+SUMPRODUCT((CZ3:CZ42=U6)*(DC3:DC42=U5)*DA3:DA42)+SUMPRODUCT((CZ3:CZ42=U7)*(DC3:DC42=U5)*DA3:DA42)+SUMPRODUCT((CZ3:CZ42=U8)*(DC3:DC42=U5)*DA3:DA42)+SUMPRODUCT((CZ3:CZ42=U4)*(DC3:DC42=U5)*DA3:DA42)</f>
        <v>0</v>
      </c>
      <c r="AA5" s="21">
        <f>Y5-Z5+1000</f>
        <v>1000</v>
      </c>
      <c r="AB5" s="21" t="str">
        <f t="shared" ref="AB5:AB7" si="5">IF(U5&lt;&gt;"",V5*3+W5*1,"")</f>
        <v/>
      </c>
      <c r="AC5" s="21" t="str">
        <f>IF(U5&lt;&gt;"",VLOOKUP(U5,B4:H40,7,FALSE),"")</f>
        <v/>
      </c>
      <c r="AD5" s="21" t="str">
        <f>IF(U5&lt;&gt;"",VLOOKUP(U5,B4:H40,5,FALSE),"")</f>
        <v/>
      </c>
      <c r="AE5" s="21" t="str">
        <f>IF(U5&lt;&gt;"",VLOOKUP(U5,B4:J40,9,FALSE),"")</f>
        <v/>
      </c>
      <c r="AF5" s="21" t="str">
        <f t="shared" ref="AF5:AF7" si="6">AB5</f>
        <v/>
      </c>
      <c r="AG5" s="21" t="str">
        <f>IF(U5&lt;&gt;"",RANK(AF5,AF4:AF8),"")</f>
        <v/>
      </c>
      <c r="AH5" s="21" t="str">
        <f>IF(U5&lt;&gt;"",SUMPRODUCT((AF4:AF8=AF5)*(AA4:AA8&gt;AA5)),"")</f>
        <v/>
      </c>
      <c r="AI5" s="21" t="str">
        <f>IF(U5&lt;&gt;"",SUMPRODUCT((AF4:AF8=AF5)*(AA4:AA8=AA5)*(Y4:Y8&gt;Y5)),"")</f>
        <v/>
      </c>
      <c r="AJ5" s="21" t="str">
        <f>IF(U5&lt;&gt;"",SUMPRODUCT((AF4:AF8=AF5)*(AA4:AA8=AA5)*(Y4:Y8=Y5)*(AC4:AC8&gt;AC5)),"")</f>
        <v/>
      </c>
      <c r="AK5" s="21" t="str">
        <f>IF(U5&lt;&gt;"",SUMPRODUCT((AF4:AF8=AF5)*(AA4:AA8=AA5)*(Y4:Y8=Y5)*(AC4:AC8=AC5)*(AD4:AD8&gt;AD5)),"")</f>
        <v/>
      </c>
      <c r="AL5" s="21" t="str">
        <f>IF(U5&lt;&gt;"",SUMPRODUCT((AF4:AF8=AF5)*(AA4:AA8=AA5)*(Y4:Y8=Y5)*(AC4:AC8=AC5)*(AD4:AD8=AD5)*(AE4:AE8&gt;AE5)),"")</f>
        <v/>
      </c>
      <c r="AM5" s="21" t="str">
        <f>IF(U5&lt;&gt;"",IF(AM45&lt;&gt;"",IF(T43=3,AM45,AM45+T43),SUM(AG5:AL5)),"")</f>
        <v/>
      </c>
      <c r="AN5" s="21" t="str">
        <f>IF(U5&lt;&gt;"",INDEX(U4:U8,MATCH(2,AM4:AM8,0),0),"")</f>
        <v/>
      </c>
      <c r="AO5" s="21" t="str">
        <f>IF(Q4&lt;&gt;"",Q4,"")</f>
        <v>Wales</v>
      </c>
      <c r="AP5" s="21">
        <f>SUMPRODUCT((CZ3:CZ42=AO5)*(DC3:DC42=AO6)*(DD3:DD42="W"))+SUMPRODUCT((CZ3:CZ42=AO5)*(DC3:DC42=AO7)*(DD3:DD42="W"))+SUMPRODUCT((CZ3:CZ42=AO5)*(DC3:DC42=AO8)*(DD3:DD42="W"))+SUMPRODUCT((CZ3:CZ42=AO6)*(DC3:DC42=AO5)*(DE3:DE42="W"))+SUMPRODUCT((CZ3:CZ42=AO7)*(DC3:DC42=AO5)*(DE3:DE42="W"))+SUMPRODUCT((CZ3:CZ42=AO8)*(DC3:DC42=AO5)*(DE3:DE42="W"))</f>
        <v>0</v>
      </c>
      <c r="AQ5" s="21">
        <f>SUMPRODUCT((CZ3:CZ42=AO5)*(DC3:DC42=AO6)*(DD3:DD42="D"))+SUMPRODUCT((CZ3:CZ42=AO5)*(DC3:DC42=AO7)*(DD3:DD42="D"))+SUMPRODUCT((CZ3:CZ42=AO5)*(DC3:DC42=AO8)*(DD3:DD42="D"))+SUMPRODUCT((CZ3:CZ42=AO6)*(DC3:DC42=AO5)*(DD3:DD42="D"))+SUMPRODUCT((CZ3:CZ42=AO7)*(DC3:DC42=AO5)*(DD3:DD42="D"))+SUMPRODUCT((CZ3:CZ42=AO8)*(DC3:DC42=AO5)*(DD3:DD42="D"))</f>
        <v>1</v>
      </c>
      <c r="AR5" s="21">
        <f>SUMPRODUCT((CZ3:CZ42=AO5)*(DC3:DC42=AO6)*(DD3:DD42="L"))+SUMPRODUCT((CZ3:CZ42=AO5)*(DC3:DC42=AO7)*(DD3:DD42="L"))+SUMPRODUCT((CZ3:CZ42=AO5)*(DC3:DC42=AO8)*(DD3:DD42="L"))+SUMPRODUCT((CZ3:CZ42=AO6)*(DC3:DC42=AO5)*(DE3:DE42="L"))+SUMPRODUCT((CZ3:CZ42=AO7)*(DC3:DC42=AO5)*(DE3:DE42="L"))+SUMPRODUCT((CZ3:CZ42=AO8)*(DC3:DC42=AO5)*(DE3:DE42="L"))</f>
        <v>0</v>
      </c>
      <c r="AS5" s="21">
        <f>SUMPRODUCT((CZ3:CZ42=AO5)*(DC3:DC42=AO6)*DA3:DA42)+SUMPRODUCT((CZ3:CZ42=AO5)*(DC3:DC42=AO7)*DA3:DA42)+SUMPRODUCT((CZ3:CZ42=AO5)*(DC3:DC42=AO8)*DA3:DA42)+SUMPRODUCT((CZ3:CZ42=AO5)*(DC3:DC42=AO4)*DA3:DA42)+SUMPRODUCT((CZ3:CZ42=AO6)*(DC3:DC42=AO5)*DB3:DB42)+SUMPRODUCT((CZ3:CZ42=AO7)*(DC3:DC42=AO5)*DB3:DB42)+SUMPRODUCT((CZ3:CZ42=AO8)*(DC3:DC42=AO5)*DB3:DB42)+SUMPRODUCT((CZ3:CZ42=AO4)*(DC3:DC42=AO5)*DB3:DB42)</f>
        <v>1</v>
      </c>
      <c r="AT5" s="21">
        <f>SUMPRODUCT((CZ3:CZ42=AO5)*(DC3:DC42=AO6)*DB3:DB42)+SUMPRODUCT((CZ3:CZ42=AO5)*(DC3:DC42=AO7)*DB3:DB42)+SUMPRODUCT((CZ3:CZ42=AO5)*(DC3:DC42=AO8)*DB3:DB42)+SUMPRODUCT((CZ3:CZ42=AO5)*(DC3:DC42=AO4)*DB3:DB42)+SUMPRODUCT((CZ3:CZ42=AO6)*(DC3:DC42=AO5)*DA3:DA42)+SUMPRODUCT((CZ3:CZ42=AO7)*(DC3:DC42=AO5)*DA3:DA42)+SUMPRODUCT((CZ3:CZ42=AO8)*(DC3:DC42=AO5)*DA3:DA42)+SUMPRODUCT((CZ3:CZ42=AO4)*(DC3:DC42=AO5)*DA3:DA42)</f>
        <v>1</v>
      </c>
      <c r="AU5" s="21">
        <f>AS5-AT5+1000</f>
        <v>1000</v>
      </c>
      <c r="AV5" s="21">
        <f t="shared" ref="AV5:AV7" si="7">IF(AO5&lt;&gt;"",AP5*3+AQ5*1,"")</f>
        <v>1</v>
      </c>
      <c r="AW5" s="21">
        <f>IF(AO5&lt;&gt;"",VLOOKUP(AO5,B4:H40,7,FALSE),"")</f>
        <v>1001</v>
      </c>
      <c r="AX5" s="21">
        <f>IF(AO5&lt;&gt;"",VLOOKUP(AO5,B4:H40,5,FALSE),"")</f>
        <v>3</v>
      </c>
      <c r="AY5" s="21">
        <f>IF(AO5&lt;&gt;"",VLOOKUP(AO5,B4:J40,9,FALSE),"")</f>
        <v>37</v>
      </c>
      <c r="AZ5" s="21">
        <f t="shared" ref="AZ5:AZ7" si="8">AV5</f>
        <v>1</v>
      </c>
      <c r="BA5" s="21">
        <f>IF(AO5&lt;&gt;"",RANK(AZ5,AZ4:AZ8),"")</f>
        <v>1</v>
      </c>
      <c r="BB5" s="21">
        <f>IF(AO5&lt;&gt;"",SUMPRODUCT((AZ4:AZ8=AZ5)*(AU4:AU8&gt;AU5)),"")</f>
        <v>0</v>
      </c>
      <c r="BC5" s="21">
        <f>IF(AO5&lt;&gt;"",SUMPRODUCT((AZ4:AZ8=AZ5)*(AU4:AU8=AU5)*(AS4:AS8&gt;AS5)),"")</f>
        <v>0</v>
      </c>
      <c r="BD5" s="21">
        <f>IF(AO5&lt;&gt;"",SUMPRODUCT((AZ4:AZ8=AZ5)*(AU4:AU8=AU5)*(AS4:AS8=AS5)*(AW4:AW8&gt;AW5)),"")</f>
        <v>0</v>
      </c>
      <c r="BE5" s="21">
        <f>IF(AO5&lt;&gt;"",SUMPRODUCT((AZ4:AZ8=AZ5)*(AU4:AU8=AU5)*(AS4:AS8=AS5)*(AW4:AW8=AW5)*(AX4:AX8&gt;AX5)),"")</f>
        <v>0</v>
      </c>
      <c r="BF5" s="21">
        <f>IF(AO5&lt;&gt;"",SUMPRODUCT((AZ4:AZ8=AZ5)*(AU4:AU8=AU5)*(AS4:AS8=AS5)*(AW4:AW8=AW5)*(AX4:AX8=AX5)*(AY4:AY8&gt;AY5)),"")</f>
        <v>0</v>
      </c>
      <c r="BG5" s="21">
        <f>IF(AO5&lt;&gt;"",IF(BG45&lt;&gt;"",IF(AN43=3,BG45,BG45+AN43),SUM(BA5:BF5)+1),"")</f>
        <v>2</v>
      </c>
      <c r="BH5" s="21" t="str">
        <f>IF(AO5&lt;&gt;"",INDEX(AO5:AO8,MATCH(2,BG5:BG8,0),0),"")</f>
        <v>Wales</v>
      </c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 t="str">
        <f>IF(BH5&lt;&gt;"",BH5,IF(AN5&lt;&gt;"",AN5,N5))</f>
        <v>Wales</v>
      </c>
      <c r="CX5" s="21">
        <v>2</v>
      </c>
      <c r="CY5" s="21">
        <v>3</v>
      </c>
      <c r="CZ5" s="21" t="str">
        <f>Matches!E13</f>
        <v>Denmark</v>
      </c>
      <c r="DA5" s="21">
        <f>IF(AND(Matches!F13&lt;&gt;"",Matches!G13&lt;&gt;""),Matches!F13,0)</f>
        <v>0</v>
      </c>
      <c r="DB5" s="21">
        <f>IF(AND(Matches!G13&lt;&gt;"",Matches!F13&lt;&gt;""),Matches!G13,0)</f>
        <v>1</v>
      </c>
      <c r="DC5" s="21" t="str">
        <f>Matches!H13</f>
        <v>Finland</v>
      </c>
      <c r="DD5" s="21" t="str">
        <f>IF(AND(Matches!F13&lt;&gt;"",Matches!G13&lt;&gt;""),IF(DA5&gt;DB5,"W",IF(DA5=DB5,"D","L")),"")</f>
        <v>L</v>
      </c>
      <c r="DE5" s="21" t="str">
        <f t="shared" si="0"/>
        <v>W</v>
      </c>
      <c r="DF5" s="21"/>
      <c r="DG5" s="21"/>
      <c r="DH5" s="21" t="str">
        <f>Matches!P23</f>
        <v>Ukraine</v>
      </c>
      <c r="DI5" s="212">
        <f>Matches!U23</f>
        <v>1</v>
      </c>
      <c r="DJ5" s="212">
        <f>Matches!V23</f>
        <v>0</v>
      </c>
      <c r="DK5" s="212">
        <f>Matches!W23</f>
        <v>2</v>
      </c>
      <c r="DL5" s="212">
        <f>Matches!X23</f>
        <v>4</v>
      </c>
      <c r="DM5" s="212">
        <f>Matches!Z23</f>
        <v>5</v>
      </c>
      <c r="DN5" s="212">
        <f>Matches!AA23</f>
        <v>-1</v>
      </c>
      <c r="DO5" s="212">
        <f>Matches!AB23</f>
        <v>3</v>
      </c>
      <c r="DP5" s="21">
        <f>VLOOKUP(DH5,B4:J40,9,FALSE)</f>
        <v>50</v>
      </c>
      <c r="DQ5" s="21">
        <f>RANK(DO5,DO3:DO8)</f>
        <v>4</v>
      </c>
      <c r="DR5" s="21">
        <f>SUMPRODUCT((DQ3:DQ8=DQ5)*(DN3:DN8&gt;DN5))</f>
        <v>0</v>
      </c>
      <c r="DS5" s="21">
        <f>SUMPRODUCT((DQ3:DQ8=DQ5)*(DN3:DN8=DN5)*(DL3:DL8&gt;DL5))</f>
        <v>0</v>
      </c>
      <c r="DT5" s="21">
        <f>SUMPRODUCT((DQ3:DQ8=DQ5)*(DN3:DN8=DN5)*(DL3:DL8=DL5)*(DP3:DP8&gt;DP5))</f>
        <v>0</v>
      </c>
      <c r="DU5" s="21">
        <f t="shared" si="1"/>
        <v>4</v>
      </c>
      <c r="DV5" s="21" t="s">
        <v>48</v>
      </c>
      <c r="DW5" s="21">
        <v>3</v>
      </c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214"/>
      <c r="HZ5" s="214"/>
      <c r="IA5" s="21"/>
      <c r="IB5" s="21"/>
      <c r="IC5" s="21"/>
      <c r="ID5" s="21"/>
      <c r="IE5" s="21"/>
      <c r="IF5" s="21"/>
      <c r="IG5" s="212"/>
      <c r="IH5" s="212"/>
      <c r="II5" s="212"/>
      <c r="IJ5" s="212"/>
      <c r="IK5" s="212"/>
      <c r="IL5" s="212"/>
      <c r="IM5" s="212"/>
      <c r="IN5" s="21"/>
      <c r="IO5" s="21"/>
      <c r="IP5" s="21"/>
      <c r="IQ5" s="21"/>
      <c r="IR5" s="21"/>
      <c r="IS5" s="21"/>
      <c r="IT5" s="21"/>
      <c r="IU5" s="21"/>
      <c r="IV5" s="21"/>
    </row>
    <row r="6" spans="1:256" ht="14" x14ac:dyDescent="0.2">
      <c r="A6" s="21">
        <f>VLOOKUP(B6,CW4:CX8,2,FALSE)</f>
        <v>2</v>
      </c>
      <c r="B6" s="21" t="str">
        <f>Matches!AH12</f>
        <v>Wales</v>
      </c>
      <c r="C6" s="21">
        <f>SUMPRODUCT((CZ3:CZ42=B6)*(DD3:DD42="W"))+SUMPRODUCT((DC3:DC42=B6)*(DE3:DE42="W"))</f>
        <v>1</v>
      </c>
      <c r="D6" s="21">
        <f>SUMPRODUCT((CZ3:CZ42=B6)*(DD3:DD42="D"))+SUMPRODUCT((DC3:DC42=B6)*(DE3:DE42="D"))</f>
        <v>1</v>
      </c>
      <c r="E6" s="21">
        <f>SUMPRODUCT((CZ3:CZ42=B6)*(DD3:DD42="L"))+SUMPRODUCT((DC3:DC42=B6)*(DE3:DE42="L"))</f>
        <v>1</v>
      </c>
      <c r="F6" s="21">
        <f>SUMIF(CZ3:CZ60,B6,DA3:DA60)+SUMIF(DC3:DC60,B6,DB3:DB60)</f>
        <v>3</v>
      </c>
      <c r="G6" s="21">
        <f>SUMIF(DC3:DC60,B6,DA3:DA60)+SUMIF(CZ3:CZ60,B6,DB3:DB60)</f>
        <v>2</v>
      </c>
      <c r="H6" s="21">
        <f t="shared" si="2"/>
        <v>1001</v>
      </c>
      <c r="I6" s="21">
        <f t="shared" si="3"/>
        <v>4</v>
      </c>
      <c r="J6" s="21">
        <v>37</v>
      </c>
      <c r="K6" s="21">
        <f>IF(COUNTIF(I4:I8,4)&lt;&gt;4,RANK(I6,I4:I8),I46)</f>
        <v>2</v>
      </c>
      <c r="L6" s="21"/>
      <c r="M6" s="21">
        <f>SUMPRODUCT((K4:K7=K6)*(J4:J7&lt;J6))+K6</f>
        <v>2</v>
      </c>
      <c r="N6" s="21" t="str">
        <f>INDEX(B4:B8,MATCH(3,M4:M8,0),0)</f>
        <v>Switzerland</v>
      </c>
      <c r="O6" s="21">
        <f>INDEX(K4:K8,MATCH(N6,B4:B8,0),0)</f>
        <v>2</v>
      </c>
      <c r="P6" s="21" t="str">
        <f>IF(AND(P5&lt;&gt;"",O6=1),N6,"")</f>
        <v/>
      </c>
      <c r="Q6" s="21" t="str">
        <f>IF(AND(Q5&lt;&gt;"",O7=2),N7,"")</f>
        <v/>
      </c>
      <c r="R6" s="21" t="str">
        <f>IF(AND(R5&lt;&gt;"",O8=3),N8,"")</f>
        <v/>
      </c>
      <c r="S6" s="21"/>
      <c r="T6" s="21"/>
      <c r="U6" s="21" t="str">
        <f t="shared" si="4"/>
        <v/>
      </c>
      <c r="V6" s="21">
        <f>SUMPRODUCT((CZ3:CZ42=U6)*(DC3:DC42=U7)*(DD3:DD42="W"))+SUMPRODUCT((CZ3:CZ42=U6)*(DC3:DC42=U8)*(DD3:DD42="W"))+SUMPRODUCT((CZ3:CZ42=U6)*(DC3:DC42=U4)*(DD3:DD42="W"))+SUMPRODUCT((CZ3:CZ42=U6)*(DC3:DC42=U5)*(DD3:DD42="W"))+SUMPRODUCT((CZ3:CZ42=U7)*(DC3:DC42=U6)*(DE3:DE42="W"))+SUMPRODUCT((CZ3:CZ42=U8)*(DC3:DC42=U6)*(DE3:DE42="W"))+SUMPRODUCT((CZ3:CZ42=U4)*(DC3:DC42=U6)*(DE3:DE42="W"))+SUMPRODUCT((CZ3:CZ42=U5)*(DC3:DC42=U6)*(DE3:DE42="W"))</f>
        <v>0</v>
      </c>
      <c r="W6" s="21">
        <f>SUMPRODUCT((CZ3:CZ42=U6)*(DC3:DC42=U7)*(DD3:DD42="D"))+SUMPRODUCT((CZ3:CZ42=U6)*(DC3:DC42=U8)*(DD3:DD42="D"))+SUMPRODUCT((CZ3:CZ42=U6)*(DC3:DC42=U4)*(DD3:DD42="D"))+SUMPRODUCT((CZ3:CZ42=U6)*(DC3:DC42=U5)*(DD3:DD42="D"))+SUMPRODUCT((CZ3:CZ42=U7)*(DC3:DC42=U6)*(DD3:DD42="D"))+SUMPRODUCT((CZ3:CZ42=U8)*(DC3:DC42=U6)*(DD3:DD42="D"))+SUMPRODUCT((CZ3:CZ42=U4)*(DC3:DC42=U6)*(DD3:DD42="D"))+SUMPRODUCT((CZ3:CZ42=U5)*(DC3:DC42=U6)*(DD3:DD42="D"))</f>
        <v>0</v>
      </c>
      <c r="X6" s="21">
        <f>SUMPRODUCT((CZ3:CZ42=U6)*(DC3:DC42=U7)*(DD3:DD42="L"))+SUMPRODUCT((CZ3:CZ42=U6)*(DC3:DC42=U8)*(DD3:DD42="L"))+SUMPRODUCT((CZ3:CZ42=U6)*(DC3:DC42=U4)*(DD3:DD42="L"))+SUMPRODUCT((CZ3:CZ42=U6)*(DC3:DC42=U5)*(DD3:DD42="L"))+SUMPRODUCT((CZ3:CZ42=U7)*(DC3:DC42=U6)*(DE3:DE42="L"))+SUMPRODUCT((CZ3:CZ42=U8)*(DC3:DC42=U6)*(DE3:DE42="L"))+SUMPRODUCT((CZ3:CZ42=U4)*(DC3:DC42=U6)*(DE3:DE42="L"))+SUMPRODUCT((CZ3:CZ42=U5)*(DC3:DC42=U6)*(DE3:DE42="L"))</f>
        <v>0</v>
      </c>
      <c r="Y6" s="21">
        <f>SUMPRODUCT((CZ3:CZ42=U6)*(DC3:DC42=U7)*DA3:DA42)+SUMPRODUCT((CZ3:CZ42=U6)*(DC3:DC42=U8)*DA3:DA42)+SUMPRODUCT((CZ3:CZ42=U6)*(DC3:DC42=U4)*DA3:DA42)+SUMPRODUCT((CZ3:CZ42=U6)*(DC3:DC42=U5)*DA3:DA42)+SUMPRODUCT((CZ3:CZ42=U7)*(DC3:DC42=U6)*DB3:DB42)+SUMPRODUCT((CZ3:CZ42=U8)*(DC3:DC42=U6)*DB3:DB42)+SUMPRODUCT((CZ3:CZ42=U4)*(DC3:DC42=U6)*DB3:DB42)+SUMPRODUCT((CZ3:CZ42=U5)*(DC3:DC42=U6)*DB3:DB42)</f>
        <v>0</v>
      </c>
      <c r="Z6" s="21">
        <f>SUMPRODUCT((CZ3:CZ42=U6)*(DC3:DC42=U7)*DB3:DB42)+SUMPRODUCT((CZ3:CZ42=U6)*(DC3:DC42=U8)*DB3:DB42)+SUMPRODUCT((CZ3:CZ42=U6)*(DC3:DC42=U4)*DB3:DB42)+SUMPRODUCT((CZ3:CZ42=U6)*(DC3:DC42=U5)*DB3:DB42)+SUMPRODUCT((CZ3:CZ42=U7)*(DC3:DC42=U6)*DA3:DA42)+SUMPRODUCT((CZ3:CZ42=U8)*(DC3:DC42=U6)*DA3:DA42)+SUMPRODUCT((CZ3:CZ42=U4)*(DC3:DC42=U6)*DA3:DA42)+SUMPRODUCT((CZ3:CZ42=U5)*(DC3:DC42=U6)*DA3:DA42)</f>
        <v>0</v>
      </c>
      <c r="AA6" s="21">
        <f>Y6-Z6+1000</f>
        <v>1000</v>
      </c>
      <c r="AB6" s="21" t="str">
        <f t="shared" si="5"/>
        <v/>
      </c>
      <c r="AC6" s="21" t="str">
        <f>IF(U6&lt;&gt;"",VLOOKUP(U6,B4:H40,7,FALSE),"")</f>
        <v/>
      </c>
      <c r="AD6" s="21" t="str">
        <f>IF(U6&lt;&gt;"",VLOOKUP(U6,B4:H40,5,FALSE),"")</f>
        <v/>
      </c>
      <c r="AE6" s="21" t="str">
        <f>IF(U6&lt;&gt;"",VLOOKUP(U6,B4:J40,9,FALSE),"")</f>
        <v/>
      </c>
      <c r="AF6" s="21" t="str">
        <f t="shared" si="6"/>
        <v/>
      </c>
      <c r="AG6" s="21" t="str">
        <f>IF(U6&lt;&gt;"",RANK(AF6,AF4:AF8),"")</f>
        <v/>
      </c>
      <c r="AH6" s="21" t="str">
        <f>IF(U6&lt;&gt;"",SUMPRODUCT((AF4:AF8=AF6)*(AA4:AA8&gt;AA6)),"")</f>
        <v/>
      </c>
      <c r="AI6" s="21" t="str">
        <f>IF(U6&lt;&gt;"",SUMPRODUCT((AF4:AF8=AF6)*(AA4:AA8=AA6)*(Y4:Y8&gt;Y6)),"")</f>
        <v/>
      </c>
      <c r="AJ6" s="21" t="str">
        <f>IF(U6&lt;&gt;"",SUMPRODUCT((AF4:AF8=AF6)*(AA4:AA8=AA6)*(Y4:Y8=Y6)*(AC4:AC8&gt;AC6)),"")</f>
        <v/>
      </c>
      <c r="AK6" s="21" t="str">
        <f>IF(U6&lt;&gt;"",SUMPRODUCT((AF4:AF8=AF6)*(AA4:AA8=AA6)*(Y4:Y8=Y6)*(AC4:AC8=AC6)*(AD4:AD8&gt;AD6)),"")</f>
        <v/>
      </c>
      <c r="AL6" s="21" t="str">
        <f>IF(U6&lt;&gt;"",SUMPRODUCT((AF4:AF8=AF6)*(AA4:AA8=AA6)*(Y4:Y8=Y6)*(AC4:AC8=AC6)*(AD4:AD8=AD6)*(AE4:AE8&gt;AE6)),"")</f>
        <v/>
      </c>
      <c r="AM6" s="21" t="str">
        <f>IF(U6&lt;&gt;"",IF(AM46&lt;&gt;"",IF(T43=3,AM46,AM46+T43),SUM(AG6:AL6)),"")</f>
        <v/>
      </c>
      <c r="AN6" s="21" t="str">
        <f>IF(U6&lt;&gt;"",INDEX(U4:U8,MATCH(3,AM4:AM8,0),0),"")</f>
        <v/>
      </c>
      <c r="AO6" s="21" t="str">
        <f>IF(Q5&lt;&gt;"",Q5,"")</f>
        <v>Switzerland</v>
      </c>
      <c r="AP6" s="21">
        <f>SUMPRODUCT((CZ3:CZ42=AO6)*(DC3:DC42=AO7)*(DD3:DD42="W"))+SUMPRODUCT((CZ3:CZ42=AO6)*(DC3:DC42=AO8)*(DD3:DD42="W"))+SUMPRODUCT((CZ3:CZ42=AO6)*(DC3:DC42=AO5)*(DD3:DD42="W"))+SUMPRODUCT((CZ3:CZ42=AO7)*(DC3:DC42=AO6)*(DE3:DE42="W"))+SUMPRODUCT((CZ3:CZ42=AO8)*(DC3:DC42=AO6)*(DE3:DE42="W"))+SUMPRODUCT((CZ3:CZ42=AO5)*(DC3:DC42=AO6)*(DE3:DE42="W"))</f>
        <v>0</v>
      </c>
      <c r="AQ6" s="21">
        <f>SUMPRODUCT((CZ3:CZ42=AO6)*(DC3:DC42=AO7)*(DD3:DD42="D"))+SUMPRODUCT((CZ3:CZ42=AO6)*(DC3:DC42=AO8)*(DD3:DD42="D"))+SUMPRODUCT((CZ3:CZ42=AO6)*(DC3:DC42=AO5)*(DD3:DD42="D"))+SUMPRODUCT((CZ3:CZ42=AO7)*(DC3:DC42=AO6)*(DD3:DD42="D"))+SUMPRODUCT((CZ3:CZ42=AO8)*(DC3:DC42=AO6)*(DD3:DD42="D"))+SUMPRODUCT((CZ3:CZ42=AO5)*(DC3:DC42=AO6)*(DD3:DD42="D"))</f>
        <v>1</v>
      </c>
      <c r="AR6" s="21">
        <f>SUMPRODUCT((CZ3:CZ42=AO6)*(DC3:DC42=AO7)*(DD3:DD42="L"))+SUMPRODUCT((CZ3:CZ42=AO6)*(DC3:DC42=AO8)*(DD3:DD42="L"))+SUMPRODUCT((CZ3:CZ42=AO6)*(DC3:DC42=AO5)*(DD3:DD42="L"))+SUMPRODUCT((CZ3:CZ42=AO7)*(DC3:DC42=AO6)*(DE3:DE42="L"))+SUMPRODUCT((CZ3:CZ42=AO8)*(DC3:DC42=AO6)*(DE3:DE42="L"))+SUMPRODUCT((CZ3:CZ42=AO5)*(DC3:DC42=AO6)*(DE3:DE42="L"))</f>
        <v>0</v>
      </c>
      <c r="AS6" s="21">
        <f>SUMPRODUCT((CZ3:CZ42=AO6)*(DC3:DC42=AO7)*DA3:DA42)+SUMPRODUCT((CZ3:CZ42=AO6)*(DC3:DC42=AO8)*DA3:DA42)+SUMPRODUCT((CZ3:CZ42=AO6)*(DC3:DC42=AO4)*DA3:DA42)+SUMPRODUCT((CZ3:CZ42=AO6)*(DC3:DC42=AO5)*DA3:DA42)+SUMPRODUCT((CZ3:CZ42=AO7)*(DC3:DC42=AO6)*DB3:DB42)+SUMPRODUCT((CZ3:CZ42=AO8)*(DC3:DC42=AO6)*DB3:DB42)+SUMPRODUCT((CZ3:CZ42=AO4)*(DC3:DC42=AO6)*DB3:DB42)+SUMPRODUCT((CZ3:CZ42=AO5)*(DC3:DC42=AO6)*DB3:DB42)</f>
        <v>1</v>
      </c>
      <c r="AT6" s="21">
        <f>SUMPRODUCT((CZ3:CZ42=AO6)*(DC3:DC42=AO7)*DB3:DB42)+SUMPRODUCT((CZ3:CZ42=AO6)*(DC3:DC42=AO8)*DB3:DB42)+SUMPRODUCT((CZ3:CZ42=AO6)*(DC3:DC42=AO4)*DB3:DB42)+SUMPRODUCT((CZ3:CZ42=AO6)*(DC3:DC42=AO5)*DB3:DB42)+SUMPRODUCT((CZ3:CZ42=AO7)*(DC3:DC42=AO6)*DA3:DA42)+SUMPRODUCT((CZ3:CZ42=AO8)*(DC3:DC42=AO6)*DA3:DA42)+SUMPRODUCT((CZ3:CZ42=AO4)*(DC3:DC42=AO6)*DA3:DA42)+SUMPRODUCT((CZ3:CZ42=AO5)*(DC3:DC42=AO6)*DA3:DA42)</f>
        <v>1</v>
      </c>
      <c r="AU6" s="21">
        <f>AS6-AT6+1000</f>
        <v>1000</v>
      </c>
      <c r="AV6" s="21">
        <f t="shared" si="7"/>
        <v>1</v>
      </c>
      <c r="AW6" s="21">
        <f>IF(AO6&lt;&gt;"",VLOOKUP(AO6,B4:H40,7,FALSE),"")</f>
        <v>999</v>
      </c>
      <c r="AX6" s="21">
        <f>IF(AO6&lt;&gt;"",VLOOKUP(AO6,B4:H40,5,FALSE),"")</f>
        <v>4</v>
      </c>
      <c r="AY6" s="21">
        <f>IF(AO6&lt;&gt;"",VLOOKUP(AO6,B4:J40,9,FALSE),"")</f>
        <v>47</v>
      </c>
      <c r="AZ6" s="21">
        <f t="shared" si="8"/>
        <v>1</v>
      </c>
      <c r="BA6" s="21">
        <f>IF(AO6&lt;&gt;"",RANK(AZ6,AZ4:AZ8),"")</f>
        <v>1</v>
      </c>
      <c r="BB6" s="21">
        <f>IF(AO6&lt;&gt;"",SUMPRODUCT((AZ4:AZ8=AZ6)*(AU4:AU8&gt;AU6)),"")</f>
        <v>0</v>
      </c>
      <c r="BC6" s="21">
        <f>IF(AO6&lt;&gt;"",SUMPRODUCT((AZ4:AZ8=AZ6)*(AU4:AU8=AU6)*(AS4:AS8&gt;AS6)),"")</f>
        <v>0</v>
      </c>
      <c r="BD6" s="21">
        <f>IF(AO6&lt;&gt;"",SUMPRODUCT((AZ4:AZ8=AZ6)*(AU4:AU8=AU6)*(AS4:AS8=AS6)*(AW4:AW8&gt;AW6)),"")</f>
        <v>1</v>
      </c>
      <c r="BE6" s="21">
        <f>IF(AO6&lt;&gt;"",SUMPRODUCT((AZ4:AZ8=AZ6)*(AU4:AU8=AU6)*(AS4:AS8=AS6)*(AW4:AW8=AW6)*(AX4:AX8&gt;AX6)),"")</f>
        <v>0</v>
      </c>
      <c r="BF6" s="21">
        <f>IF(AO6&lt;&gt;"",SUMPRODUCT((AZ4:AZ8=AZ6)*(AU4:AU8=AU6)*(AS4:AS8=AS6)*(AW4:AW8=AW6)*(AX4:AX8=AX6)*(AY4:AY8&gt;AY6)),"")</f>
        <v>0</v>
      </c>
      <c r="BG6" s="21">
        <f>IF(AO6&lt;&gt;"",IF(BG46&lt;&gt;"",IF(AN43=3,BG46,BG46+AN43),SUM(BA6:BF6)+1),"")</f>
        <v>3</v>
      </c>
      <c r="BH6" s="21" t="str">
        <f>IF(AO6&lt;&gt;"",INDEX(AO5:AO8,MATCH(3,BG5:BG8,0),0),"")</f>
        <v>Switzerland</v>
      </c>
      <c r="BI6" s="21" t="str">
        <f>IF(R4&lt;&gt;"",R4,"")</f>
        <v/>
      </c>
      <c r="BJ6" s="21">
        <f>SUMPRODUCT((CZ3:CZ42=BI6)*(DC3:DC42=BI7)*(DD3:DD42="W"))+SUMPRODUCT((CZ3:CZ42=BI6)*(DC3:DC42=BI8)*(DD3:DD42="W"))+SUMPRODUCT((CZ3:CZ42=BI6)*(DC3:DC42=BI9)*(DD3:DD42="W"))+SUMPRODUCT((CZ3:CZ42=BI7)*(DC3:DC42=BI6)*(DE3:DE42="W"))+SUMPRODUCT((CZ3:CZ42=BI8)*(DC3:DC42=BI6)*(DE3:DE42="W"))+SUMPRODUCT((CZ3:CZ42=BI9)*(DC3:DC42=BI6)*(DE3:DE42="W"))</f>
        <v>0</v>
      </c>
      <c r="BK6" s="21">
        <f>SUMPRODUCT((CZ3:CZ42=BI6)*(DC3:DC42=BI7)*(DD3:DD42="D"))+SUMPRODUCT((CZ3:CZ42=BI6)*(DC3:DC42=BI8)*(DD3:DD42="D"))+SUMPRODUCT((CZ3:CZ42=BI6)*(DC3:DC42=BI9)*(DD3:DD42="D"))+SUMPRODUCT((CZ3:CZ42=BI7)*(DC3:DC42=BI6)*(DD3:DD42="D"))+SUMPRODUCT((CZ3:CZ42=BI8)*(DC3:DC42=BI6)*(DD3:DD42="D"))+SUMPRODUCT((CZ3:CZ42=BI9)*(DC3:DC42=BI6)*(DD3:DD42="D"))</f>
        <v>0</v>
      </c>
      <c r="BL6" s="21">
        <f>SUMPRODUCT((CZ3:CZ42=BI6)*(DC3:DC42=BI7)*(DD3:DD42="L"))+SUMPRODUCT((CZ3:CZ42=BI6)*(DC3:DC42=BI8)*(DD3:DD42="L"))+SUMPRODUCT((CZ3:CZ42=BI6)*(DC3:DC42=BI9)*(DD3:DD42="L"))+SUMPRODUCT((CZ3:CZ42=BI7)*(DC3:DC42=BI6)*(DE3:DE42="L"))+SUMPRODUCT((CZ3:CZ42=BI8)*(DC3:DC42=BI6)*(DE3:DE42="L"))+SUMPRODUCT((CZ3:CZ42=BI9)*(DC3:DC42=BI6)*(DE3:DE42="L"))</f>
        <v>0</v>
      </c>
      <c r="BM6" s="21">
        <f>SUMPRODUCT((CZ3:CZ42=BI6)*(DC3:DC42=BI7)*DA3:DA42)+SUMPRODUCT((CZ3:CZ42=BI6)*(DC3:DC42=BI8)*DA3:DA42)+SUMPRODUCT((CZ3:CZ42=BI6)*(DC3:DC42=BI4)*DA3:DA42)+SUMPRODUCT((CZ3:CZ42=BI6)*(DC3:DC42=BI5)*DA3:DA42)+SUMPRODUCT((CZ3:CZ42=BI7)*(DC3:DC42=BI6)*DB3:DB42)+SUMPRODUCT((CZ3:CZ42=BI8)*(DC3:DC42=BI6)*DB3:DB42)+SUMPRODUCT((CZ3:CZ42=BI4)*(DC3:DC42=BI6)*DB3:DB42)+SUMPRODUCT((CZ3:CZ42=BI5)*(DC3:DC42=BI6)*DB3:DB42)</f>
        <v>0</v>
      </c>
      <c r="BN6" s="21">
        <f>SUMPRODUCT((CZ3:CZ42=BI6)*(DC3:DC42=BI7)*DB3:DB42)+SUMPRODUCT((CZ3:CZ42=BI6)*(DC3:DC42=BI8)*DB3:DB42)+SUMPRODUCT((CZ3:CZ42=BI6)*(DC3:DC42=BI4)*DB3:DB42)+SUMPRODUCT((CZ3:CZ42=BI6)*(DC3:DC42=BI5)*DB3:DB42)+SUMPRODUCT((CZ3:CZ42=BI7)*(DC3:DC42=BI6)*DA3:DA42)+SUMPRODUCT((CZ3:CZ42=BI8)*(DC3:DC42=BI6)*DA3:DA42)+SUMPRODUCT((CZ3:CZ42=BI4)*(DC3:DC42=BI6)*DA3:DA42)+SUMPRODUCT((CZ3:CZ42=BI5)*(DC3:DC42=BI6)*DA3:DA42)</f>
        <v>0</v>
      </c>
      <c r="BO6" s="21">
        <f>BM6-BN6+1000</f>
        <v>1000</v>
      </c>
      <c r="BP6" s="21" t="str">
        <f t="shared" ref="BP6:BP7" si="9">IF(BI6&lt;&gt;"",BJ6*3+BK6*1,"")</f>
        <v/>
      </c>
      <c r="BQ6" s="21" t="str">
        <f>IF(BI6&lt;&gt;"",VLOOKUP(BI6,B4:H40,7,FALSE),"")</f>
        <v/>
      </c>
      <c r="BR6" s="21" t="str">
        <f>IF(BI6&lt;&gt;"",VLOOKUP(BI6,B4:H40,5,FALSE),"")</f>
        <v/>
      </c>
      <c r="BS6" s="21" t="str">
        <f>IF(BI6&lt;&gt;"",VLOOKUP(BI6,B4:J40,9,FALSE),"")</f>
        <v/>
      </c>
      <c r="BT6" s="21" t="str">
        <f t="shared" ref="BT6:BT7" si="10">BP6</f>
        <v/>
      </c>
      <c r="BU6" s="21" t="str">
        <f>IF(BI6&lt;&gt;"",RANK(BT6,BT4:BT8),"")</f>
        <v/>
      </c>
      <c r="BV6" s="21" t="str">
        <f>IF(BI6&lt;&gt;"",SUMPRODUCT((BT4:BT8=BT6)*(BO4:BO8&gt;BO6)),"")</f>
        <v/>
      </c>
      <c r="BW6" s="21" t="str">
        <f>IF(BI6&lt;&gt;"",SUMPRODUCT((BT4:BT8=BT6)*(BO4:BO8=BO6)*(BM4:BM8&gt;BM6)),"")</f>
        <v/>
      </c>
      <c r="BX6" s="21" t="str">
        <f>IF(BI6&lt;&gt;"",SUMPRODUCT((BT4:BT8=BT6)*(BO4:BO8=BO6)*(BM4:BM8=BM6)*(BQ4:BQ8&gt;BQ6)),"")</f>
        <v/>
      </c>
      <c r="BY6" s="21" t="str">
        <f>IF(BI6&lt;&gt;"",SUMPRODUCT((BT4:BT8=BT6)*(BO4:BO8=BO6)*(BM4:BM8=BM6)*(BQ4:BQ8=BQ6)*(BR4:BR8&gt;BR6)),"")</f>
        <v/>
      </c>
      <c r="BZ6" s="21" t="str">
        <f>IF(BI6&lt;&gt;"",SUMPRODUCT((BT4:BT8=BT6)*(BO4:BO8=BO6)*(BM4:BM8=BM6)*(BQ4:BQ8=BQ6)*(BR4:BR8=BR6)*(BS4:BS8&gt;BS6)),"")</f>
        <v/>
      </c>
      <c r="CA6" s="21" t="str">
        <f>IF(BI6&lt;&gt;"",SUM(BU6:BZ6)+2,"")</f>
        <v/>
      </c>
      <c r="CB6" s="21" t="str">
        <f>IF(BI6&lt;&gt;"",INDEX(BI6:BI8,MATCH(3,CA6:CA8,0),0),"")</f>
        <v/>
      </c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 t="str">
        <f>IF(CB6&lt;&gt;"",CB6,IF(BH6&lt;&gt;"",BH6,IF(AN6&lt;&gt;"",AN6,N6)))</f>
        <v>Switzerland</v>
      </c>
      <c r="CX6" s="21">
        <v>3</v>
      </c>
      <c r="CY6" s="21">
        <v>4</v>
      </c>
      <c r="CZ6" s="21" t="str">
        <f>Matches!E14</f>
        <v>Belgium</v>
      </c>
      <c r="DA6" s="21">
        <f>IF(AND(Matches!F14&lt;&gt;"",Matches!G14&lt;&gt;""),Matches!F14,0)</f>
        <v>3</v>
      </c>
      <c r="DB6" s="21">
        <f>IF(AND(Matches!G14&lt;&gt;"",Matches!F14&lt;&gt;""),Matches!G14,0)</f>
        <v>0</v>
      </c>
      <c r="DC6" s="21" t="str">
        <f>Matches!H14</f>
        <v>Russia</v>
      </c>
      <c r="DD6" s="21" t="str">
        <f>IF(AND(Matches!F14&lt;&gt;"",Matches!G14&lt;&gt;""),IF(DA6&gt;DB6,"W",IF(DA6=DB6,"D","L")),"")</f>
        <v>W</v>
      </c>
      <c r="DE6" s="21" t="str">
        <f t="shared" si="0"/>
        <v>L</v>
      </c>
      <c r="DF6" s="21"/>
      <c r="DG6" s="21"/>
      <c r="DH6" s="21" t="str">
        <f>Matches!P28</f>
        <v>Czech Republic</v>
      </c>
      <c r="DI6" s="212">
        <f>Matches!U28</f>
        <v>1</v>
      </c>
      <c r="DJ6" s="212">
        <f>Matches!V28</f>
        <v>1</v>
      </c>
      <c r="DK6" s="212">
        <f>Matches!W28</f>
        <v>1</v>
      </c>
      <c r="DL6" s="212">
        <f>Matches!X28</f>
        <v>3</v>
      </c>
      <c r="DM6" s="212">
        <f>Matches!Z28</f>
        <v>2</v>
      </c>
      <c r="DN6" s="212">
        <f>Matches!AA28</f>
        <v>1</v>
      </c>
      <c r="DO6" s="212">
        <f>Matches!AB28</f>
        <v>4</v>
      </c>
      <c r="DP6" s="21">
        <f>VLOOKUP(DH6,B4:J40,9,FALSE)</f>
        <v>38</v>
      </c>
      <c r="DQ6" s="21">
        <f>RANK(DO6,DO3:DO8)</f>
        <v>1</v>
      </c>
      <c r="DR6" s="21">
        <f>SUMPRODUCT((DQ3:DQ8=DQ6)*(DN3:DN8&gt;DN6))</f>
        <v>0</v>
      </c>
      <c r="DS6" s="21">
        <f>SUMPRODUCT((DQ3:DQ8=DQ6)*(DN3:DN8=DN6)*(DL3:DL8&gt;DL6))</f>
        <v>1</v>
      </c>
      <c r="DT6" s="21">
        <f>SUMPRODUCT((DQ3:DQ8=DQ6)*(DN3:DN8=DN6)*(DL3:DL8=DL6)*(DP3:DP8&gt;DP6))</f>
        <v>0</v>
      </c>
      <c r="DU6" s="21">
        <f t="shared" si="1"/>
        <v>2</v>
      </c>
      <c r="DV6" s="21" t="s">
        <v>39</v>
      </c>
      <c r="DW6" s="21">
        <v>4</v>
      </c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4"/>
      <c r="HZ6" s="214"/>
      <c r="IA6" s="21"/>
      <c r="IB6" s="21"/>
      <c r="IC6" s="21"/>
      <c r="ID6" s="21"/>
      <c r="IE6" s="21"/>
      <c r="IF6" s="21"/>
      <c r="IG6" s="212"/>
      <c r="IH6" s="212"/>
      <c r="II6" s="212"/>
      <c r="IJ6" s="212"/>
      <c r="IK6" s="212"/>
      <c r="IL6" s="212"/>
      <c r="IM6" s="212"/>
      <c r="IN6" s="21"/>
      <c r="IO6" s="21"/>
      <c r="IP6" s="21"/>
      <c r="IQ6" s="21"/>
      <c r="IR6" s="21"/>
      <c r="IS6" s="21"/>
      <c r="IT6" s="21"/>
      <c r="IU6" s="21"/>
      <c r="IV6" s="21"/>
    </row>
    <row r="7" spans="1:256" ht="14" x14ac:dyDescent="0.2">
      <c r="A7" s="21">
        <f>VLOOKUP(B7,CW4:CX8,2,FALSE)</f>
        <v>3</v>
      </c>
      <c r="B7" s="21" t="str">
        <f>Matches!AH13</f>
        <v>Switzerland</v>
      </c>
      <c r="C7" s="21">
        <f>SUMPRODUCT((CZ3:CZ42=B7)*(DD3:DD42="W"))+SUMPRODUCT((DC3:DC42=B7)*(DE3:DE42="W"))</f>
        <v>1</v>
      </c>
      <c r="D7" s="21">
        <f>SUMPRODUCT((CZ3:CZ42=B7)*(DD3:DD42="D"))+SUMPRODUCT((DC3:DC42=B7)*(DE3:DE42="D"))</f>
        <v>1</v>
      </c>
      <c r="E7" s="21">
        <f>SUMPRODUCT((CZ3:CZ42=B7)*(DD3:DD42="L"))+SUMPRODUCT((DC3:DC42=B7)*(DE3:DE42="L"))</f>
        <v>1</v>
      </c>
      <c r="F7" s="21">
        <f>SUMIF(CZ3:CZ60,B7,DA3:DA60)+SUMIF(DC3:DC60,B7,DB3:DB60)</f>
        <v>4</v>
      </c>
      <c r="G7" s="21">
        <f>SUMIF(DC3:DC60,B7,DA3:DA60)+SUMIF(CZ3:CZ60,B7,DB3:DB60)</f>
        <v>5</v>
      </c>
      <c r="H7" s="21">
        <f t="shared" si="2"/>
        <v>999</v>
      </c>
      <c r="I7" s="21">
        <f t="shared" si="3"/>
        <v>4</v>
      </c>
      <c r="J7" s="21">
        <v>47</v>
      </c>
      <c r="K7" s="21">
        <f>IF(COUNTIF(I4:I8,4)&lt;&gt;4,RANK(I7,I4:I8),I47)</f>
        <v>2</v>
      </c>
      <c r="L7" s="21"/>
      <c r="M7" s="21">
        <f>SUMPRODUCT((K4:K7=K7)*(J4:J7&lt;J7))+K7</f>
        <v>3</v>
      </c>
      <c r="N7" s="21" t="str">
        <f>INDEX(B4:B8,MATCH(4,M4:M8,0),0)</f>
        <v>Turkey</v>
      </c>
      <c r="O7" s="21">
        <f>INDEX(K4:K8,MATCH(N7,B4:B8,0),0)</f>
        <v>4</v>
      </c>
      <c r="P7" s="21" t="str">
        <f>IF(AND(P6&lt;&gt;"",O7=1),N7,"")</f>
        <v/>
      </c>
      <c r="Q7" s="21" t="str">
        <f>IF(AND(Q6&lt;&gt;"",O8=2),N8,"")</f>
        <v/>
      </c>
      <c r="R7" s="21"/>
      <c r="S7" s="21"/>
      <c r="T7" s="21"/>
      <c r="U7" s="21" t="str">
        <f t="shared" si="4"/>
        <v/>
      </c>
      <c r="V7" s="21">
        <f>SUMPRODUCT((CZ3:CZ42=U7)*(DC3:DC42=U8)*(DD3:DD42="W"))+SUMPRODUCT((CZ3:CZ42=U7)*(DC3:DC42=U4)*(DD3:DD42="W"))+SUMPRODUCT((CZ3:CZ42=U7)*(DC3:DC42=U5)*(DD3:DD42="W"))+SUMPRODUCT((CZ3:CZ42=U7)*(DC3:DC42=U6)*(DD3:DD42="W"))+SUMPRODUCT((CZ3:CZ42=U8)*(DC3:DC42=U7)*(DE3:DE42="W"))+SUMPRODUCT((CZ3:CZ42=U4)*(DC3:DC42=U7)*(DE3:DE42="W"))+SUMPRODUCT((CZ3:CZ42=U5)*(DC3:DC42=U7)*(DE3:DE42="W"))+SUMPRODUCT((CZ3:CZ42=U6)*(DC3:DC42=U7)*(DE3:DE42="W"))</f>
        <v>0</v>
      </c>
      <c r="W7" s="21">
        <f>SUMPRODUCT((CZ3:CZ42=U7)*(DC3:DC42=U8)*(DD3:DD42="D"))+SUMPRODUCT((CZ3:CZ42=U7)*(DC3:DC42=U4)*(DD3:DD42="D"))+SUMPRODUCT((CZ3:CZ42=U7)*(DC3:DC42=U5)*(DD3:DD42="D"))+SUMPRODUCT((CZ3:CZ42=U7)*(DC3:DC42=U6)*(DD3:DD42="D"))+SUMPRODUCT((CZ3:CZ42=U8)*(DC3:DC42=U7)*(DD3:DD42="D"))+SUMPRODUCT((CZ3:CZ42=U4)*(DC3:DC42=U7)*(DD3:DD42="D"))+SUMPRODUCT((CZ3:CZ42=U5)*(DC3:DC42=U7)*(DD3:DD42="D"))+SUMPRODUCT((CZ3:CZ42=U6)*(DC3:DC42=U7)*(DD3:DD42="D"))</f>
        <v>0</v>
      </c>
      <c r="X7" s="21">
        <f>SUMPRODUCT((CZ3:CZ42=U7)*(DC3:DC42=U8)*(DD3:DD42="L"))+SUMPRODUCT((CZ3:CZ42=U7)*(DC3:DC42=U4)*(DD3:DD42="L"))+SUMPRODUCT((CZ3:CZ42=U7)*(DC3:DC42=U5)*(DD3:DD42="L"))+SUMPRODUCT((CZ3:CZ42=U7)*(DC3:DC42=U6)*(DD3:DD42="L"))+SUMPRODUCT((CZ3:CZ42=U8)*(DC3:DC42=U7)*(DE3:DE42="L"))+SUMPRODUCT((CZ3:CZ42=U4)*(DC3:DC42=U7)*(DE3:DE42="L"))+SUMPRODUCT((CZ3:CZ42=U5)*(DC3:DC42=U7)*(DE3:DE42="L"))+SUMPRODUCT((CZ3:CZ42=U6)*(DC3:DC42=U7)*(DE3:DE42="L"))</f>
        <v>0</v>
      </c>
      <c r="Y7" s="21">
        <f>SUMPRODUCT((CZ3:CZ42=U7)*(DC3:DC42=U8)*DA3:DA42)+SUMPRODUCT((CZ3:CZ42=U7)*(DC3:DC42=U4)*DA3:DA42)+SUMPRODUCT((CZ3:CZ42=U7)*(DC3:DC42=U5)*DA3:DA42)+SUMPRODUCT((CZ3:CZ42=U7)*(DC3:DC42=U6)*DA3:DA42)+SUMPRODUCT((CZ3:CZ42=U8)*(DC3:DC42=U7)*DB3:DB42)+SUMPRODUCT((CZ3:CZ42=U4)*(DC3:DC42=U7)*DB3:DB42)+SUMPRODUCT((CZ3:CZ42=U5)*(DC3:DC42=U7)*DB3:DB42)+SUMPRODUCT((CZ3:CZ42=U6)*(DC3:DC42=U7)*DB3:DB42)</f>
        <v>0</v>
      </c>
      <c r="Z7" s="21">
        <f>SUMPRODUCT((CZ3:CZ42=U7)*(DC3:DC42=U8)*DB3:DB42)+SUMPRODUCT((CZ3:CZ42=U7)*(DC3:DC42=U4)*DB3:DB42)+SUMPRODUCT((CZ3:CZ42=U7)*(DC3:DC42=U5)*DB3:DB42)+SUMPRODUCT((CZ3:CZ42=U7)*(DC3:DC42=U6)*DB3:DB42)+SUMPRODUCT((CZ3:CZ42=U8)*(DC3:DC42=U7)*DA3:DA42)+SUMPRODUCT((CZ3:CZ42=U4)*(DC3:DC42=U7)*DA3:DA42)+SUMPRODUCT((CZ3:CZ42=U5)*(DC3:DC42=U7)*DA3:DA42)+SUMPRODUCT((CZ3:CZ42=U6)*(DC3:DC42=U7)*DA3:DA42)</f>
        <v>0</v>
      </c>
      <c r="AA7" s="21">
        <f>Y7-Z7+1000</f>
        <v>1000</v>
      </c>
      <c r="AB7" s="21" t="str">
        <f t="shared" si="5"/>
        <v/>
      </c>
      <c r="AC7" s="21" t="str">
        <f>IF(U7&lt;&gt;"",VLOOKUP(U7,B4:H40,7,FALSE),"")</f>
        <v/>
      </c>
      <c r="AD7" s="21" t="str">
        <f>IF(U7&lt;&gt;"",VLOOKUP(U7,B4:H40,5,FALSE),"")</f>
        <v/>
      </c>
      <c r="AE7" s="21" t="str">
        <f>IF(U7&lt;&gt;"",VLOOKUP(U7,B4:J40,9,FALSE),"")</f>
        <v/>
      </c>
      <c r="AF7" s="21" t="str">
        <f t="shared" si="6"/>
        <v/>
      </c>
      <c r="AG7" s="21" t="str">
        <f>IF(U7&lt;&gt;"",RANK(AF7,AF4:AF8),"")</f>
        <v/>
      </c>
      <c r="AH7" s="21" t="str">
        <f>IF(U7&lt;&gt;"",SUMPRODUCT((AF4:AF8=AF7)*(AA4:AA8&gt;AA7)),"")</f>
        <v/>
      </c>
      <c r="AI7" s="21" t="str">
        <f>IF(U7&lt;&gt;"",SUMPRODUCT((AF4:AF8=AF7)*(AA4:AA8=AA7)*(Y4:Y8&gt;Y7)),"")</f>
        <v/>
      </c>
      <c r="AJ7" s="21" t="str">
        <f>IF(U7&lt;&gt;"",SUMPRODUCT((AF4:AF8=AF7)*(AA4:AA8=AA7)*(Y4:Y8=Y7)*(AC4:AC8&gt;AC7)),"")</f>
        <v/>
      </c>
      <c r="AK7" s="21" t="str">
        <f>IF(U7&lt;&gt;"",SUMPRODUCT((AF4:AF8=AF7)*(AA4:AA8=AA7)*(Y4:Y8=Y7)*(AC4:AC8=AC7)*(AD4:AD8&gt;AD7)),"")</f>
        <v/>
      </c>
      <c r="AL7" s="21" t="str">
        <f>IF(U7&lt;&gt;"",SUMPRODUCT((AF4:AF8=AF7)*(AA4:AA8=AA7)*(Y4:Y8=Y7)*(AC4:AC8=AC7)*(AD4:AD8=AD7)*(AE4:AE8&gt;AE7)),"")</f>
        <v/>
      </c>
      <c r="AM7" s="21" t="str">
        <f>IF(U7&lt;&gt;"",IF(AM47&lt;&gt;"",IF(T43=3,AM47,AM47+T43),SUM(AG7:AL7)),"")</f>
        <v/>
      </c>
      <c r="AN7" s="21" t="str">
        <f>IF(U7&lt;&gt;"",INDEX(U4:U8,MATCH(4,AM4:AM8,0),0),"")</f>
        <v/>
      </c>
      <c r="AO7" s="21" t="str">
        <f>IF(Q6&lt;&gt;"",Q6,"")</f>
        <v/>
      </c>
      <c r="AP7" s="21">
        <f>SUMPRODUCT((CZ3:CZ42=AO7)*(DC3:DC42=AO8)*(DD3:DD42="W"))+SUMPRODUCT((CZ3:CZ42=AO7)*(DC3:DC42=AO5)*(DD3:DD42="W"))+SUMPRODUCT((CZ3:CZ42=AO7)*(DC3:DC42=AO6)*(DD3:DD42="W"))+SUMPRODUCT((CZ3:CZ42=AO8)*(DC3:DC42=AO7)*(DE3:DE42="W"))+SUMPRODUCT((CZ3:CZ42=AO5)*(DC3:DC42=AO7)*(DE3:DE42="W"))+SUMPRODUCT((CZ3:CZ42=AO6)*(DC3:DC42=AO7)*(DE3:DE42="W"))</f>
        <v>0</v>
      </c>
      <c r="AQ7" s="21">
        <f>SUMPRODUCT((CZ3:CZ42=AO7)*(DC3:DC42=AO8)*(DD3:DD42="D"))+SUMPRODUCT((CZ3:CZ42=AO7)*(DC3:DC42=AO5)*(DD3:DD42="D"))+SUMPRODUCT((CZ3:CZ42=AO7)*(DC3:DC42=AO6)*(DD3:DD42="D"))+SUMPRODUCT((CZ3:CZ42=AO8)*(DC3:DC42=AO7)*(DD3:DD42="D"))+SUMPRODUCT((CZ3:CZ42=AO5)*(DC3:DC42=AO7)*(DD3:DD42="D"))+SUMPRODUCT((CZ3:CZ42=AO6)*(DC3:DC42=AO7)*(DD3:DD42="D"))</f>
        <v>0</v>
      </c>
      <c r="AR7" s="21">
        <f>SUMPRODUCT((CZ3:CZ42=AO7)*(DC3:DC42=AO8)*(DD3:DD42="L"))+SUMPRODUCT((CZ3:CZ42=AO7)*(DC3:DC42=AO5)*(DD3:DD42="L"))+SUMPRODUCT((CZ3:CZ42=AO7)*(DC3:DC42=AO6)*(DD3:DD42="L"))+SUMPRODUCT((CZ3:CZ42=AO8)*(DC3:DC42=AO7)*(DE3:DE42="L"))+SUMPRODUCT((CZ3:CZ42=AO5)*(DC3:DC42=AO7)*(DE3:DE42="L"))+SUMPRODUCT((CZ3:CZ42=AO6)*(DC3:DC42=AO7)*(DE3:DE42="L"))</f>
        <v>0</v>
      </c>
      <c r="AS7" s="21">
        <f>SUMPRODUCT((CZ3:CZ42=AO7)*(DC3:DC42=AO8)*DA3:DA42)+SUMPRODUCT((CZ3:CZ42=AO7)*(DC3:DC42=AO4)*DA3:DA42)+SUMPRODUCT((CZ3:CZ42=AO7)*(DC3:DC42=AO5)*DA3:DA42)+SUMPRODUCT((CZ3:CZ42=AO7)*(DC3:DC42=AO6)*DA3:DA42)+SUMPRODUCT((CZ3:CZ42=AO8)*(DC3:DC42=AO7)*DB3:DB42)+SUMPRODUCT((CZ3:CZ42=AO4)*(DC3:DC42=AO7)*DB3:DB42)+SUMPRODUCT((CZ3:CZ42=AO5)*(DC3:DC42=AO7)*DB3:DB42)+SUMPRODUCT((CZ3:CZ42=AO6)*(DC3:DC42=AO7)*DB3:DB42)</f>
        <v>0</v>
      </c>
      <c r="AT7" s="21">
        <f>SUMPRODUCT((CZ3:CZ42=AO7)*(DC3:DC42=AO8)*DB3:DB42)+SUMPRODUCT((CZ3:CZ42=AO7)*(DC3:DC42=AO4)*DB3:DB42)+SUMPRODUCT((CZ3:CZ42=AO7)*(DC3:DC42=AO5)*DB3:DB42)+SUMPRODUCT((CZ3:CZ42=AO7)*(DC3:DC42=AO6)*DB3:DB42)+SUMPRODUCT((CZ3:CZ42=AO8)*(DC3:DC42=AO7)*DA3:DA42)+SUMPRODUCT((CZ3:CZ42=AO4)*(DC3:DC42=AO7)*DA3:DA42)+SUMPRODUCT((CZ3:CZ42=AO5)*(DC3:DC42=AO7)*DA3:DA42)+SUMPRODUCT((CZ3:CZ42=AO6)*(DC3:DC42=AO7)*DA3:DA42)</f>
        <v>0</v>
      </c>
      <c r="AU7" s="21">
        <f>AS7-AT7+1000</f>
        <v>1000</v>
      </c>
      <c r="AV7" s="21" t="str">
        <f t="shared" si="7"/>
        <v/>
      </c>
      <c r="AW7" s="21" t="str">
        <f>IF(AO7&lt;&gt;"",VLOOKUP(AO7,B4:H40,7,FALSE),"")</f>
        <v/>
      </c>
      <c r="AX7" s="21" t="str">
        <f>IF(AO7&lt;&gt;"",VLOOKUP(AO7,B4:H40,5,FALSE),"")</f>
        <v/>
      </c>
      <c r="AY7" s="21" t="str">
        <f>IF(AO7&lt;&gt;"",VLOOKUP(AO7,B4:J40,9,FALSE),"")</f>
        <v/>
      </c>
      <c r="AZ7" s="21" t="str">
        <f t="shared" si="8"/>
        <v/>
      </c>
      <c r="BA7" s="21" t="str">
        <f>IF(AO7&lt;&gt;"",RANK(AZ7,AZ4:AZ8),"")</f>
        <v/>
      </c>
      <c r="BB7" s="21" t="str">
        <f>IF(AO7&lt;&gt;"",SUMPRODUCT((AZ4:AZ8=AZ7)*(AU4:AU8&gt;AU7)),"")</f>
        <v/>
      </c>
      <c r="BC7" s="21" t="str">
        <f>IF(AO7&lt;&gt;"",SUMPRODUCT((AZ4:AZ8=AZ7)*(AU4:AU8=AU7)*(AS4:AS8&gt;AS7)),"")</f>
        <v/>
      </c>
      <c r="BD7" s="21" t="str">
        <f>IF(AO7&lt;&gt;"",SUMPRODUCT((AZ4:AZ8=AZ7)*(AU4:AU8=AU7)*(AS4:AS8=AS7)*(AW4:AW8&gt;AW7)),"")</f>
        <v/>
      </c>
      <c r="BE7" s="21" t="str">
        <f>IF(AO7&lt;&gt;"",SUMPRODUCT((AZ4:AZ8=AZ7)*(AU4:AU8=AU7)*(AS4:AS8=AS7)*(AW4:AW8=AW7)*(AX4:AX8&gt;AX7)),"")</f>
        <v/>
      </c>
      <c r="BF7" s="21" t="str">
        <f>IF(AO7&lt;&gt;"",SUMPRODUCT((AZ4:AZ8=AZ7)*(AU4:AU8=AU7)*(AS4:AS8=AS7)*(AW4:AW8=AW7)*(AX4:AX8=AX7)*(AY4:AY8&gt;AY7)),"")</f>
        <v/>
      </c>
      <c r="BG7" s="21" t="str">
        <f>IF(AO7&lt;&gt;"",IF(BG47&lt;&gt;"",IF(AN43=3,BG47,BG47+AN43),SUM(BA7:BF7)+1),"")</f>
        <v/>
      </c>
      <c r="BH7" s="21" t="str">
        <f>IF(AO7&lt;&gt;"",INDEX(AO5:AO8,MATCH(4,BG5:BG8,0),0),"")</f>
        <v/>
      </c>
      <c r="BI7" s="21" t="str">
        <f>IF(R5&lt;&gt;"",R5,"")</f>
        <v/>
      </c>
      <c r="BJ7" s="21">
        <f>SUMPRODUCT((CZ3:CZ42=BI7)*(DC3:DC42=BI8)*(DD3:DD42="W"))+SUMPRODUCT((CZ3:CZ42=BI7)*(DC3:DC42=BI9)*(DD3:DD42="W"))+SUMPRODUCT((CZ3:CZ42=BI7)*(DC3:DC42=BI6)*(DD3:DD42="W"))+SUMPRODUCT((CZ3:CZ42=BI8)*(DC3:DC42=BI7)*(DE3:DE42="W"))+SUMPRODUCT((CZ3:CZ42=BI9)*(DC3:DC42=BI7)*(DE3:DE42="W"))+SUMPRODUCT((CZ3:CZ42=BI6)*(DC3:DC42=BI7)*(DE3:DE42="W"))</f>
        <v>0</v>
      </c>
      <c r="BK7" s="21">
        <f>SUMPRODUCT((CZ3:CZ42=BI7)*(DC3:DC42=BI8)*(DD3:DD42="D"))+SUMPRODUCT((CZ3:CZ42=BI7)*(DC3:DC42=BI9)*(DD3:DD42="D"))+SUMPRODUCT((CZ3:CZ42=BI7)*(DC3:DC42=BI6)*(DD3:DD42="D"))+SUMPRODUCT((CZ3:CZ42=BI8)*(DC3:DC42=BI7)*(DD3:DD42="D"))+SUMPRODUCT((CZ3:CZ42=BI9)*(DC3:DC42=BI7)*(DD3:DD42="D"))+SUMPRODUCT((CZ3:CZ42=BI6)*(DC3:DC42=BI7)*(DD3:DD42="D"))</f>
        <v>0</v>
      </c>
      <c r="BL7" s="21">
        <f>SUMPRODUCT((CZ3:CZ42=BI7)*(DC3:DC42=BI8)*(DD3:DD42="L"))+SUMPRODUCT((CZ3:CZ42=BI7)*(DC3:DC42=BI9)*(DD3:DD42="L"))+SUMPRODUCT((CZ3:CZ42=BI7)*(DC3:DC42=BI6)*(DD3:DD42="L"))+SUMPRODUCT((CZ3:CZ42=BI8)*(DC3:DC42=BI7)*(DE3:DE42="L"))+SUMPRODUCT((CZ3:CZ42=BI9)*(DC3:DC42=BI7)*(DE3:DE42="L"))+SUMPRODUCT((CZ3:CZ42=BI6)*(DC3:DC42=BI7)*(DE3:DE42="L"))</f>
        <v>0</v>
      </c>
      <c r="BM7" s="21">
        <f>SUMPRODUCT((CZ3:CZ42=BI7)*(DC3:DC42=BI8)*DA3:DA42)+SUMPRODUCT((CZ3:CZ42=BI7)*(DC3:DC42=BI4)*DA3:DA42)+SUMPRODUCT((CZ3:CZ42=BI7)*(DC3:DC42=BI5)*DA3:DA42)+SUMPRODUCT((CZ3:CZ42=BI7)*(DC3:DC42=BI6)*DA3:DA42)+SUMPRODUCT((CZ3:CZ42=BI8)*(DC3:DC42=BI7)*DB3:DB42)+SUMPRODUCT((CZ3:CZ42=BI4)*(DC3:DC42=BI7)*DB3:DB42)+SUMPRODUCT((CZ3:CZ42=BI5)*(DC3:DC42=BI7)*DB3:DB42)+SUMPRODUCT((CZ3:CZ42=BI6)*(DC3:DC42=BI7)*DB3:DB42)</f>
        <v>0</v>
      </c>
      <c r="BN7" s="21">
        <f>SUMPRODUCT((CZ3:CZ42=BI7)*(DC3:DC42=BI8)*DB3:DB42)+SUMPRODUCT((CZ3:CZ42=BI7)*(DC3:DC42=BI4)*DB3:DB42)+SUMPRODUCT((CZ3:CZ42=BI7)*(DC3:DC42=BI5)*DB3:DB42)+SUMPRODUCT((CZ3:CZ42=BI7)*(DC3:DC42=BI6)*DB3:DB42)+SUMPRODUCT((CZ3:CZ42=BI8)*(DC3:DC42=BI7)*DA3:DA42)+SUMPRODUCT((CZ3:CZ42=BI4)*(DC3:DC42=BI7)*DA3:DA42)+SUMPRODUCT((CZ3:CZ42=BI5)*(DC3:DC42=BI7)*DA3:DA42)+SUMPRODUCT((CZ3:CZ42=BI6)*(DC3:DC42=BI7)*DA3:DA42)</f>
        <v>0</v>
      </c>
      <c r="BO7" s="21">
        <f>BM7-BN7+1000</f>
        <v>1000</v>
      </c>
      <c r="BP7" s="21" t="str">
        <f t="shared" si="9"/>
        <v/>
      </c>
      <c r="BQ7" s="21" t="str">
        <f>IF(BI7&lt;&gt;"",VLOOKUP(BI7,B4:H40,7,FALSE),"")</f>
        <v/>
      </c>
      <c r="BR7" s="21" t="str">
        <f>IF(BI7&lt;&gt;"",VLOOKUP(BI7,B4:H40,5,FALSE),"")</f>
        <v/>
      </c>
      <c r="BS7" s="21" t="str">
        <f>IF(BI7&lt;&gt;"",VLOOKUP(BI7,B4:J40,9,FALSE),"")</f>
        <v/>
      </c>
      <c r="BT7" s="21" t="str">
        <f t="shared" si="10"/>
        <v/>
      </c>
      <c r="BU7" s="21" t="str">
        <f>IF(BI7&lt;&gt;"",RANK(BT7,BT4:BT8),"")</f>
        <v/>
      </c>
      <c r="BV7" s="21" t="str">
        <f>IF(BI7&lt;&gt;"",SUMPRODUCT((BT4:BT8=BT7)*(BO4:BO8&gt;BO7)),"")</f>
        <v/>
      </c>
      <c r="BW7" s="21" t="str">
        <f>IF(BI7&lt;&gt;"",SUMPRODUCT((BT4:BT8=BT7)*(BO4:BO8=BO7)*(BM4:BM8&gt;BM7)),"")</f>
        <v/>
      </c>
      <c r="BX7" s="21" t="str">
        <f>IF(BI7&lt;&gt;"",SUMPRODUCT((BT4:BT8=BT7)*(BO4:BO8=BO7)*(BM4:BM8=BM7)*(BQ4:BQ8&gt;BQ7)),"")</f>
        <v/>
      </c>
      <c r="BY7" s="21" t="str">
        <f>IF(BI7&lt;&gt;"",SUMPRODUCT((BT4:BT8=BT7)*(BO4:BO8=BO7)*(BM4:BM8=BM7)*(BQ4:BQ8=BQ7)*(BR4:BR8&gt;BR7)),"")</f>
        <v/>
      </c>
      <c r="BZ7" s="21" t="str">
        <f>IF(BI7&lt;&gt;"",SUMPRODUCT((BT4:BT8=BT7)*(BO4:BO8=BO7)*(BM4:BM8=BM7)*(BQ4:BQ8=BQ7)*(BR4:BR8=BR7)*(BS4:BS8&gt;BS7)),"")</f>
        <v/>
      </c>
      <c r="CA7" s="21" t="str">
        <f>IF(BI7&lt;&gt;"",SUM(BU7:BZ7)+2,"")</f>
        <v/>
      </c>
      <c r="CB7" s="21" t="str">
        <f>IF(BI7&lt;&gt;"",INDEX(BI6:BI8,MATCH(4,CA6:CA8,0),0),"")</f>
        <v/>
      </c>
      <c r="CC7" s="21" t="str">
        <f>IF(S4&lt;&gt;"",S4,"")</f>
        <v/>
      </c>
      <c r="CD7" s="21">
        <f>SUMPRODUCT((CZ3:CZ42=CC7)*(DC3:DC42=CC8)*(DD3:DD42="W"))+SUMPRODUCT((CZ3:CZ42=CC7)*(DC3:DC42=CC9)*(DD3:DD42="W"))+SUMPRODUCT((CZ3:CZ42=CC7)*(DC3:DC42=CC10)*(DD3:DD42="W"))+SUMPRODUCT((CZ3:CZ42=CC8)*(DC3:DC42=CC7)*(DE3:DE42="W"))+SUMPRODUCT((CZ3:CZ42=CC9)*(DC3:DC42=CC7)*(DE3:DE42="W"))+SUMPRODUCT((CZ3:CZ42=CC10)*(DC3:DC42=CC7)*(DE3:DE42="W"))</f>
        <v>0</v>
      </c>
      <c r="CE7" s="21">
        <f>SUMPRODUCT((CZ3:CZ42=CC7)*(DC3:DC42=CC8)*(DD3:DD42="D"))+SUMPRODUCT((CZ3:CZ42=CC7)*(DC3:DC42=CC9)*(DD3:DD42="D"))+SUMPRODUCT((CZ3:CZ42=CC7)*(DC3:DC42=CC10)*(DD3:DD42="D"))+SUMPRODUCT((CZ3:CZ42=CC8)*(DC3:DC42=CC7)*(DD3:DD42="D"))+SUMPRODUCT((CZ3:CZ42=CC9)*(DC3:DC42=CC7)*(DD3:DD42="D"))+SUMPRODUCT((CZ3:CZ42=CC10)*(DC3:DC42=CC7)*(DD3:DD42="D"))</f>
        <v>0</v>
      </c>
      <c r="CF7" s="21">
        <f>SUMPRODUCT((CZ3:CZ42=CC7)*(DC3:DC42=CC8)*(DD3:DD42="L"))+SUMPRODUCT((CZ3:CZ42=CC7)*(DC3:DC42=CC9)*(DD3:DD42="L"))+SUMPRODUCT((CZ3:CZ42=CC7)*(DC3:DC42=CC10)*(DD3:DD42="L"))+SUMPRODUCT((CZ3:CZ42=CC8)*(DC3:DC42=CC7)*(DE3:DE42="L"))+SUMPRODUCT((CZ3:CZ42=CC9)*(DC3:DC42=CC7)*(DE3:DE42="L"))+SUMPRODUCT((CZ3:CZ42=CC10)*(DC3:DC42=CC7)*(DE3:DE42="L"))</f>
        <v>0</v>
      </c>
      <c r="CG7" s="21">
        <f>SUMPRODUCT((CZ3:CZ42=CC7)*(DC3:DC42=CC8)*DA3:DA42)+SUMPRODUCT((CZ3:CZ42=CC7)*(DC3:DC42=CC4)*DA3:DA42)+SUMPRODUCT((CZ3:CZ42=CC7)*(DC3:DC42=CC5)*DA3:DA42)+SUMPRODUCT((CZ3:CZ42=CC7)*(DC3:DC42=CC6)*DA3:DA42)+SUMPRODUCT((CZ3:CZ42=CC8)*(DC3:DC42=CC7)*DB3:DB42)+SUMPRODUCT((CZ3:CZ42=CC4)*(DC3:DC42=CC7)*DB3:DB42)+SUMPRODUCT((CZ3:CZ42=CC5)*(DC3:DC42=CC7)*DB3:DB42)+SUMPRODUCT((CZ3:CZ42=CC6)*(DC3:DC42=CC7)*DB3:DB42)</f>
        <v>0</v>
      </c>
      <c r="CH7" s="21">
        <f>SUMPRODUCT((CZ3:CZ42=CC7)*(DC3:DC42=CC8)*DB3:DB42)+SUMPRODUCT((CZ3:CZ42=CC7)*(DC3:DC42=CC4)*DB3:DB42)+SUMPRODUCT((CZ3:CZ42=CC7)*(DC3:DC42=CC5)*DB3:DB42)+SUMPRODUCT((CZ3:CZ42=CC7)*(DC3:DC42=CC6)*DB3:DB42)+SUMPRODUCT((CZ3:CZ42=CC8)*(DC3:DC42=CC7)*DA3:DA42)+SUMPRODUCT((CZ3:CZ42=CC4)*(DC3:DC42=CC7)*DA3:DA42)+SUMPRODUCT((CZ3:CZ42=CC5)*(DC3:DC42=CC7)*DA3:DA42)+SUMPRODUCT((CZ3:CZ42=CC6)*(DC3:DC42=CC7)*DA3:DA42)</f>
        <v>0</v>
      </c>
      <c r="CI7" s="21">
        <f>CG7-CH7+1000</f>
        <v>1000</v>
      </c>
      <c r="CJ7" s="21" t="str">
        <f t="shared" ref="CJ7" si="11">IF(CC7&lt;&gt;"",CD7*3+CE7*1,"")</f>
        <v/>
      </c>
      <c r="CK7" s="21" t="str">
        <f>IF(CC7&lt;&gt;"",VLOOKUP(CC7,B4:H40,7,FALSE),"")</f>
        <v/>
      </c>
      <c r="CL7" s="21" t="str">
        <f>IF(CC7&lt;&gt;"",VLOOKUP(CC7,B4:H40,5,FALSE),"")</f>
        <v/>
      </c>
      <c r="CM7" s="21" t="str">
        <f>IF(CC7&lt;&gt;"",VLOOKUP(CC7,B4:J40,9,FALSE),"")</f>
        <v/>
      </c>
      <c r="CN7" s="21" t="str">
        <f t="shared" ref="CN7" si="12">CJ7</f>
        <v/>
      </c>
      <c r="CO7" s="21" t="str">
        <f>IF(CC7&lt;&gt;"",RANK(CN7,CN4:CN8),"")</f>
        <v/>
      </c>
      <c r="CP7" s="21" t="str">
        <f>IF(CC7&lt;&gt;"",SUMPRODUCT((CN4:CN8=CN7)*(CI4:CI8&gt;CI7)),"")</f>
        <v/>
      </c>
      <c r="CQ7" s="21" t="str">
        <f>IF(CC7&lt;&gt;"",SUMPRODUCT((CN4:CN8=CN7)*(CI4:CI8=CI7)*(CG4:CG8&gt;CG7)),"")</f>
        <v/>
      </c>
      <c r="CR7" s="21" t="str">
        <f>IF(CC7&lt;&gt;"",SUMPRODUCT((CN4:CN8=CN7)*(CI4:CI8=CI7)*(CG4:CG8=CG7)*(CK4:CK8&gt;CK7)),"")</f>
        <v/>
      </c>
      <c r="CS7" s="21" t="str">
        <f>IF(CC7&lt;&gt;"",SUMPRODUCT((CN4:CN8=CN7)*(CI4:CI8=CI7)*(CG4:CG8=CG7)*(CK4:CK8=CK7)*(CL4:CL8&gt;CL7)),"")</f>
        <v/>
      </c>
      <c r="CT7" s="21" t="str">
        <f>IF(CC7&lt;&gt;"",SUMPRODUCT((CN4:CN8=CN7)*(CI4:CI8=CI7)*(CG4:CG8=CG7)*(CK4:CK8=CK7)*(CL4:CL8=CL7)*(CM4:CM8&gt;CM7)),"")</f>
        <v/>
      </c>
      <c r="CU7" s="21" t="str">
        <f>IF(CC7&lt;&gt;"",SUM(CO7:CT7)+3,"")</f>
        <v/>
      </c>
      <c r="CV7" s="21" t="str">
        <f>IF(CC7&lt;&gt;"",IF(CU7=4,CC7,CC8),"")</f>
        <v/>
      </c>
      <c r="CW7" s="21" t="str">
        <f>IF(CV7&lt;&gt;"",CV7,IF(CB7&lt;&gt;"",CB7,IF(BH7&lt;&gt;"",BH7,IF(AN7&lt;&gt;"",AN7,N7))))</f>
        <v>Turkey</v>
      </c>
      <c r="CX7" s="21">
        <v>4</v>
      </c>
      <c r="CY7" s="21">
        <v>5</v>
      </c>
      <c r="CZ7" s="21" t="str">
        <f>Matches!E15</f>
        <v>England</v>
      </c>
      <c r="DA7" s="21">
        <f>IF(AND(Matches!F15&lt;&gt;"",Matches!G15&lt;&gt;""),Matches!F15,0)</f>
        <v>1</v>
      </c>
      <c r="DB7" s="21">
        <f>IF(AND(Matches!G15&lt;&gt;"",Matches!F15&lt;&gt;""),Matches!G15,0)</f>
        <v>0</v>
      </c>
      <c r="DC7" s="21" t="str">
        <f>Matches!H15</f>
        <v>Croatia</v>
      </c>
      <c r="DD7" s="21" t="str">
        <f>IF(AND(Matches!F15&lt;&gt;"",Matches!G15&lt;&gt;""),IF(DA7&gt;DB7,"W",IF(DA7=DB7,"D","L")),"")</f>
        <v>W</v>
      </c>
      <c r="DE7" s="21" t="str">
        <f t="shared" si="0"/>
        <v>L</v>
      </c>
      <c r="DF7" s="21"/>
      <c r="DG7" s="21"/>
      <c r="DH7" s="21" t="str">
        <f>Matches!P33</f>
        <v>Slovakia</v>
      </c>
      <c r="DI7" s="212">
        <f>Matches!U33</f>
        <v>1</v>
      </c>
      <c r="DJ7" s="212">
        <f>Matches!V33</f>
        <v>0</v>
      </c>
      <c r="DK7" s="212">
        <f>Matches!W33</f>
        <v>2</v>
      </c>
      <c r="DL7" s="212">
        <f>Matches!X33</f>
        <v>2</v>
      </c>
      <c r="DM7" s="212">
        <f>Matches!Z33</f>
        <v>7</v>
      </c>
      <c r="DN7" s="212">
        <f>Matches!AA33</f>
        <v>-5</v>
      </c>
      <c r="DO7" s="212">
        <f>Matches!AB33</f>
        <v>3</v>
      </c>
      <c r="DP7" s="21">
        <f>VLOOKUP(DH7,B4:J40,9,FALSE)</f>
        <v>34</v>
      </c>
      <c r="DQ7" s="21">
        <f>RANK(DO7,DO3:DO8)</f>
        <v>4</v>
      </c>
      <c r="DR7" s="21">
        <f>SUMPRODUCT((DQ3:DQ8=DQ7)*(DN3:DN8&gt;DN7))</f>
        <v>2</v>
      </c>
      <c r="DS7" s="21">
        <f>SUMPRODUCT((DQ3:DQ8=DQ7)*(DN3:DN8=DN7)*(DL3:DL8&gt;DL7))</f>
        <v>0</v>
      </c>
      <c r="DT7" s="21">
        <f>SUMPRODUCT((DQ3:DQ8=DQ7)*(DN3:DN8=DN7)*(DL3:DL8=DL7)*(DP3:DP8&gt;DP7))</f>
        <v>0</v>
      </c>
      <c r="DU7" s="21">
        <f t="shared" si="1"/>
        <v>6</v>
      </c>
      <c r="DV7" s="21" t="s">
        <v>49</v>
      </c>
      <c r="DW7" s="21">
        <v>5</v>
      </c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214"/>
      <c r="HZ7" s="214"/>
      <c r="IA7" s="21"/>
      <c r="IB7" s="21"/>
      <c r="IC7" s="21"/>
      <c r="ID7" s="21"/>
      <c r="IE7" s="21"/>
      <c r="IF7" s="21"/>
      <c r="IG7" s="212"/>
      <c r="IH7" s="212"/>
      <c r="II7" s="212"/>
      <c r="IJ7" s="212"/>
      <c r="IK7" s="212"/>
      <c r="IL7" s="212"/>
      <c r="IM7" s="212"/>
      <c r="IN7" s="21"/>
      <c r="IO7" s="21"/>
      <c r="IP7" s="21"/>
      <c r="IQ7" s="21"/>
      <c r="IR7" s="21"/>
      <c r="IS7" s="21"/>
      <c r="IT7" s="21"/>
      <c r="IU7" s="21"/>
      <c r="IV7" s="21"/>
    </row>
    <row r="8" spans="1:256" ht="14" x14ac:dyDescent="0.2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>
        <v>6</v>
      </c>
      <c r="CZ8" s="21" t="str">
        <f>Matches!E16</f>
        <v>Austria</v>
      </c>
      <c r="DA8" s="21">
        <f>IF(AND(Matches!F16&lt;&gt;"",Matches!G16&lt;&gt;""),Matches!F16,0)</f>
        <v>3</v>
      </c>
      <c r="DB8" s="21">
        <f>IF(AND(Matches!G16&lt;&gt;"",Matches!F16&lt;&gt;""),Matches!G16,0)</f>
        <v>1</v>
      </c>
      <c r="DC8" s="21" t="str">
        <f>Matches!H16</f>
        <v>North Macedonia</v>
      </c>
      <c r="DD8" s="21" t="str">
        <f>IF(AND(Matches!F16&lt;&gt;"",Matches!G16&lt;&gt;""),IF(DA8&gt;DB8,"W",IF(DA8=DB8,"D","L")),"")</f>
        <v>W</v>
      </c>
      <c r="DE8" s="21" t="str">
        <f t="shared" si="0"/>
        <v>L</v>
      </c>
      <c r="DF8" s="21"/>
      <c r="DG8" s="21"/>
      <c r="DH8" s="21" t="str">
        <f>Matches!P38</f>
        <v>Portugal</v>
      </c>
      <c r="DI8" s="212">
        <f>Matches!U38</f>
        <v>1</v>
      </c>
      <c r="DJ8" s="212">
        <f>Matches!V38</f>
        <v>1</v>
      </c>
      <c r="DK8" s="212">
        <f>Matches!W38</f>
        <v>1</v>
      </c>
      <c r="DL8" s="212">
        <f>Matches!X38</f>
        <v>7</v>
      </c>
      <c r="DM8" s="212">
        <f>Matches!Z38</f>
        <v>6</v>
      </c>
      <c r="DN8" s="212">
        <f>Matches!AA38</f>
        <v>1</v>
      </c>
      <c r="DO8" s="212">
        <f>Matches!AB38</f>
        <v>4</v>
      </c>
      <c r="DP8" s="21">
        <f>VLOOKUP(DH8,B4:J40,9,FALSE)</f>
        <v>43</v>
      </c>
      <c r="DQ8" s="21">
        <f>RANK(DO8,DO3:DO8)</f>
        <v>1</v>
      </c>
      <c r="DR8" s="21">
        <f>SUMPRODUCT((DQ3:DQ8=DQ8)*(DN3:DN8&gt;DN8))</f>
        <v>0</v>
      </c>
      <c r="DS8" s="21">
        <f>SUMPRODUCT((DQ3:DQ8=DQ8)*(DN3:DN8=DN8)*(DL3:DL8&gt;DL8))</f>
        <v>0</v>
      </c>
      <c r="DT8" s="21">
        <f>SUMPRODUCT((DQ3:DQ8=DQ8)*(DN3:DN8=DN8)*(DL3:DL8=DL8)*(DP3:DP8&gt;DP8))</f>
        <v>0</v>
      </c>
      <c r="DU8" s="21">
        <f t="shared" si="1"/>
        <v>1</v>
      </c>
      <c r="DV8" s="21" t="s">
        <v>41</v>
      </c>
      <c r="DW8" s="21">
        <v>6</v>
      </c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4"/>
      <c r="HZ8" s="214"/>
      <c r="IA8" s="21"/>
      <c r="IB8" s="21"/>
      <c r="IC8" s="21"/>
      <c r="ID8" s="21"/>
      <c r="IE8" s="21"/>
      <c r="IF8" s="21"/>
      <c r="IG8" s="212"/>
      <c r="IH8" s="212"/>
      <c r="II8" s="212"/>
      <c r="IJ8" s="212"/>
      <c r="IK8" s="212"/>
      <c r="IL8" s="212"/>
      <c r="IM8" s="212"/>
      <c r="IN8" s="21"/>
      <c r="IO8" s="21"/>
      <c r="IP8" s="21"/>
      <c r="IQ8" s="21"/>
      <c r="IR8" s="21"/>
      <c r="IS8" s="21"/>
      <c r="IT8" s="21"/>
      <c r="IU8" s="21"/>
      <c r="IV8" s="21"/>
    </row>
    <row r="9" spans="1:256" ht="14" x14ac:dyDescent="0.2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 t="s">
        <v>85</v>
      </c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>
        <v>7</v>
      </c>
      <c r="CZ9" s="21" t="str">
        <f>Matches!E17</f>
        <v>Netherlands</v>
      </c>
      <c r="DA9" s="21">
        <f>IF(AND(Matches!F17&lt;&gt;"",Matches!G17&lt;&gt;""),Matches!F17,0)</f>
        <v>3</v>
      </c>
      <c r="DB9" s="21">
        <f>IF(AND(Matches!G17&lt;&gt;"",Matches!F17&lt;&gt;""),Matches!G17,0)</f>
        <v>2</v>
      </c>
      <c r="DC9" s="21" t="str">
        <f>Matches!H17</f>
        <v>Ukraine</v>
      </c>
      <c r="DD9" s="21" t="str">
        <f>IF(AND(Matches!F17&lt;&gt;"",Matches!G17&lt;&gt;""),IF(DA9&gt;DB9,"W",IF(DA9=DB9,"D","L")),"")</f>
        <v>W</v>
      </c>
      <c r="DE9" s="21" t="str">
        <f t="shared" si="0"/>
        <v>L</v>
      </c>
      <c r="DF9" s="21"/>
      <c r="DG9" s="21"/>
      <c r="DH9" s="21"/>
      <c r="DI9" s="212"/>
      <c r="DJ9" s="212"/>
      <c r="DK9" s="212"/>
      <c r="DL9" s="212"/>
      <c r="DM9" s="212"/>
      <c r="DN9" s="212"/>
      <c r="DO9" s="212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4"/>
      <c r="HZ9" s="214"/>
      <c r="IA9" s="21"/>
      <c r="IB9" s="21"/>
      <c r="IC9" s="21"/>
      <c r="ID9" s="21"/>
      <c r="IE9" s="21"/>
      <c r="IF9" s="21"/>
      <c r="IG9" s="212"/>
      <c r="IH9" s="212"/>
      <c r="II9" s="212"/>
      <c r="IJ9" s="212"/>
      <c r="IK9" s="212"/>
      <c r="IL9" s="212"/>
      <c r="IM9" s="212"/>
      <c r="IN9" s="21"/>
      <c r="IO9" s="21"/>
      <c r="IP9" s="21"/>
      <c r="IQ9" s="21"/>
      <c r="IR9" s="21"/>
      <c r="IS9" s="21"/>
      <c r="IT9" s="21"/>
      <c r="IU9" s="21"/>
      <c r="IV9" s="21"/>
    </row>
    <row r="10" spans="1:256" ht="14" x14ac:dyDescent="0.2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>
        <v>8</v>
      </c>
      <c r="CZ10" s="21" t="str">
        <f>Matches!E18</f>
        <v>Scotland</v>
      </c>
      <c r="DA10" s="21">
        <f>IF(AND(Matches!F18&lt;&gt;"",Matches!G18&lt;&gt;""),Matches!F18,0)</f>
        <v>0</v>
      </c>
      <c r="DB10" s="21">
        <f>IF(AND(Matches!G18&lt;&gt;"",Matches!F18&lt;&gt;""),Matches!G18,0)</f>
        <v>2</v>
      </c>
      <c r="DC10" s="21" t="str">
        <f>Matches!H18</f>
        <v>Czech Republic</v>
      </c>
      <c r="DD10" s="21" t="str">
        <f>IF(AND(Matches!F18&lt;&gt;"",Matches!G18&lt;&gt;""),IF(DA10&gt;DB10,"W",IF(DA10=DB10,"D","L")),"")</f>
        <v>L</v>
      </c>
      <c r="DE10" s="21" t="str">
        <f t="shared" si="0"/>
        <v>W</v>
      </c>
      <c r="DF10" s="21"/>
      <c r="DG10" s="21"/>
      <c r="DH10" s="21"/>
      <c r="DI10" s="212"/>
      <c r="DJ10" s="212"/>
      <c r="DK10" s="212"/>
      <c r="DL10" s="212"/>
      <c r="DM10" s="212"/>
      <c r="DN10" s="212"/>
      <c r="DO10" s="212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4"/>
      <c r="HZ10" s="214"/>
      <c r="IA10" s="21"/>
      <c r="IB10" s="21"/>
      <c r="IC10" s="21"/>
      <c r="ID10" s="21"/>
      <c r="IE10" s="21"/>
      <c r="IF10" s="21"/>
      <c r="IG10" s="212"/>
      <c r="IH10" s="212"/>
      <c r="II10" s="212"/>
      <c r="IJ10" s="212"/>
      <c r="IK10" s="212"/>
      <c r="IL10" s="212"/>
      <c r="IM10" s="212"/>
      <c r="IN10" s="21"/>
      <c r="IO10" s="21"/>
      <c r="IP10" s="21"/>
      <c r="IQ10" s="21"/>
      <c r="IR10" s="21"/>
      <c r="IS10" s="21"/>
      <c r="IT10" s="21"/>
      <c r="IU10" s="21"/>
      <c r="IV10" s="21"/>
    </row>
    <row r="11" spans="1:256" ht="14" x14ac:dyDescent="0.2">
      <c r="A11" s="21">
        <f>VLOOKUP(B11,CW11:CX15,2,FALSE)</f>
        <v>1</v>
      </c>
      <c r="B11" s="21" t="str">
        <f>Matches!AH14</f>
        <v>Belgium</v>
      </c>
      <c r="C11" s="21">
        <f>SUMPRODUCT((CZ3:CZ42=B11)*(DD3:DD42="W"))+SUMPRODUCT((DC3:DC42=B11)*(DE3:DE42="W"))</f>
        <v>3</v>
      </c>
      <c r="D11" s="21">
        <f>SUMPRODUCT((CZ3:CZ42=B11)*(DD3:DD42="D"))+SUMPRODUCT((DC3:DC42=B11)*(DE3:DE42="D"))</f>
        <v>0</v>
      </c>
      <c r="E11" s="21">
        <f>SUMPRODUCT((CZ3:CZ42=B11)*(DD3:DD42="L"))+SUMPRODUCT((DC3:DC42=B11)*(DE3:DE42="L"))</f>
        <v>0</v>
      </c>
      <c r="F11" s="21">
        <f>SUMIF(CZ3:CZ60,B11,DA3:DA60)+SUMIF(DC3:DC60,B11,DB3:DB60)</f>
        <v>7</v>
      </c>
      <c r="G11" s="21">
        <f>SUMIF(DC3:DC60,B11,DA3:DA60)+SUMIF(CZ3:CZ60,B11,DB3:DB60)</f>
        <v>1</v>
      </c>
      <c r="H11" s="21">
        <f t="shared" ref="H11:H14" si="13">F11-G11+1000</f>
        <v>1006</v>
      </c>
      <c r="I11" s="21">
        <f t="shared" ref="I11:I14" si="14">C11*3+D11*1</f>
        <v>9</v>
      </c>
      <c r="J11" s="21">
        <v>55</v>
      </c>
      <c r="K11" s="21">
        <f>IF(COUNTIF(I11:I15,4)&lt;&gt;4,RANK(I11,I11:I15),I51)</f>
        <v>1</v>
      </c>
      <c r="L11" s="21"/>
      <c r="M11" s="21">
        <f>SUMPRODUCT((K11:K14=K11)*(J11:J14&lt;J11))+K11</f>
        <v>1</v>
      </c>
      <c r="N11" s="21" t="str">
        <f>INDEX(B11:B15,MATCH(1,M11:M15,0),0)</f>
        <v>Belgium</v>
      </c>
      <c r="O11" s="21">
        <f>INDEX(K11:K15,MATCH(N11,B11:B15,0),0)</f>
        <v>1</v>
      </c>
      <c r="P11" s="21" t="str">
        <f>IF(O12=1,N11,"")</f>
        <v/>
      </c>
      <c r="Q11" s="21" t="str">
        <f>IF(O13=2,N12,"")</f>
        <v>Finland</v>
      </c>
      <c r="R11" s="21" t="str">
        <f>IF(O14=3,N13,"")</f>
        <v/>
      </c>
      <c r="S11" s="21" t="str">
        <f>IF(O15=4,N14,"")</f>
        <v/>
      </c>
      <c r="T11" s="21"/>
      <c r="U11" s="21" t="str">
        <f>IF(P11&lt;&gt;"",P11,"")</f>
        <v/>
      </c>
      <c r="V11" s="21">
        <f>SUMPRODUCT((CZ3:CZ42=U11)*(DC3:DC42=U12)*(DD3:DD42="W"))+SUMPRODUCT((CZ3:CZ42=U11)*(DC3:DC42=U13)*(DD3:DD42="W"))+SUMPRODUCT((CZ3:CZ42=U11)*(DC3:DC42=U14)*(DD3:DD42="W"))+SUMPRODUCT((CZ3:CZ42=U11)*(DC3:DC42=U15)*(DD3:DD42="W"))+SUMPRODUCT((CZ3:CZ42=U12)*(DC3:DC42=U11)*(DE3:DE42="W"))+SUMPRODUCT((CZ3:CZ42=U13)*(DC3:DC42=U11)*(DE3:DE42="W"))+SUMPRODUCT((CZ3:CZ42=U14)*(DC3:DC42=U11)*(DE3:DE42="W"))+SUMPRODUCT((CZ3:CZ42=U15)*(DC3:DC42=U11)*(DE3:DE42="W"))</f>
        <v>0</v>
      </c>
      <c r="W11" s="21">
        <f>SUMPRODUCT((CZ3:CZ42=U11)*(DC3:DC42=U12)*(DD3:DD42="D"))+SUMPRODUCT((CZ3:CZ42=U11)*(DC3:DC42=U13)*(DD3:DD42="D"))+SUMPRODUCT((CZ3:CZ42=U11)*(DC3:DC42=U14)*(DD3:DD42="D"))+SUMPRODUCT((CZ3:CZ42=U11)*(DC3:DC42=U15)*(DD3:DD42="D"))+SUMPRODUCT((CZ3:CZ42=U12)*(DC3:DC42=U11)*(DD3:DD42="D"))+SUMPRODUCT((CZ3:CZ42=U13)*(DC3:DC42=U11)*(DD3:DD42="D"))+SUMPRODUCT((CZ3:CZ42=U14)*(DC3:DC42=U11)*(DD3:DD42="D"))+SUMPRODUCT((CZ3:CZ42=U15)*(DC3:DC42=U11)*(DD3:DD42="D"))</f>
        <v>0</v>
      </c>
      <c r="X11" s="21">
        <f>SUMPRODUCT((CZ3:CZ42=U11)*(DC3:DC42=U12)*(DD3:DD42="L"))+SUMPRODUCT((CZ3:CZ42=U11)*(DC3:DC42=U13)*(DD3:DD42="L"))+SUMPRODUCT((CZ3:CZ42=U11)*(DC3:DC42=U14)*(DD3:DD42="L"))+SUMPRODUCT((CZ3:CZ42=U11)*(DC3:DC42=U15)*(DD3:DD42="L"))+SUMPRODUCT((CZ3:CZ42=U12)*(DC3:DC42=U11)*(DE3:DE42="L"))+SUMPRODUCT((CZ3:CZ42=U13)*(DC3:DC42=U11)*(DE3:DE42="L"))+SUMPRODUCT((CZ3:CZ42=U14)*(DC3:DC42=U11)*(DE3:DE42="L"))+SUMPRODUCT((CZ3:CZ42=U15)*(DC3:DC42=U11)*(DE3:DE42="L"))</f>
        <v>0</v>
      </c>
      <c r="Y11" s="21">
        <f>SUMPRODUCT((CZ3:CZ42=U11)*(DC3:DC42=U12)*DA3:DA42)+SUMPRODUCT((CZ3:CZ42=U11)*(DC3:DC42=U13)*DA3:DA42)+SUMPRODUCT((CZ3:CZ42=U11)*(DC3:DC42=U14)*DA3:DA42)+SUMPRODUCT((CZ3:CZ42=U11)*(DC3:DC42=U15)*DA3:DA42)+SUMPRODUCT((CZ3:CZ42=U12)*(DC3:DC42=U11)*DB3:DB42)+SUMPRODUCT((CZ3:CZ42=U13)*(DC3:DC42=U11)*DB3:DB42)+SUMPRODUCT((CZ3:CZ42=U14)*(DC3:DC42=U11)*DB3:DB42)+SUMPRODUCT((CZ3:CZ42=U15)*(DC3:DC42=U11)*DB3:DB42)</f>
        <v>0</v>
      </c>
      <c r="Z11" s="21">
        <f>SUMPRODUCT((CZ3:CZ42=U11)*(DC3:DC42=U12)*DB3:DB42)+SUMPRODUCT((CZ3:CZ42=U11)*(DC3:DC42=U13)*DB3:DB42)+SUMPRODUCT((CZ3:CZ42=U11)*(DC3:DC42=U14)*DB3:DB42)+SUMPRODUCT((CZ3:CZ42=U11)*(DC3:DC42=U15)*DB3:DB42)+SUMPRODUCT((CZ3:CZ42=U12)*(DC3:DC42=U11)*DA3:DA42)+SUMPRODUCT((CZ3:CZ42=U13)*(DC3:DC42=U11)*DA3:DA42)+SUMPRODUCT((CZ3:CZ42=U14)*(DC3:DC42=U11)*DA3:DA42)+SUMPRODUCT((CZ3:CZ42=U15)*(DC3:DC42=U11)*DA3:DA42)</f>
        <v>0</v>
      </c>
      <c r="AA11" s="21">
        <f>Y11-Z11+1000</f>
        <v>1000</v>
      </c>
      <c r="AB11" s="21" t="str">
        <f t="shared" ref="AB11:AB14" si="15">IF(U11&lt;&gt;"",V11*3+W11*1,"")</f>
        <v/>
      </c>
      <c r="AC11" s="21" t="str">
        <f>IF(U11&lt;&gt;"",VLOOKUP(U11,B4:H40,7,FALSE),"")</f>
        <v/>
      </c>
      <c r="AD11" s="21" t="str">
        <f>IF(U11&lt;&gt;"",VLOOKUP(U11,B4:H40,5,FALSE),"")</f>
        <v/>
      </c>
      <c r="AE11" s="21" t="str">
        <f>IF(U11&lt;&gt;"",VLOOKUP(U11,B4:J40,9,FALSE),"")</f>
        <v/>
      </c>
      <c r="AF11" s="21" t="str">
        <f t="shared" ref="AF11:AF14" si="16">AB11</f>
        <v/>
      </c>
      <c r="AG11" s="21" t="str">
        <f>IF(U11&lt;&gt;"",RANK(AF11,AF11:AF15),"")</f>
        <v/>
      </c>
      <c r="AH11" s="21" t="str">
        <f>IF(U11&lt;&gt;"",SUMPRODUCT((AF11:AF15=AF11)*(AA11:AA15&gt;AA11)),"")</f>
        <v/>
      </c>
      <c r="AI11" s="21" t="str">
        <f>IF(U11&lt;&gt;"",SUMPRODUCT((AF11:AF15=AF11)*(AA11:AA15=AA11)*(Y11:Y15&gt;Y11)),"")</f>
        <v/>
      </c>
      <c r="AJ11" s="21" t="str">
        <f>IF(U11&lt;&gt;"",SUMPRODUCT((AF11:AF15=AF11)*(AA11:AA15=AA11)*(Y11:Y15=Y11)*(AC11:AC15&gt;AC11)),"")</f>
        <v/>
      </c>
      <c r="AK11" s="21" t="str">
        <f>IF(U11&lt;&gt;"",SUMPRODUCT((AF11:AF15=AF11)*(AA11:AA15=AA11)*(Y11:Y15=Y11)*(AC11:AC15=AC11)*(AD11:AD15&gt;AD11)),"")</f>
        <v/>
      </c>
      <c r="AL11" s="21" t="str">
        <f>IF(U11&lt;&gt;"",SUMPRODUCT((AF11:AF15=AF11)*(AA11:AA15=AA11)*(Y11:Y15=Y11)*(AC11:AC15=AC11)*(AD11:AD15=AD11)*(AE11:AE15&gt;AE11)),"")</f>
        <v/>
      </c>
      <c r="AM11" s="21" t="str">
        <f>IF(U11&lt;&gt;"",IF(AM51&lt;&gt;"",IF(T50=3,AM51,AM51+T50),SUM(AG11:AL11)),"")</f>
        <v/>
      </c>
      <c r="AN11" s="21" t="str">
        <f>IF(U11&lt;&gt;"",INDEX(U11:U15,MATCH(1,AM11:AM15,0),0),"")</f>
        <v/>
      </c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 t="str">
        <f>IF(AN11&lt;&gt;"",AN11,N11)</f>
        <v>Belgium</v>
      </c>
      <c r="CX11" s="21">
        <v>1</v>
      </c>
      <c r="CY11" s="21">
        <v>9</v>
      </c>
      <c r="CZ11" s="21" t="str">
        <f>Matches!E19</f>
        <v>Poland</v>
      </c>
      <c r="DA11" s="21">
        <f>IF(AND(Matches!F19&lt;&gt;"",Matches!G19&lt;&gt;""),Matches!F19,0)</f>
        <v>1</v>
      </c>
      <c r="DB11" s="21">
        <f>IF(AND(Matches!G19&lt;&gt;"",Matches!F19&lt;&gt;""),Matches!G19,0)</f>
        <v>2</v>
      </c>
      <c r="DC11" s="21" t="str">
        <f>Matches!H19</f>
        <v>Slovakia</v>
      </c>
      <c r="DD11" s="21" t="str">
        <f>IF(AND(Matches!F19&lt;&gt;"",Matches!G19&lt;&gt;""),IF(DA11&gt;DB11,"W",IF(DA11=DB11,"D","L")),"")</f>
        <v>L</v>
      </c>
      <c r="DE11" s="21" t="str">
        <f t="shared" si="0"/>
        <v>W</v>
      </c>
      <c r="DF11" s="21"/>
      <c r="DG11" s="21"/>
      <c r="DH11" s="21"/>
      <c r="DI11" s="212"/>
      <c r="DJ11" s="212"/>
      <c r="DK11" s="212"/>
      <c r="DL11" s="212"/>
      <c r="DM11" s="212"/>
      <c r="DN11" s="212"/>
      <c r="DO11" s="212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4"/>
      <c r="HZ11" s="214"/>
      <c r="IA11" s="21"/>
      <c r="IB11" s="21"/>
      <c r="IC11" s="21"/>
      <c r="ID11" s="21"/>
      <c r="IE11" s="21"/>
      <c r="IF11" s="21"/>
      <c r="IG11" s="212"/>
      <c r="IH11" s="212"/>
      <c r="II11" s="212"/>
      <c r="IJ11" s="212"/>
      <c r="IK11" s="212"/>
      <c r="IL11" s="212"/>
      <c r="IM11" s="212"/>
      <c r="IN11" s="21"/>
      <c r="IO11" s="21"/>
      <c r="IP11" s="21"/>
      <c r="IQ11" s="21"/>
      <c r="IR11" s="21"/>
      <c r="IS11" s="21"/>
      <c r="IT11" s="21"/>
      <c r="IU11" s="21"/>
      <c r="IV11" s="21"/>
    </row>
    <row r="12" spans="1:256" ht="13.25" customHeight="1" x14ac:dyDescent="0.2">
      <c r="A12" s="21">
        <f>VLOOKUP(B12,CW11:CX15,2,FALSE)</f>
        <v>4</v>
      </c>
      <c r="B12" s="21" t="str">
        <f>Matches!AH15</f>
        <v>Russia</v>
      </c>
      <c r="C12" s="21">
        <f>SUMPRODUCT((CZ3:CZ42=B12)*(DD3:DD42="W"))+SUMPRODUCT((DC3:DC42=B12)*(DE3:DE42="W"))</f>
        <v>1</v>
      </c>
      <c r="D12" s="21">
        <f>SUMPRODUCT((CZ3:CZ42=B12)*(DD3:DD42="D"))+SUMPRODUCT((DC3:DC42=B12)*(DE3:DE42="D"))</f>
        <v>0</v>
      </c>
      <c r="E12" s="21">
        <f>SUMPRODUCT((CZ3:CZ42=B12)*(DD3:DD42="L"))+SUMPRODUCT((DC3:DC42=B12)*(DE3:DE42="L"))</f>
        <v>2</v>
      </c>
      <c r="F12" s="21">
        <f>SUMIF(CZ3:CZ60,B12,DA3:DA60)+SUMIF(DC3:DC60,B12,DB3:DB60)</f>
        <v>2</v>
      </c>
      <c r="G12" s="21">
        <f>SUMIF(DC3:DC60,B12,DA3:DA60)+SUMIF(CZ3:CZ60,B12,DB3:DB60)</f>
        <v>7</v>
      </c>
      <c r="H12" s="21">
        <f t="shared" si="13"/>
        <v>995</v>
      </c>
      <c r="I12" s="21">
        <f t="shared" si="14"/>
        <v>3</v>
      </c>
      <c r="J12" s="21">
        <v>44</v>
      </c>
      <c r="K12" s="21">
        <f>IF(COUNTIF(I11:I15,4)&lt;&gt;4,RANK(I12,I11:I15),I52)</f>
        <v>2</v>
      </c>
      <c r="L12" s="21"/>
      <c r="M12" s="21">
        <f>SUMPRODUCT((K11:K14=K12)*(J11:J14&lt;J12))+K12</f>
        <v>4</v>
      </c>
      <c r="N12" s="21" t="str">
        <f>INDEX(B11:B15,MATCH(2,M11:M15,0),0)</f>
        <v>Finland</v>
      </c>
      <c r="O12" s="21">
        <f>INDEX(K11:K15,MATCH(N12,B11:B15,0),0)</f>
        <v>2</v>
      </c>
      <c r="P12" s="21" t="str">
        <f>IF(P11&lt;&gt;"",N12,"")</f>
        <v/>
      </c>
      <c r="Q12" s="21" t="str">
        <f>IF(Q11&lt;&gt;"",N13,"")</f>
        <v>Denmark</v>
      </c>
      <c r="R12" s="21" t="str">
        <f>IF(R11&lt;&gt;"",N14,"")</f>
        <v/>
      </c>
      <c r="S12" s="21" t="str">
        <f>IF(S11&lt;&gt;"",N15,"")</f>
        <v/>
      </c>
      <c r="T12" s="21"/>
      <c r="U12" s="21" t="str">
        <f t="shared" ref="U12:U14" si="17">IF(P12&lt;&gt;"",P12,"")</f>
        <v/>
      </c>
      <c r="V12" s="21">
        <f>SUMPRODUCT((CZ3:CZ42=U12)*(DC3:DC42=U13)*(DD3:DD42="W"))+SUMPRODUCT((CZ3:CZ42=U12)*(DC3:DC42=U14)*(DD3:DD42="W"))+SUMPRODUCT((CZ3:CZ42=U12)*(DC3:DC42=U15)*(DD3:DD42="W"))+SUMPRODUCT((CZ3:CZ42=U12)*(DC3:DC42=U11)*(DD3:DD42="W"))+SUMPRODUCT((CZ3:CZ42=U13)*(DC3:DC42=U12)*(DE3:DE42="W"))+SUMPRODUCT((CZ3:CZ42=U14)*(DC3:DC42=U12)*(DE3:DE42="W"))+SUMPRODUCT((CZ3:CZ42=U15)*(DC3:DC42=U12)*(DE3:DE42="W"))+SUMPRODUCT((CZ3:CZ42=U11)*(DC3:DC42=U12)*(DE3:DE42="W"))</f>
        <v>0</v>
      </c>
      <c r="W12" s="21">
        <f>SUMPRODUCT((CZ3:CZ42=U12)*(DC3:DC42=U13)*(DD3:DD42="D"))+SUMPRODUCT((CZ3:CZ42=U12)*(DC3:DC42=U14)*(DD3:DD42="D"))+SUMPRODUCT((CZ3:CZ42=U12)*(DC3:DC42=U15)*(DD3:DD42="D"))+SUMPRODUCT((CZ3:CZ42=U12)*(DC3:DC42=U11)*(DD3:DD42="D"))+SUMPRODUCT((CZ3:CZ42=U13)*(DC3:DC42=U12)*(DD3:DD42="D"))+SUMPRODUCT((CZ3:CZ42=U14)*(DC3:DC42=U12)*(DD3:DD42="D"))+SUMPRODUCT((CZ3:CZ42=U15)*(DC3:DC42=U12)*(DD3:DD42="D"))+SUMPRODUCT((CZ3:CZ42=U11)*(DC3:DC42=U12)*(DD3:DD42="D"))</f>
        <v>0</v>
      </c>
      <c r="X12" s="21">
        <f>SUMPRODUCT((CZ3:CZ42=U12)*(DC3:DC42=U13)*(DD3:DD42="L"))+SUMPRODUCT((CZ3:CZ42=U12)*(DC3:DC42=U14)*(DD3:DD42="L"))+SUMPRODUCT((CZ3:CZ42=U12)*(DC3:DC42=U15)*(DD3:DD42="L"))+SUMPRODUCT((CZ3:CZ42=U12)*(DC3:DC42=U11)*(DD3:DD42="L"))+SUMPRODUCT((CZ3:CZ42=U13)*(DC3:DC42=U12)*(DE3:DE42="L"))+SUMPRODUCT((CZ3:CZ42=U14)*(DC3:DC42=U12)*(DE3:DE42="L"))+SUMPRODUCT((CZ3:CZ42=U15)*(DC3:DC42=U12)*(DE3:DE42="L"))+SUMPRODUCT((CZ3:CZ42=U11)*(DC3:DC42=U12)*(DE3:DE42="L"))</f>
        <v>0</v>
      </c>
      <c r="Y12" s="21">
        <f>SUMPRODUCT((CZ3:CZ42=U12)*(DC3:DC42=U13)*DA3:DA42)+SUMPRODUCT((CZ3:CZ42=U12)*(DC3:DC42=U14)*DA3:DA42)+SUMPRODUCT((CZ3:CZ42=U12)*(DC3:DC42=U15)*DA3:DA42)+SUMPRODUCT((CZ3:CZ42=U12)*(DC3:DC42=U11)*DA3:DA42)+SUMPRODUCT((CZ3:CZ42=U13)*(DC3:DC42=U12)*DB3:DB42)+SUMPRODUCT((CZ3:CZ42=U14)*(DC3:DC42=U12)*DB3:DB42)+SUMPRODUCT((CZ3:CZ42=U15)*(DC3:DC42=U12)*DB3:DB42)+SUMPRODUCT((CZ3:CZ42=U11)*(DC3:DC42=U12)*DB3:DB42)</f>
        <v>0</v>
      </c>
      <c r="Z12" s="21">
        <f>SUMPRODUCT((CZ3:CZ42=U12)*(DC3:DC42=U13)*DB3:DB42)+SUMPRODUCT((CZ3:CZ42=U12)*(DC3:DC42=U14)*DB3:DB42)+SUMPRODUCT((CZ3:CZ42=U12)*(DC3:DC42=U15)*DB3:DB42)+SUMPRODUCT((CZ3:CZ42=U12)*(DC3:DC42=U11)*DB3:DB42)+SUMPRODUCT((CZ3:CZ42=U13)*(DC3:DC42=U12)*DA3:DA42)+SUMPRODUCT((CZ3:CZ42=U14)*(DC3:DC42=U12)*DA3:DA42)+SUMPRODUCT((CZ3:CZ42=U15)*(DC3:DC42=U12)*DA3:DA42)+SUMPRODUCT((CZ3:CZ42=U11)*(DC3:DC42=U12)*DA3:DA42)</f>
        <v>0</v>
      </c>
      <c r="AA12" s="21">
        <f>Y12-Z12+1000</f>
        <v>1000</v>
      </c>
      <c r="AB12" s="21" t="str">
        <f t="shared" si="15"/>
        <v/>
      </c>
      <c r="AC12" s="21" t="str">
        <f>IF(U12&lt;&gt;"",VLOOKUP(U12,B4:H40,7,FALSE),"")</f>
        <v/>
      </c>
      <c r="AD12" s="21" t="str">
        <f>IF(U12&lt;&gt;"",VLOOKUP(U12,B4:H40,5,FALSE),"")</f>
        <v/>
      </c>
      <c r="AE12" s="21" t="str">
        <f>IF(U12&lt;&gt;"",VLOOKUP(U12,B4:J40,9,FALSE),"")</f>
        <v/>
      </c>
      <c r="AF12" s="21" t="str">
        <f t="shared" si="16"/>
        <v/>
      </c>
      <c r="AG12" s="21" t="str">
        <f>IF(U12&lt;&gt;"",RANK(AF12,AF11:AF15),"")</f>
        <v/>
      </c>
      <c r="AH12" s="21" t="str">
        <f>IF(U12&lt;&gt;"",SUMPRODUCT((AF11:AF15=AF12)*(AA11:AA15&gt;AA12)),"")</f>
        <v/>
      </c>
      <c r="AI12" s="21" t="str">
        <f>IF(U12&lt;&gt;"",SUMPRODUCT((AF11:AF15=AF12)*(AA11:AA15=AA12)*(Y11:Y15&gt;Y12)),"")</f>
        <v/>
      </c>
      <c r="AJ12" s="21" t="str">
        <f>IF(U12&lt;&gt;"",SUMPRODUCT((AF11:AF15=AF12)*(AA11:AA15=AA12)*(Y11:Y15=Y12)*(AC11:AC15&gt;AC12)),"")</f>
        <v/>
      </c>
      <c r="AK12" s="21" t="str">
        <f>IF(U12&lt;&gt;"",SUMPRODUCT((AF11:AF15=AF12)*(AA11:AA15=AA12)*(Y11:Y15=Y12)*(AC11:AC15=AC12)*(AD11:AD15&gt;AD12)),"")</f>
        <v/>
      </c>
      <c r="AL12" s="21" t="str">
        <f>IF(U12&lt;&gt;"",SUMPRODUCT((AF11:AF15=AF12)*(AA11:AA15=AA12)*(Y11:Y15=Y12)*(AC11:AC15=AC12)*(AD11:AD15=AD12)*(AE11:AE15&gt;AE12)),"")</f>
        <v/>
      </c>
      <c r="AM12" s="21" t="str">
        <f>IF(U12&lt;&gt;"",IF(AM52&lt;&gt;"",IF(T50=3,AM52,AM52+T50),SUM(AG12:AL12)),"")</f>
        <v/>
      </c>
      <c r="AN12" s="21" t="str">
        <f>IF(U12&lt;&gt;"",INDEX(U11:U15,MATCH(2,AM11:AM15,0),0),"")</f>
        <v/>
      </c>
      <c r="AO12" s="21" t="str">
        <f>IF(Q11&lt;&gt;"",Q11,"")</f>
        <v>Finland</v>
      </c>
      <c r="AP12" s="21">
        <f>SUMPRODUCT((CZ3:CZ42=AO12)*(DC3:DC42=AO13)*(DD3:DD42="W"))+SUMPRODUCT((CZ3:CZ42=AO12)*(DC3:DC42=AO14)*(DD3:DD42="W"))+SUMPRODUCT((CZ3:CZ42=AO12)*(DC3:DC42=AO15)*(DD3:DD42="W"))+SUMPRODUCT((CZ3:CZ42=AO13)*(DC3:DC42=AO12)*(DE3:DE42="W"))+SUMPRODUCT((CZ3:CZ42=AO14)*(DC3:DC42=AO12)*(DE3:DE42="W"))+SUMPRODUCT((CZ3:CZ42=AO15)*(DC3:DC42=AO12)*(DE3:DE42="W"))</f>
        <v>1</v>
      </c>
      <c r="AQ12" s="21">
        <f>SUMPRODUCT((CZ3:CZ42=AO12)*(DC3:DC42=AO13)*(DD3:DD42="D"))+SUMPRODUCT((CZ3:CZ42=AO12)*(DC3:DC42=AO14)*(DD3:DD42="D"))+SUMPRODUCT((CZ3:CZ42=AO12)*(DC3:DC42=AO15)*(DD3:DD42="D"))+SUMPRODUCT((CZ3:CZ42=AO13)*(DC3:DC42=AO12)*(DD3:DD42="D"))+SUMPRODUCT((CZ3:CZ42=AO14)*(DC3:DC42=AO12)*(DD3:DD42="D"))+SUMPRODUCT((CZ3:CZ42=AO15)*(DC3:DC42=AO12)*(DD3:DD42="D"))</f>
        <v>0</v>
      </c>
      <c r="AR12" s="21">
        <f>SUMPRODUCT((CZ3:CZ42=AO12)*(DC3:DC42=AO13)*(DD3:DD42="L"))+SUMPRODUCT((CZ3:CZ42=AO12)*(DC3:DC42=AO14)*(DD3:DD42="L"))+SUMPRODUCT((CZ3:CZ42=AO12)*(DC3:DC42=AO15)*(DD3:DD42="L"))+SUMPRODUCT((CZ3:CZ42=AO13)*(DC3:DC42=AO12)*(DE3:DE42="L"))+SUMPRODUCT((CZ3:CZ42=AO14)*(DC3:DC42=AO12)*(DE3:DE42="L"))+SUMPRODUCT((CZ3:CZ42=AO15)*(DC3:DC42=AO12)*(DE3:DE42="L"))</f>
        <v>1</v>
      </c>
      <c r="AS12" s="21">
        <f>SUMPRODUCT((CZ3:CZ42=AO12)*(DC3:DC42=AO13)*DA3:DA42)+SUMPRODUCT((CZ3:CZ42=AO12)*(DC3:DC42=AO14)*DA3:DA42)+SUMPRODUCT((CZ3:CZ42=AO12)*(DC3:DC42=AO15)*DA3:DA42)+SUMPRODUCT((CZ3:CZ42=AO12)*(DC3:DC42=AO11)*DA3:DA42)+SUMPRODUCT((CZ3:CZ42=AO13)*(DC3:DC42=AO12)*DB3:DB42)+SUMPRODUCT((CZ3:CZ42=AO14)*(DC3:DC42=AO12)*DB3:DB42)+SUMPRODUCT((CZ3:CZ42=AO15)*(DC3:DC42=AO12)*DB3:DB42)+SUMPRODUCT((CZ3:CZ42=AO11)*(DC3:DC42=AO12)*DB3:DB42)</f>
        <v>1</v>
      </c>
      <c r="AT12" s="21">
        <f>SUMPRODUCT((CZ3:CZ42=AO12)*(DC3:DC42=AO13)*DB3:DB42)+SUMPRODUCT((CZ3:CZ42=AO12)*(DC3:DC42=AO14)*DB3:DB42)+SUMPRODUCT((CZ3:CZ42=AO12)*(DC3:DC42=AO15)*DB3:DB42)+SUMPRODUCT((CZ3:CZ42=AO12)*(DC3:DC42=AO11)*DB3:DB42)+SUMPRODUCT((CZ3:CZ42=AO13)*(DC3:DC42=AO12)*DA3:DA42)+SUMPRODUCT((CZ3:CZ42=AO14)*(DC3:DC42=AO12)*DA3:DA42)+SUMPRODUCT((CZ3:CZ42=AO15)*(DC3:DC42=AO12)*DA3:DA42)+SUMPRODUCT((CZ3:CZ42=AO11)*(DC3:DC42=AO12)*DA3:DA42)</f>
        <v>1</v>
      </c>
      <c r="AU12" s="21">
        <f>AS12-AT12+1000</f>
        <v>1000</v>
      </c>
      <c r="AV12" s="21">
        <f t="shared" ref="AV12:AV14" si="18">IF(AO12&lt;&gt;"",AP12*3+AQ12*1,"")</f>
        <v>3</v>
      </c>
      <c r="AW12" s="21">
        <f>IF(AO12&lt;&gt;"",VLOOKUP(AO12,B4:H40,7,FALSE),"")</f>
        <v>998</v>
      </c>
      <c r="AX12" s="21">
        <f>IF(AO12&lt;&gt;"",VLOOKUP(AO12,B4:H40,5,FALSE),"")</f>
        <v>1</v>
      </c>
      <c r="AY12" s="21">
        <f>IF(AO12&lt;&gt;"",VLOOKUP(AO12,B4:J40,9,FALSE),"")</f>
        <v>36</v>
      </c>
      <c r="AZ12" s="21">
        <f t="shared" ref="AZ12:AZ14" si="19">AV12</f>
        <v>3</v>
      </c>
      <c r="BA12" s="21">
        <f>IF(AO12&lt;&gt;"",RANK(AZ12,AZ11:AZ15),"")</f>
        <v>1</v>
      </c>
      <c r="BB12" s="21">
        <f>IF(AO12&lt;&gt;"",SUMPRODUCT((AZ11:AZ15=AZ12)*(AU11:AU15&gt;AU12)),"")</f>
        <v>1</v>
      </c>
      <c r="BC12" s="21">
        <f>IF(AO12&lt;&gt;"",SUMPRODUCT((AZ11:AZ15=AZ12)*(AU11:AU15=AU12)*(AS11:AS15&gt;AS12)),"")</f>
        <v>0</v>
      </c>
      <c r="BD12" s="21">
        <f>IF(AO12&lt;&gt;"",SUMPRODUCT((AZ11:AZ15=AZ12)*(AU11:AU15=AU12)*(AS11:AS15=AS12)*(AW11:AW15&gt;AW12)),"")</f>
        <v>0</v>
      </c>
      <c r="BE12" s="21">
        <f>IF(AO12&lt;&gt;"",SUMPRODUCT((AZ11:AZ15=AZ12)*(AU11:AU15=AU12)*(AS11:AS15=AS12)*(AW11:AW15=AW12)*(AX11:AX15&gt;AX12)),"")</f>
        <v>0</v>
      </c>
      <c r="BF12" s="21">
        <f>IF(AO12&lt;&gt;"",SUMPRODUCT((AZ11:AZ15=AZ12)*(AU11:AU15=AU12)*(AS11:AS15=AS12)*(AW11:AW15=AW12)*(AX11:AX15=AX12)*(AY11:AY15&gt;AY12)),"")</f>
        <v>0</v>
      </c>
      <c r="BG12" s="21">
        <f>IF(AO12&lt;&gt;"",IF(BG52&lt;&gt;"",IF(AN50=3,BG52,BG52+AN50),SUM(BA12:BF12)+1),"")</f>
        <v>3</v>
      </c>
      <c r="BH12" s="21" t="str">
        <f>IF(AO12&lt;&gt;"",INDEX(AO12:AO15,MATCH(2,BG12:BG15,0),0),"")</f>
        <v>Denmark</v>
      </c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 t="str">
        <f>IF(BH12&lt;&gt;"",BH12,IF(AN12&lt;&gt;"",AN12,N12))</f>
        <v>Denmark</v>
      </c>
      <c r="CX12" s="21">
        <v>2</v>
      </c>
      <c r="CY12" s="21">
        <v>10</v>
      </c>
      <c r="CZ12" s="21" t="str">
        <f>Matches!E20</f>
        <v>Spain</v>
      </c>
      <c r="DA12" s="21">
        <f>IF(AND(Matches!F20&lt;&gt;"",Matches!G20&lt;&gt;""),Matches!F20,0)</f>
        <v>0</v>
      </c>
      <c r="DB12" s="21">
        <f>IF(AND(Matches!G20&lt;&gt;"",Matches!F20&lt;&gt;""),Matches!G20,0)</f>
        <v>0</v>
      </c>
      <c r="DC12" s="21" t="str">
        <f>Matches!H20</f>
        <v>Sweden</v>
      </c>
      <c r="DD12" s="21" t="str">
        <f>IF(AND(Matches!F20&lt;&gt;"",Matches!G20&lt;&gt;""),IF(DA12&gt;DB12,"W",IF(DA12=DB12,"D","L")),"")</f>
        <v>D</v>
      </c>
      <c r="DE12" s="21" t="str">
        <f t="shared" si="0"/>
        <v>D</v>
      </c>
      <c r="DF12" s="21"/>
      <c r="DG12" s="21"/>
      <c r="DH12" s="215" t="s">
        <v>86</v>
      </c>
      <c r="DI12" s="215"/>
      <c r="DJ12" s="215"/>
      <c r="DK12" s="215"/>
      <c r="DL12" s="216" t="s">
        <v>87</v>
      </c>
      <c r="DM12" s="216" t="s">
        <v>88</v>
      </c>
      <c r="DN12" s="216" t="s">
        <v>89</v>
      </c>
      <c r="DO12" s="216" t="s">
        <v>90</v>
      </c>
      <c r="DP12" s="217"/>
      <c r="DQ12" s="216" t="str">
        <f>Matches!AC43</f>
        <v>F</v>
      </c>
      <c r="DR12" s="218" t="str">
        <f>Matches!AC44</f>
        <v>D</v>
      </c>
      <c r="DS12" s="218" t="str">
        <f>Matches!AC45</f>
        <v>A</v>
      </c>
      <c r="DT12" s="218" t="str">
        <f>Matches!AC46</f>
        <v>C</v>
      </c>
      <c r="DU12" s="218"/>
      <c r="DV12" s="217"/>
      <c r="DW12" s="217"/>
      <c r="DX12" s="217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4"/>
      <c r="HZ12" s="214"/>
      <c r="IA12" s="21"/>
      <c r="IB12" s="21"/>
      <c r="IC12" s="21"/>
      <c r="ID12" s="21"/>
      <c r="IE12" s="21"/>
      <c r="IF12" s="215"/>
      <c r="IG12" s="215"/>
      <c r="IH12" s="215"/>
      <c r="II12" s="215"/>
      <c r="IJ12" s="216"/>
      <c r="IK12" s="216"/>
      <c r="IL12" s="216"/>
      <c r="IM12" s="216"/>
      <c r="IN12" s="217"/>
      <c r="IO12" s="216"/>
      <c r="IP12" s="218"/>
      <c r="IQ12" s="218"/>
      <c r="IR12" s="218"/>
      <c r="IS12" s="218"/>
      <c r="IT12" s="217"/>
      <c r="IU12" s="217"/>
      <c r="IV12" s="217"/>
    </row>
    <row r="13" spans="1:256" ht="14" x14ac:dyDescent="0.2">
      <c r="A13" s="21">
        <f>IF(IW21=0,VLOOKUP(B13,CW11:CX15,2,FALSE),1)</f>
        <v>2</v>
      </c>
      <c r="B13" s="21" t="str">
        <f>Matches!AH16</f>
        <v>Denmark</v>
      </c>
      <c r="C13" s="21">
        <f>SUMPRODUCT((CZ3:CZ42=B13)*(DD3:DD42="W"))+SUMPRODUCT((DC3:DC42=B13)*(DE3:DE42="W"))</f>
        <v>1</v>
      </c>
      <c r="D13" s="21">
        <f>SUMPRODUCT((CZ3:CZ42=B13)*(DD3:DD42="D"))+SUMPRODUCT((DC3:DC42=B13)*(DE3:DE42="D"))</f>
        <v>0</v>
      </c>
      <c r="E13" s="21">
        <f>SUMPRODUCT((CZ3:CZ42=B13)*(DD3:DD42="L"))+SUMPRODUCT((DC3:DC42=B13)*(DE3:DE42="L"))</f>
        <v>2</v>
      </c>
      <c r="F13" s="21">
        <f>SUMIF(CZ3:CZ60,B13,DA3:DA60)+SUMIF(DC3:DC60,B13,DB3:DB60)</f>
        <v>5</v>
      </c>
      <c r="G13" s="21">
        <f>SUMIF(DC3:DC60,B13,DA3:DA60)+SUMIF(CZ3:CZ60,B13,DB3:DB60)</f>
        <v>4</v>
      </c>
      <c r="H13" s="21">
        <f t="shared" si="13"/>
        <v>1001</v>
      </c>
      <c r="I13" s="21">
        <f t="shared" si="14"/>
        <v>3</v>
      </c>
      <c r="J13" s="21">
        <v>41</v>
      </c>
      <c r="K13" s="21">
        <f>IF(COUNTIF(I11:I15,4)&lt;&gt;4,RANK(I13,I11:I15),I53)</f>
        <v>2</v>
      </c>
      <c r="L13" s="21"/>
      <c r="M13" s="21" cm="1">
        <f t="array" ref="M13">SUMPRODUCT((K11:K14=K13)*(J11:J14&lt;J13))+K13</f>
        <v>3</v>
      </c>
      <c r="N13" s="21" t="str">
        <f>INDEX(B11:B15,MATCH(3,M11:M15,0),0)</f>
        <v>Denmark</v>
      </c>
      <c r="O13" s="21">
        <f>INDEX(K11:K15,MATCH(N13,B11:B15,0),0)</f>
        <v>2</v>
      </c>
      <c r="P13" s="21" t="str">
        <f>IF(AND(P12&lt;&gt;"",O13=1),N13,"")</f>
        <v/>
      </c>
      <c r="Q13" s="21" t="str">
        <f>IF(AND(Q12&lt;&gt;"",O14=2),N14,"")</f>
        <v>Russia</v>
      </c>
      <c r="R13" s="21" t="str">
        <f>IF(AND(R12&lt;&gt;"",O15=3),N15,"")</f>
        <v/>
      </c>
      <c r="S13" s="21"/>
      <c r="T13" s="21"/>
      <c r="U13" s="21" t="str">
        <f t="shared" si="17"/>
        <v/>
      </c>
      <c r="V13" s="21">
        <f>SUMPRODUCT((CZ3:CZ42=U13)*(DC3:DC42=U14)*(DD3:DD42="W"))+SUMPRODUCT((CZ3:CZ42=U13)*(DC3:DC42=U15)*(DD3:DD42="W"))+SUMPRODUCT((CZ3:CZ42=U13)*(DC3:DC42=U11)*(DD3:DD42="W"))+SUMPRODUCT((CZ3:CZ42=U13)*(DC3:DC42=U12)*(DD3:DD42="W"))+SUMPRODUCT((CZ3:CZ42=U14)*(DC3:DC42=U13)*(DE3:DE42="W"))+SUMPRODUCT((CZ3:CZ42=U15)*(DC3:DC42=U13)*(DE3:DE42="W"))+SUMPRODUCT((CZ3:CZ42=U11)*(DC3:DC42=U13)*(DE3:DE42="W"))+SUMPRODUCT((CZ3:CZ42=U12)*(DC3:DC42=U13)*(DE3:DE42="W"))</f>
        <v>0</v>
      </c>
      <c r="W13" s="21">
        <f>SUMPRODUCT((CZ3:CZ42=U13)*(DC3:DC42=U14)*(DD3:DD42="D"))+SUMPRODUCT((CZ3:CZ42=U13)*(DC3:DC42=U15)*(DD3:DD42="D"))+SUMPRODUCT((CZ3:CZ42=U13)*(DC3:DC42=U11)*(DD3:DD42="D"))+SUMPRODUCT((CZ3:CZ42=U13)*(DC3:DC42=U12)*(DD3:DD42="D"))+SUMPRODUCT((CZ3:CZ42=U14)*(DC3:DC42=U13)*(DD3:DD42="D"))+SUMPRODUCT((CZ3:CZ42=U15)*(DC3:DC42=U13)*(DD3:DD42="D"))+SUMPRODUCT((CZ3:CZ42=U11)*(DC3:DC42=U13)*(DD3:DD42="D"))+SUMPRODUCT((CZ3:CZ42=U12)*(DC3:DC42=U13)*(DD3:DD42="D"))</f>
        <v>0</v>
      </c>
      <c r="X13" s="21">
        <f>SUMPRODUCT((CZ3:CZ42=U13)*(DC3:DC42=U14)*(DD3:DD42="L"))+SUMPRODUCT((CZ3:CZ42=U13)*(DC3:DC42=U15)*(DD3:DD42="L"))+SUMPRODUCT((CZ3:CZ42=U13)*(DC3:DC42=U11)*(DD3:DD42="L"))+SUMPRODUCT((CZ3:CZ42=U13)*(DC3:DC42=U12)*(DD3:DD42="L"))+SUMPRODUCT((CZ3:CZ42=U14)*(DC3:DC42=U13)*(DE3:DE42="L"))+SUMPRODUCT((CZ3:CZ42=U15)*(DC3:DC42=U13)*(DE3:DE42="L"))+SUMPRODUCT((CZ3:CZ42=U11)*(DC3:DC42=U13)*(DE3:DE42="L"))+SUMPRODUCT((CZ3:CZ42=U12)*(DC3:DC42=U13)*(DE3:DE42="L"))</f>
        <v>0</v>
      </c>
      <c r="Y13" s="21">
        <f>SUMPRODUCT((CZ3:CZ42=U13)*(DC3:DC42=U14)*DA3:DA42)+SUMPRODUCT((CZ3:CZ42=U13)*(DC3:DC42=U15)*DA3:DA42)+SUMPRODUCT((CZ3:CZ42=U13)*(DC3:DC42=U11)*DA3:DA42)+SUMPRODUCT((CZ3:CZ42=U13)*(DC3:DC42=U12)*DA3:DA42)+SUMPRODUCT((CZ3:CZ42=U14)*(DC3:DC42=U13)*DB3:DB42)+SUMPRODUCT((CZ3:CZ42=U15)*(DC3:DC42=U13)*DB3:DB42)+SUMPRODUCT((CZ3:CZ42=U11)*(DC3:DC42=U13)*DB3:DB42)+SUMPRODUCT((CZ3:CZ42=U12)*(DC3:DC42=U13)*DB3:DB42)</f>
        <v>0</v>
      </c>
      <c r="Z13" s="21">
        <f>SUMPRODUCT((CZ3:CZ42=U13)*(DC3:DC42=U14)*DB3:DB42)+SUMPRODUCT((CZ3:CZ42=U13)*(DC3:DC42=U15)*DB3:DB42)+SUMPRODUCT((CZ3:CZ42=U13)*(DC3:DC42=U11)*DB3:DB42)+SUMPRODUCT((CZ3:CZ42=U13)*(DC3:DC42=U12)*DB3:DB42)+SUMPRODUCT((CZ3:CZ42=U14)*(DC3:DC42=U13)*DA3:DA42)+SUMPRODUCT((CZ3:CZ42=U15)*(DC3:DC42=U13)*DA3:DA42)+SUMPRODUCT((CZ3:CZ42=U11)*(DC3:DC42=U13)*DA3:DA42)+SUMPRODUCT((CZ3:CZ42=U12)*(DC3:DC42=U13)*DA3:DA42)</f>
        <v>0</v>
      </c>
      <c r="AA13" s="21">
        <f>Y13-Z13+1000</f>
        <v>1000</v>
      </c>
      <c r="AB13" s="21" t="str">
        <f t="shared" si="15"/>
        <v/>
      </c>
      <c r="AC13" s="21" t="str">
        <f>IF(U13&lt;&gt;"",VLOOKUP(U13,B4:H40,7,FALSE),"")</f>
        <v/>
      </c>
      <c r="AD13" s="21" t="str">
        <f>IF(U13&lt;&gt;"",VLOOKUP(U13,B4:H40,5,FALSE),"")</f>
        <v/>
      </c>
      <c r="AE13" s="21" t="str">
        <f>IF(U13&lt;&gt;"",VLOOKUP(U13,B4:J40,9,FALSE),"")</f>
        <v/>
      </c>
      <c r="AF13" s="21" t="str">
        <f t="shared" si="16"/>
        <v/>
      </c>
      <c r="AG13" s="21" t="str">
        <f>IF(U13&lt;&gt;"",RANK(AF13,AF11:AF15),"")</f>
        <v/>
      </c>
      <c r="AH13" s="21" t="str">
        <f>IF(U13&lt;&gt;"",SUMPRODUCT((AF11:AF15=AF13)*(AA11:AA15&gt;AA13)),"")</f>
        <v/>
      </c>
      <c r="AI13" s="21" t="str">
        <f>IF(U13&lt;&gt;"",SUMPRODUCT((AF11:AF15=AF13)*(AA11:AA15=AA13)*(Y11:Y15&gt;Y13)),"")</f>
        <v/>
      </c>
      <c r="AJ13" s="21" t="str">
        <f>IF(U13&lt;&gt;"",SUMPRODUCT((AF11:AF15=AF13)*(AA11:AA15=AA13)*(Y11:Y15=Y13)*(AC11:AC15&gt;AC13)),"")</f>
        <v/>
      </c>
      <c r="AK13" s="21" t="str">
        <f>IF(U13&lt;&gt;"",SUMPRODUCT((AF11:AF15=AF13)*(AA11:AA15=AA13)*(Y11:Y15=Y13)*(AC11:AC15=AC13)*(AD11:AD15&gt;AD13)),"")</f>
        <v/>
      </c>
      <c r="AL13" s="21" t="str">
        <f>IF(U13&lt;&gt;"",SUMPRODUCT((AF11:AF15=AF13)*(AA11:AA15=AA13)*(Y11:Y15=Y13)*(AC11:AC15=AC13)*(AD11:AD15=AD13)*(AE11:AE15&gt;AE13)),"")</f>
        <v/>
      </c>
      <c r="AM13" s="21" t="str">
        <f>IF(U13&lt;&gt;"",IF(AM53&lt;&gt;"",IF(T50=3,AM53,AM53+T50),SUM(AG13:AL13)),"")</f>
        <v/>
      </c>
      <c r="AN13" s="21" t="str">
        <f>IF(U13&lt;&gt;"",INDEX(U11:U15,MATCH(3,AM11:AM15,0),0),"")</f>
        <v/>
      </c>
      <c r="AO13" s="21" t="str">
        <f>IF(Q12&lt;&gt;"",Q12,"")</f>
        <v>Denmark</v>
      </c>
      <c r="AP13" s="21">
        <f>SUMPRODUCT((CZ3:CZ42=AO13)*(DC3:DC42=AO14)*(DD3:DD42="W"))+SUMPRODUCT((CZ3:CZ42=AO13)*(DC3:DC42=AO15)*(DD3:DD42="W"))+SUMPRODUCT((CZ3:CZ42=AO13)*(DC3:DC42=AO12)*(DD3:DD42="W"))+SUMPRODUCT((CZ3:CZ42=AO14)*(DC3:DC42=AO13)*(DE3:DE42="W"))+SUMPRODUCT((CZ3:CZ42=AO15)*(DC3:DC42=AO13)*(DE3:DE42="W"))+SUMPRODUCT((CZ3:CZ42=AO12)*(DC3:DC42=AO13)*(DE3:DE42="W"))</f>
        <v>1</v>
      </c>
      <c r="AQ13" s="21">
        <f>SUMPRODUCT((CZ3:CZ42=AO13)*(DC3:DC42=AO14)*(DD3:DD42="D"))+SUMPRODUCT((CZ3:CZ42=AO13)*(DC3:DC42=AO15)*(DD3:DD42="D"))+SUMPRODUCT((CZ3:CZ42=AO13)*(DC3:DC42=AO12)*(DD3:DD42="D"))+SUMPRODUCT((CZ3:CZ42=AO14)*(DC3:DC42=AO13)*(DD3:DD42="D"))+SUMPRODUCT((CZ3:CZ42=AO15)*(DC3:DC42=AO13)*(DD3:DD42="D"))+SUMPRODUCT((CZ3:CZ42=AO12)*(DC3:DC42=AO13)*(DD3:DD42="D"))</f>
        <v>0</v>
      </c>
      <c r="AR13" s="21">
        <f>SUMPRODUCT((CZ3:CZ42=AO13)*(DC3:DC42=AO14)*(DD3:DD42="L"))+SUMPRODUCT((CZ3:CZ42=AO13)*(DC3:DC42=AO15)*(DD3:DD42="L"))+SUMPRODUCT((CZ3:CZ42=AO13)*(DC3:DC42=AO12)*(DD3:DD42="L"))+SUMPRODUCT((CZ3:CZ42=AO14)*(DC3:DC42=AO13)*(DE3:DE42="L"))+SUMPRODUCT((CZ3:CZ42=AO15)*(DC3:DC42=AO13)*(DE3:DE42="L"))+SUMPRODUCT((CZ3:CZ42=AO12)*(DC3:DC42=AO13)*(DE3:DE42="L"))</f>
        <v>1</v>
      </c>
      <c r="AS13" s="21">
        <f>SUMPRODUCT((CZ3:CZ42=AO13)*(DC3:DC42=AO14)*DA3:DA42)+SUMPRODUCT((CZ3:CZ42=AO13)*(DC3:DC42=AO15)*DA3:DA42)+SUMPRODUCT((CZ3:CZ42=AO13)*(DC3:DC42=AO11)*DA3:DA42)+SUMPRODUCT((CZ3:CZ42=AO13)*(DC3:DC42=AO12)*DA3:DA42)+SUMPRODUCT((CZ3:CZ42=AO14)*(DC3:DC42=AO13)*DB3:DB42)+SUMPRODUCT((CZ3:CZ42=AO15)*(DC3:DC42=AO13)*DB3:DB42)+SUMPRODUCT((CZ3:CZ42=AO11)*(DC3:DC42=AO13)*DB3:DB42)+SUMPRODUCT((CZ3:CZ42=AO12)*(DC3:DC42=AO13)*DB3:DB42)</f>
        <v>4</v>
      </c>
      <c r="AT13" s="21">
        <f>SUMPRODUCT((CZ3:CZ42=AO13)*(DC3:DC42=AO14)*DB3:DB42)+SUMPRODUCT((CZ3:CZ42=AO13)*(DC3:DC42=AO15)*DB3:DB42)+SUMPRODUCT((CZ3:CZ42=AO13)*(DC3:DC42=AO11)*DB3:DB42)+SUMPRODUCT((CZ3:CZ42=AO13)*(DC3:DC42=AO12)*DB3:DB42)+SUMPRODUCT((CZ3:CZ42=AO14)*(DC3:DC42=AO13)*DA3:DA42)+SUMPRODUCT((CZ3:CZ42=AO15)*(DC3:DC42=AO13)*DA3:DA42)+SUMPRODUCT((CZ3:CZ42=AO11)*(DC3:DC42=AO13)*DA3:DA42)+SUMPRODUCT((CZ3:CZ42=AO12)*(DC3:DC42=AO13)*DA3:DA42)</f>
        <v>2</v>
      </c>
      <c r="AU13" s="21">
        <f>AS13-AT13+1000</f>
        <v>1002</v>
      </c>
      <c r="AV13" s="21">
        <f t="shared" si="18"/>
        <v>3</v>
      </c>
      <c r="AW13" s="21">
        <f>IF(AO13&lt;&gt;"",VLOOKUP(AO13,B4:H40,7,FALSE),"")</f>
        <v>1001</v>
      </c>
      <c r="AX13" s="21">
        <f>IF(AO13&lt;&gt;"",VLOOKUP(AO13,B4:H40,5,FALSE),"")</f>
        <v>5</v>
      </c>
      <c r="AY13" s="21">
        <f>IF(AO13&lt;&gt;"",VLOOKUP(AO13,B4:J40,9,FALSE),"")</f>
        <v>41</v>
      </c>
      <c r="AZ13" s="21">
        <f t="shared" si="19"/>
        <v>3</v>
      </c>
      <c r="BA13" s="21">
        <f>IF(AO13&lt;&gt;"",RANK(AZ13,AZ11:AZ15),"")</f>
        <v>1</v>
      </c>
      <c r="BB13" s="21">
        <f>IF(AO13&lt;&gt;"",SUMPRODUCT((AZ11:AZ15=AZ13)*(AU11:AU15&gt;AU13)),"")</f>
        <v>0</v>
      </c>
      <c r="BC13" s="21">
        <f>IF(AO13&lt;&gt;"",SUMPRODUCT((AZ11:AZ15=AZ13)*(AU11:AU15=AU13)*(AS11:AS15&gt;AS13)),"")</f>
        <v>0</v>
      </c>
      <c r="BD13" s="21">
        <f>IF(AO13&lt;&gt;"",SUMPRODUCT((AZ11:AZ15=AZ13)*(AU11:AU15=AU13)*(AS11:AS15=AS13)*(AW11:AW15&gt;AW13)),"")</f>
        <v>0</v>
      </c>
      <c r="BE13" s="21">
        <f>IF(AO13&lt;&gt;"",SUMPRODUCT((AZ11:AZ15=AZ13)*(AU11:AU15=AU13)*(AS11:AS15=AS13)*(AW11:AW15=AW13)*(AX11:AX15&gt;AX13)),"")</f>
        <v>0</v>
      </c>
      <c r="BF13" s="21">
        <f>IF(AO13&lt;&gt;"",SUMPRODUCT((AZ11:AZ15=AZ13)*(AU11:AU15=AU13)*(AS11:AS15=AS13)*(AW11:AW15=AW13)*(AX11:AX15=AX13)*(AY11:AY15&gt;AY13)),"")</f>
        <v>0</v>
      </c>
      <c r="BG13" s="21">
        <f>IF(AO13&lt;&gt;"",IF(BG53&lt;&gt;"",IF(AN50=3,BG53,BG53+AN50),SUM(BA13:BF13)+1),"")</f>
        <v>2</v>
      </c>
      <c r="BH13" s="21" t="str">
        <f>IF(AO13&lt;&gt;"",INDEX(AO12:AO15,MATCH(3,BG12:BG15,0),0),"")</f>
        <v>Finland</v>
      </c>
      <c r="BI13" s="21" t="str">
        <f>IF(R11&lt;&gt;"",R11,"")</f>
        <v/>
      </c>
      <c r="BJ13" s="21">
        <f>SUMPRODUCT((CZ3:CZ42=BI13)*(DC3:DC42=BI14)*(DD3:DD42="W"))+SUMPRODUCT((CZ3:CZ42=BI13)*(DC3:DC42=BI15)*(DD3:DD42="W"))+SUMPRODUCT((CZ3:CZ42=BI13)*(DC3:DC42=BI16)*(DD3:DD42="W"))+SUMPRODUCT((CZ3:CZ42=BI14)*(DC3:DC42=BI13)*(DE3:DE42="W"))+SUMPRODUCT((CZ3:CZ42=BI15)*(DC3:DC42=BI13)*(DE3:DE42="W"))+SUMPRODUCT((CZ3:CZ42=BI16)*(DC3:DC42=BI13)*(DE3:DE42="W"))</f>
        <v>0</v>
      </c>
      <c r="BK13" s="21">
        <f>SUMPRODUCT((CZ3:CZ42=BI13)*(DC3:DC42=BI14)*(DD3:DD42="D"))+SUMPRODUCT((CZ3:CZ42=BI13)*(DC3:DC42=BI15)*(DD3:DD42="D"))+SUMPRODUCT((CZ3:CZ42=BI13)*(DC3:DC42=BI16)*(DD3:DD42="D"))+SUMPRODUCT((CZ3:CZ42=BI14)*(DC3:DC42=BI13)*(DD3:DD42="D"))+SUMPRODUCT((CZ3:CZ42=BI15)*(DC3:DC42=BI13)*(DD3:DD42="D"))+SUMPRODUCT((CZ3:CZ42=BI16)*(DC3:DC42=BI13)*(DD3:DD42="D"))</f>
        <v>0</v>
      </c>
      <c r="BL13" s="21">
        <f>SUMPRODUCT((CZ3:CZ42=BI13)*(DC3:DC42=BI14)*(DD3:DD42="L"))+SUMPRODUCT((CZ3:CZ42=BI13)*(DC3:DC42=BI15)*(DD3:DD42="L"))+SUMPRODUCT((CZ3:CZ42=BI13)*(DC3:DC42=BI16)*(DD3:DD42="L"))+SUMPRODUCT((CZ3:CZ42=BI14)*(DC3:DC42=BI13)*(DE3:DE42="L"))+SUMPRODUCT((CZ3:CZ42=BI15)*(DC3:DC42=BI13)*(DE3:DE42="L"))+SUMPRODUCT((CZ3:CZ42=BI16)*(DC3:DC42=BI13)*(DE3:DE42="L"))</f>
        <v>0</v>
      </c>
      <c r="BM13" s="21">
        <f>SUMPRODUCT((CZ3:CZ42=BI13)*(DC3:DC42=BI14)*DA3:DA42)+SUMPRODUCT((CZ3:CZ42=BI13)*(DC3:DC42=BI15)*DA3:DA42)+SUMPRODUCT((CZ3:CZ42=BI13)*(DC3:DC42=BI11)*DA3:DA42)+SUMPRODUCT((CZ3:CZ42=BI13)*(DC3:DC42=BI12)*DA3:DA42)+SUMPRODUCT((CZ3:CZ42=BI14)*(DC3:DC42=BI13)*DB3:DB42)+SUMPRODUCT((CZ3:CZ42=BI15)*(DC3:DC42=BI13)*DB3:DB42)+SUMPRODUCT((CZ3:CZ42=BI11)*(DC3:DC42=BI13)*DB3:DB42)+SUMPRODUCT((CZ3:CZ42=BI12)*(DC3:DC42=BI13)*DB3:DB42)</f>
        <v>0</v>
      </c>
      <c r="BN13" s="21">
        <f>SUMPRODUCT((CZ3:CZ42=BI13)*(DC3:DC42=BI14)*DB3:DB42)+SUMPRODUCT((CZ3:CZ42=BI13)*(DC3:DC42=BI15)*DB3:DB42)+SUMPRODUCT((CZ3:CZ42=BI13)*(DC3:DC42=BI11)*DB3:DB42)+SUMPRODUCT((CZ3:CZ42=BI13)*(DC3:DC42=BI12)*DB3:DB42)+SUMPRODUCT((CZ3:CZ42=BI14)*(DC3:DC42=BI13)*DA3:DA42)+SUMPRODUCT((CZ3:CZ42=BI15)*(DC3:DC42=BI13)*DA3:DA42)+SUMPRODUCT((CZ3:CZ42=BI11)*(DC3:DC42=BI13)*DA3:DA42)+SUMPRODUCT((CZ3:CZ42=BI12)*(DC3:DC42=BI13)*DA3:DA42)</f>
        <v>0</v>
      </c>
      <c r="BO13" s="21">
        <f>BM13-BN13+1000</f>
        <v>1000</v>
      </c>
      <c r="BP13" s="21" t="str">
        <f t="shared" ref="BP13:BP14" si="20">IF(BI13&lt;&gt;"",BJ13*3+BK13*1,"")</f>
        <v/>
      </c>
      <c r="BQ13" s="21" t="str">
        <f>IF(BI13&lt;&gt;"",VLOOKUP(BI13,B4:H40,7,FALSE),"")</f>
        <v/>
      </c>
      <c r="BR13" s="21" t="str">
        <f>IF(BI13&lt;&gt;"",VLOOKUP(BI13,B4:H40,5,FALSE),"")</f>
        <v/>
      </c>
      <c r="BS13" s="21" t="str">
        <f>IF(BI13&lt;&gt;"",VLOOKUP(BI13,B4:J40,9,FALSE),"")</f>
        <v/>
      </c>
      <c r="BT13" s="21" t="str">
        <f t="shared" ref="BT13:BT14" si="21">BP13</f>
        <v/>
      </c>
      <c r="BU13" s="21" t="str">
        <f>IF(BI13&lt;&gt;"",RANK(BT13,BT11:BT15),"")</f>
        <v/>
      </c>
      <c r="BV13" s="21" t="str">
        <f>IF(BI13&lt;&gt;"",SUMPRODUCT((BT11:BT15=BT13)*(BO11:BO15&gt;BO13)),"")</f>
        <v/>
      </c>
      <c r="BW13" s="21" t="str">
        <f>IF(BI13&lt;&gt;"",SUMPRODUCT((BT11:BT15=BT13)*(BO11:BO15=BO13)*(BM11:BM15&gt;BM13)),"")</f>
        <v/>
      </c>
      <c r="BX13" s="21" t="str">
        <f>IF(BI13&lt;&gt;"",SUMPRODUCT((BT11:BT15=BT13)*(BO11:BO15=BO13)*(BM11:BM15=BM13)*(BQ11:BQ15&gt;BQ13)),"")</f>
        <v/>
      </c>
      <c r="BY13" s="21" t="str">
        <f>IF(BI13&lt;&gt;"",SUMPRODUCT((BT11:BT15=BT13)*(BO11:BO15=BO13)*(BM11:BM15=BM13)*(BQ11:BQ15=BQ13)*(BR11:BR15&gt;BR13)),"")</f>
        <v/>
      </c>
      <c r="BZ13" s="21" t="str">
        <f>IF(BI13&lt;&gt;"",SUMPRODUCT((BT11:BT15=BT13)*(BO11:BO15=BO13)*(BM11:BM15=BM13)*(BQ11:BQ15=BQ13)*(BR11:BR15=BR13)*(BS11:BS15&gt;BS13)),"")</f>
        <v/>
      </c>
      <c r="CA13" s="21" t="str">
        <f>IF(BI13&lt;&gt;"",SUM(BU13:BZ13)+2,"")</f>
        <v/>
      </c>
      <c r="CB13" s="21" t="str">
        <f>IF(BI13&lt;&gt;"",INDEX(BI13:BI15,MATCH(3,CA13:CA15,0),0),"")</f>
        <v/>
      </c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 t="str">
        <f>IF(CB13&lt;&gt;"",CB13,IF(BH13&lt;&gt;"",BH13,IF(AN13&lt;&gt;"",AN13,N13)))</f>
        <v>Finland</v>
      </c>
      <c r="CX13" s="21">
        <v>3</v>
      </c>
      <c r="CY13" s="21">
        <v>11</v>
      </c>
      <c r="CZ13" s="21" t="str">
        <f>Matches!E21</f>
        <v>Hungary</v>
      </c>
      <c r="DA13" s="21">
        <f>IF(AND(Matches!F21&lt;&gt;"",Matches!G21&lt;&gt;""),Matches!F21,0)</f>
        <v>0</v>
      </c>
      <c r="DB13" s="21">
        <f>IF(AND(Matches!G21&lt;&gt;"",Matches!F21&lt;&gt;""),Matches!G21,0)</f>
        <v>3</v>
      </c>
      <c r="DC13" s="21" t="str">
        <f>Matches!H21</f>
        <v>Portugal</v>
      </c>
      <c r="DD13" s="21" t="str">
        <f>IF(AND(Matches!F21&lt;&gt;"",Matches!G21&lt;&gt;""),IF(DA13&gt;DB13,"W",IF(DA13=DB13,"D","L")),"")</f>
        <v>L</v>
      </c>
      <c r="DE13" s="21" t="str">
        <f t="shared" si="0"/>
        <v>W</v>
      </c>
      <c r="DF13" s="21"/>
      <c r="DG13" s="21"/>
      <c r="DH13" s="216" t="s">
        <v>42</v>
      </c>
      <c r="DI13" s="217" t="s">
        <v>46</v>
      </c>
      <c r="DJ13" s="217" t="s">
        <v>48</v>
      </c>
      <c r="DK13" s="217" t="s">
        <v>39</v>
      </c>
      <c r="DL13" s="216" t="s">
        <v>42</v>
      </c>
      <c r="DM13" s="216" t="s">
        <v>39</v>
      </c>
      <c r="DN13" s="216" t="s">
        <v>46</v>
      </c>
      <c r="DO13" s="216" t="s">
        <v>48</v>
      </c>
      <c r="DP13" s="217"/>
      <c r="DQ13" s="218">
        <f>IFERROR(MATCH(DQ12,DH13:DK13,0),0)</f>
        <v>0</v>
      </c>
      <c r="DR13" s="218">
        <f>IFERROR(MATCH(DR12,DH13:DK13,0),0)</f>
        <v>4</v>
      </c>
      <c r="DS13" s="218">
        <f>IFERROR(MATCH(DS12,DH13:DK13,0),0)</f>
        <v>1</v>
      </c>
      <c r="DT13" s="218">
        <f>IFERROR(MATCH(DT12,DH13:DK13,0),0)</f>
        <v>3</v>
      </c>
      <c r="DU13" s="218">
        <f t="shared" ref="DU13:DU27" si="22">SUM(DQ13:DT13)</f>
        <v>8</v>
      </c>
      <c r="DV13" s="217"/>
      <c r="DW13" s="217" t="str">
        <f>INDEX(DH3:DH8,MATCH(1,DU3:DU8,0),0)</f>
        <v>Portugal</v>
      </c>
      <c r="DX13" s="217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4"/>
      <c r="HZ13" s="214"/>
      <c r="IA13" s="21"/>
      <c r="IB13" s="21"/>
      <c r="IC13" s="21"/>
      <c r="ID13" s="21"/>
      <c r="IE13" s="21"/>
      <c r="IF13" s="216"/>
      <c r="IG13" s="217"/>
      <c r="IH13" s="217"/>
      <c r="II13" s="217"/>
      <c r="IJ13" s="216"/>
      <c r="IK13" s="216"/>
      <c r="IL13" s="216"/>
      <c r="IM13" s="216"/>
      <c r="IN13" s="217"/>
      <c r="IO13" s="218"/>
      <c r="IP13" s="218"/>
      <c r="IQ13" s="218"/>
      <c r="IR13" s="218"/>
      <c r="IS13" s="218"/>
      <c r="IT13" s="217"/>
      <c r="IU13" s="217"/>
      <c r="IV13" s="217"/>
    </row>
    <row r="14" spans="1:256" ht="14" x14ac:dyDescent="0.2">
      <c r="A14" s="21">
        <f>VLOOKUP(B14,CW11:CX15,2,FALSE)</f>
        <v>3</v>
      </c>
      <c r="B14" s="21" t="str">
        <f>Matches!AH17</f>
        <v>Finland</v>
      </c>
      <c r="C14" s="21">
        <f>SUMPRODUCT((CZ3:CZ42=B14)*(DD3:DD42="W"))+SUMPRODUCT((DC3:DC42=B14)*(DE3:DE42="W"))</f>
        <v>1</v>
      </c>
      <c r="D14" s="21">
        <f>SUMPRODUCT((CZ3:CZ42=B14)*(DD3:DD42="D"))+SUMPRODUCT((DC3:DC42=B14)*(DE3:DE42="D"))</f>
        <v>0</v>
      </c>
      <c r="E14" s="21">
        <f>SUMPRODUCT((CZ3:CZ42=B14)*(DD3:DD42="L"))+SUMPRODUCT((DC3:DC42=B14)*(DE3:DE42="L"))</f>
        <v>2</v>
      </c>
      <c r="F14" s="21">
        <f>SUMIF(CZ3:CZ60,B14,DA3:DA60)+SUMIF(DC3:DC60,B14,DB3:DB60)</f>
        <v>1</v>
      </c>
      <c r="G14" s="21">
        <f>SUMIF(DC3:DC60,B14,DA3:DA60)+SUMIF(CZ3:CZ60,B14,DB3:DB60)</f>
        <v>3</v>
      </c>
      <c r="H14" s="21">
        <f t="shared" si="13"/>
        <v>998</v>
      </c>
      <c r="I14" s="21">
        <f t="shared" si="14"/>
        <v>3</v>
      </c>
      <c r="J14" s="21">
        <v>36</v>
      </c>
      <c r="K14" s="21">
        <f>IF(COUNTIF(I11:I15,4)&lt;&gt;4,RANK(I14,I11:I15),I54)</f>
        <v>2</v>
      </c>
      <c r="L14" s="21"/>
      <c r="M14" s="21">
        <f>SUMPRODUCT((K11:K14=K14)*(J11:J14&lt;J14))+K14</f>
        <v>2</v>
      </c>
      <c r="N14" s="21" t="str">
        <f>INDEX(B11:B15,MATCH(4,M11:M15,0),0)</f>
        <v>Russia</v>
      </c>
      <c r="O14" s="21">
        <f>INDEX(K11:K15,MATCH(N14,B11:B15,0),0)</f>
        <v>2</v>
      </c>
      <c r="P14" s="21" t="str">
        <f>IF(AND(P13&lt;&gt;"",O14=1),N14,"")</f>
        <v/>
      </c>
      <c r="Q14" s="21" t="str">
        <f>IF(AND(Q13&lt;&gt;"",O15=2),N15,"")</f>
        <v/>
      </c>
      <c r="R14" s="21"/>
      <c r="S14" s="21"/>
      <c r="T14" s="21"/>
      <c r="U14" s="21" t="str">
        <f t="shared" si="17"/>
        <v/>
      </c>
      <c r="V14" s="21">
        <f>SUMPRODUCT((CZ3:CZ42=U14)*(DC3:DC42=U15)*(DD3:DD42="W"))+SUMPRODUCT((CZ3:CZ42=U14)*(DC3:DC42=U11)*(DD3:DD42="W"))+SUMPRODUCT((CZ3:CZ42=U14)*(DC3:DC42=U12)*(DD3:DD42="W"))+SUMPRODUCT((CZ3:CZ42=U14)*(DC3:DC42=U13)*(DD3:DD42="W"))+SUMPRODUCT((CZ3:CZ42=U15)*(DC3:DC42=U14)*(DE3:DE42="W"))+SUMPRODUCT((CZ3:CZ42=U11)*(DC3:DC42=U14)*(DE3:DE42="W"))+SUMPRODUCT((CZ3:CZ42=U12)*(DC3:DC42=U14)*(DE3:DE42="W"))+SUMPRODUCT((CZ3:CZ42=U13)*(DC3:DC42=U14)*(DE3:DE42="W"))</f>
        <v>0</v>
      </c>
      <c r="W14" s="21">
        <f>SUMPRODUCT((CZ3:CZ42=U14)*(DC3:DC42=U15)*(DD3:DD42="D"))+SUMPRODUCT((CZ3:CZ42=U14)*(DC3:DC42=U11)*(DD3:DD42="D"))+SUMPRODUCT((CZ3:CZ42=U14)*(DC3:DC42=U12)*(DD3:DD42="D"))+SUMPRODUCT((CZ3:CZ42=U14)*(DC3:DC42=U13)*(DD3:DD42="D"))+SUMPRODUCT((CZ3:CZ42=U15)*(DC3:DC42=U14)*(DD3:DD42="D"))+SUMPRODUCT((CZ3:CZ42=U11)*(DC3:DC42=U14)*(DD3:DD42="D"))+SUMPRODUCT((CZ3:CZ42=U12)*(DC3:DC42=U14)*(DD3:DD42="D"))+SUMPRODUCT((CZ3:CZ42=U13)*(DC3:DC42=U14)*(DD3:DD42="D"))</f>
        <v>0</v>
      </c>
      <c r="X14" s="21">
        <f>SUMPRODUCT((CZ3:CZ42=U14)*(DC3:DC42=U15)*(DD3:DD42="L"))+SUMPRODUCT((CZ3:CZ42=U14)*(DC3:DC42=U11)*(DD3:DD42="L"))+SUMPRODUCT((CZ3:CZ42=U14)*(DC3:DC42=U12)*(DD3:DD42="L"))+SUMPRODUCT((CZ3:CZ42=U14)*(DC3:DC42=U13)*(DD3:DD42="L"))+SUMPRODUCT((CZ3:CZ42=U15)*(DC3:DC42=U14)*(DE3:DE42="L"))+SUMPRODUCT((CZ3:CZ42=U11)*(DC3:DC42=U14)*(DE3:DE42="L"))+SUMPRODUCT((CZ3:CZ42=U12)*(DC3:DC42=U14)*(DE3:DE42="L"))+SUMPRODUCT((CZ3:CZ42=U13)*(DC3:DC42=U14)*(DE3:DE42="L"))</f>
        <v>0</v>
      </c>
      <c r="Y14" s="21">
        <f>SUMPRODUCT((CZ3:CZ42=U14)*(DC3:DC42=U15)*DA3:DA42)+SUMPRODUCT((CZ3:CZ42=U14)*(DC3:DC42=U11)*DA3:DA42)+SUMPRODUCT((CZ3:CZ42=U14)*(DC3:DC42=U12)*DA3:DA42)+SUMPRODUCT((CZ3:CZ42=U14)*(DC3:DC42=U13)*DA3:DA42)+SUMPRODUCT((CZ3:CZ42=U15)*(DC3:DC42=U14)*DB3:DB42)+SUMPRODUCT((CZ3:CZ42=U11)*(DC3:DC42=U14)*DB3:DB42)+SUMPRODUCT((CZ3:CZ42=U12)*(DC3:DC42=U14)*DB3:DB42)+SUMPRODUCT((CZ3:CZ42=U13)*(DC3:DC42=U14)*DB3:DB42)</f>
        <v>0</v>
      </c>
      <c r="Z14" s="21">
        <f>SUMPRODUCT((CZ3:CZ42=U14)*(DC3:DC42=U15)*DB3:DB42)+SUMPRODUCT((CZ3:CZ42=U14)*(DC3:DC42=U11)*DB3:DB42)+SUMPRODUCT((CZ3:CZ42=U14)*(DC3:DC42=U12)*DB3:DB42)+SUMPRODUCT((CZ3:CZ42=U14)*(DC3:DC42=U13)*DB3:DB42)+SUMPRODUCT((CZ3:CZ42=U15)*(DC3:DC42=U14)*DA3:DA42)+SUMPRODUCT((CZ3:CZ42=U11)*(DC3:DC42=U14)*DA3:DA42)+SUMPRODUCT((CZ3:CZ42=U12)*(DC3:DC42=U14)*DA3:DA42)+SUMPRODUCT((CZ3:CZ42=U13)*(DC3:DC42=U14)*DA3:DA42)</f>
        <v>0</v>
      </c>
      <c r="AA14" s="21">
        <f>Y14-Z14+1000</f>
        <v>1000</v>
      </c>
      <c r="AB14" s="21" t="str">
        <f t="shared" si="15"/>
        <v/>
      </c>
      <c r="AC14" s="21" t="str">
        <f>IF(U14&lt;&gt;"",VLOOKUP(U14,B4:H40,7,FALSE),"")</f>
        <v/>
      </c>
      <c r="AD14" s="21" t="str">
        <f>IF(U14&lt;&gt;"",VLOOKUP(U14,B4:H40,5,FALSE),"")</f>
        <v/>
      </c>
      <c r="AE14" s="21" t="str">
        <f>IF(U14&lt;&gt;"",VLOOKUP(U14,B4:J40,9,FALSE),"")</f>
        <v/>
      </c>
      <c r="AF14" s="21" t="str">
        <f t="shared" si="16"/>
        <v/>
      </c>
      <c r="AG14" s="21" t="str">
        <f>IF(U14&lt;&gt;"",RANK(AF14,AF11:AF15),"")</f>
        <v/>
      </c>
      <c r="AH14" s="21" t="str">
        <f>IF(U14&lt;&gt;"",SUMPRODUCT((AF11:AF15=AF14)*(AA11:AA15&gt;AA14)),"")</f>
        <v/>
      </c>
      <c r="AI14" s="21" t="str">
        <f>IF(U14&lt;&gt;"",SUMPRODUCT((AF11:AF15=AF14)*(AA11:AA15=AA14)*(Y11:Y15&gt;Y14)),"")</f>
        <v/>
      </c>
      <c r="AJ14" s="21" t="str">
        <f>IF(U14&lt;&gt;"",SUMPRODUCT((AF11:AF15=AF14)*(AA11:AA15=AA14)*(Y11:Y15=Y14)*(AC11:AC15&gt;AC14)),"")</f>
        <v/>
      </c>
      <c r="AK14" s="21" t="str">
        <f>IF(U14&lt;&gt;"",SUMPRODUCT((AF11:AF15=AF14)*(AA11:AA15=AA14)*(Y11:Y15=Y14)*(AC11:AC15=AC14)*(AD11:AD15&gt;AD14)),"")</f>
        <v/>
      </c>
      <c r="AL14" s="21" t="str">
        <f>IF(U14&lt;&gt;"",SUMPRODUCT((AF11:AF15=AF14)*(AA11:AA15=AA14)*(Y11:Y15=Y14)*(AC11:AC15=AC14)*(AD11:AD15=AD14)*(AE11:AE15&gt;AE14)),"")</f>
        <v/>
      </c>
      <c r="AM14" s="21" t="str">
        <f>IF(U14&lt;&gt;"",IF(AM54&lt;&gt;"",IF(T50=3,AM54,AM54+T50),SUM(AG14:AL14)),"")</f>
        <v/>
      </c>
      <c r="AN14" s="21" t="str">
        <f>IF(U14&lt;&gt;"",INDEX(U11:U15,MATCH(4,AM11:AM15,0),0),"")</f>
        <v/>
      </c>
      <c r="AO14" s="21" t="str">
        <f>IF(Q13&lt;&gt;"",Q13,"")</f>
        <v>Russia</v>
      </c>
      <c r="AP14" s="21">
        <f>IF(AO14&lt;&gt;"",SUMPRODUCT((CZ3:CZ42=AO14)*(DC3:DC42=AO15)*(DD3:DD42="W"))+SUMPRODUCT((CZ3:CZ42=AO14)*(DC3:DC42=AO12)*(DD3:DD42="W"))+SUMPRODUCT((CZ3:CZ42=AO14)*(DC3:DC42=AO13)*(DD3:DD42="W"))+SUMPRODUCT((CZ3:CZ42=AO15)*(DC3:DC42=AO14)*(DE3:DE42="W"))+SUMPRODUCT((CZ3:CZ42=AO12)*(DC3:DC42=AO14)*(DE3:DE42="W"))+SUMPRODUCT((CZ3:CZ42=AO13)*(DC3:DC42=AO14)*(DE3:DE42="W")),"")</f>
        <v>1</v>
      </c>
      <c r="AQ14" s="21">
        <f>IF(AO14&lt;&gt;"",SUMPRODUCT((CZ3:CZ42=AO14)*(DC3:DC42=AO15)*(DD3:DD42="D"))+SUMPRODUCT((CZ3:CZ42=AO14)*(DC3:DC42=AO12)*(DD3:DD42="D"))+SUMPRODUCT((CZ3:CZ42=AO14)*(DC3:DC42=AO13)*(DD3:DD42="D"))+SUMPRODUCT((CZ3:CZ42=AO15)*(DC3:DC42=AO14)*(DD3:DD42="D"))+SUMPRODUCT((CZ3:CZ42=AO12)*(DC3:DC42=AO14)*(DD3:DD42="D"))+SUMPRODUCT((CZ3:CZ42=AO13)*(DC3:DC42=AO14)*(DD3:DD42="D")),"")</f>
        <v>0</v>
      </c>
      <c r="AR14" s="21">
        <f>IF(AO14&lt;&gt;"",SUMPRODUCT((CZ3:CZ42=AO14)*(DC3:DC42=AO15)*(DD3:DD42="L"))+SUMPRODUCT((CZ3:CZ42=AO14)*(DC3:DC42=AO12)*(DD3:DD42="L"))+SUMPRODUCT((CZ3:CZ42=AO14)*(DC3:DC42=AO13)*(DD3:DD42="L"))+SUMPRODUCT((CZ3:CZ42=AO15)*(DC3:DC42=AO14)*(DE3:DE42="L"))+SUMPRODUCT((CZ3:CZ42=AO12)*(DC3:DC42=AO14)*(DE3:DE42="L"))+SUMPRODUCT((CZ3:CZ42=AO13)*(DC3:DC42=AO14)*(DE3:DE42="L")),"")</f>
        <v>1</v>
      </c>
      <c r="AS14" s="21">
        <f>SUMPRODUCT((CZ3:CZ42=AO14)*(DC3:DC42=AO15)*DA3:DA42)+SUMPRODUCT((CZ3:CZ42=AO14)*(DC3:DC42=AO11)*DA3:DA42)+SUMPRODUCT((CZ3:CZ42=AO14)*(DC3:DC42=AO12)*DA3:DA42)+SUMPRODUCT((CZ3:CZ42=AO14)*(DC3:DC42=AO13)*DA3:DA42)+SUMPRODUCT((CZ3:CZ42=AO15)*(DC3:DC42=AO14)*DB3:DB42)+SUMPRODUCT((CZ3:CZ42=AO11)*(DC3:DC42=AO14)*DB3:DB42)+SUMPRODUCT((CZ3:CZ42=AO12)*(DC3:DC42=AO14)*DB3:DB42)+SUMPRODUCT((CZ3:CZ42=AO13)*(DC3:DC42=AO14)*DB3:DB42)</f>
        <v>2</v>
      </c>
      <c r="AT14" s="21">
        <f>SUMPRODUCT((CZ3:CZ42=AO14)*(DC3:DC42=AO15)*DB3:DB42)+SUMPRODUCT((CZ3:CZ42=AO14)*(DC3:DC42=AO11)*DB3:DB42)+SUMPRODUCT((CZ3:CZ42=AO14)*(DC3:DC42=AO12)*DB3:DB42)+SUMPRODUCT((CZ3:CZ42=AO14)*(DC3:DC42=AO13)*DB3:DB42)+SUMPRODUCT((CZ3:CZ42=AO15)*(DC3:DC42=AO14)*DA3:DA42)+SUMPRODUCT((CZ3:CZ42=AO11)*(DC3:DC42=AO14)*DA3:DA42)+SUMPRODUCT((CZ3:CZ42=AO12)*(DC3:DC42=AO14)*DA3:DA42)+SUMPRODUCT((CZ3:CZ42=AO13)*(DC3:DC42=AO14)*DA3:DA42)</f>
        <v>4</v>
      </c>
      <c r="AU14" s="21">
        <f>AS14-AT14+1000</f>
        <v>998</v>
      </c>
      <c r="AV14" s="21">
        <f t="shared" si="18"/>
        <v>3</v>
      </c>
      <c r="AW14" s="21">
        <f>IF(AO14&lt;&gt;"",VLOOKUP(AO14,B4:H40,7,FALSE),"")</f>
        <v>995</v>
      </c>
      <c r="AX14" s="21">
        <f>IF(AO14&lt;&gt;"",VLOOKUP(AO14,B4:H40,5,FALSE),"")</f>
        <v>2</v>
      </c>
      <c r="AY14" s="21">
        <f>IF(AO14&lt;&gt;"",VLOOKUP(AO14,B4:J40,9,FALSE),"")</f>
        <v>44</v>
      </c>
      <c r="AZ14" s="21">
        <f t="shared" si="19"/>
        <v>3</v>
      </c>
      <c r="BA14" s="21">
        <f>IF(AO14&lt;&gt;"",RANK(AZ14,AZ11:AZ15),"")</f>
        <v>1</v>
      </c>
      <c r="BB14" s="21">
        <f>IF(AO14&lt;&gt;"",SUMPRODUCT((AZ11:AZ15=AZ14)*(AU11:AU15&gt;AU14)),"")</f>
        <v>2</v>
      </c>
      <c r="BC14" s="21">
        <f>IF(AO14&lt;&gt;"",SUMPRODUCT((AZ11:AZ15=AZ14)*(AU11:AU15=AU14)*(AS11:AS15&gt;AS14)),"")</f>
        <v>0</v>
      </c>
      <c r="BD14" s="21">
        <f>IF(AO14&lt;&gt;"",SUMPRODUCT((AZ11:AZ15=AZ14)*(AU11:AU15=AU14)*(AS11:AS15=AS14)*(AW11:AW15&gt;AW14)),"")</f>
        <v>0</v>
      </c>
      <c r="BE14" s="21">
        <f>IF(AO14&lt;&gt;"",SUMPRODUCT((AZ11:AZ15=AZ14)*(AU11:AU15=AU14)*(AS11:AS15=AS14)*(AW11:AW15=AW14)*(AX11:AX15&gt;AX14)),"")</f>
        <v>0</v>
      </c>
      <c r="BF14" s="21">
        <f>IF(AO14&lt;&gt;"",SUMPRODUCT((AZ11:AZ15=AZ14)*(AU11:AU15=AU14)*(AS11:AS15=AS14)*(AW11:AW15=AW14)*(AX11:AX15=AX14)*(AY11:AY15&gt;AY14)),"")</f>
        <v>0</v>
      </c>
      <c r="BG14" s="21">
        <f>IF(AO14&lt;&gt;"",IF(BG54&lt;&gt;"",IF(AN50=3,BG54,BG54+AN50),SUM(BA14:BF14)+1),"")</f>
        <v>4</v>
      </c>
      <c r="BH14" s="21" t="str">
        <f>IF(AO14&lt;&gt;"",INDEX(AO12:AO15,MATCH(4,BG12:BG15,0),0),"")</f>
        <v>Russia</v>
      </c>
      <c r="BI14" s="21" t="str">
        <f>IF(R12&lt;&gt;"",R12,"")</f>
        <v/>
      </c>
      <c r="BJ14" s="21">
        <f>SUMPRODUCT((CZ3:CZ42=BI14)*(DC3:DC42=BI15)*(DD3:DD42="W"))+SUMPRODUCT((CZ3:CZ42=BI14)*(DC3:DC42=BI16)*(DD3:DD42="W"))+SUMPRODUCT((CZ3:CZ42=BI14)*(DC3:DC42=BI13)*(DD3:DD42="W"))+SUMPRODUCT((CZ3:CZ42=BI15)*(DC3:DC42=BI14)*(DE3:DE42="W"))+SUMPRODUCT((CZ3:CZ42=BI16)*(DC3:DC42=BI14)*(DE3:DE42="W"))+SUMPRODUCT((CZ3:CZ42=BI13)*(DC3:DC42=BI14)*(DE3:DE42="W"))</f>
        <v>0</v>
      </c>
      <c r="BK14" s="21">
        <f>SUMPRODUCT((CZ3:CZ42=BI14)*(DC3:DC42=BI15)*(DD3:DD42="D"))+SUMPRODUCT((CZ3:CZ42=BI14)*(DC3:DC42=BI16)*(DD3:DD42="D"))+SUMPRODUCT((CZ3:CZ42=BI14)*(DC3:DC42=BI13)*(DD3:DD42="D"))+SUMPRODUCT((CZ3:CZ42=BI15)*(DC3:DC42=BI14)*(DD3:DD42="D"))+SUMPRODUCT((CZ3:CZ42=BI16)*(DC3:DC42=BI14)*(DD3:DD42="D"))+SUMPRODUCT((CZ3:CZ42=BI13)*(DC3:DC42=BI14)*(DD3:DD42="D"))</f>
        <v>0</v>
      </c>
      <c r="BL14" s="21">
        <f>SUMPRODUCT((CZ3:CZ42=BI14)*(DC3:DC42=BI15)*(DD3:DD42="L"))+SUMPRODUCT((CZ3:CZ42=BI14)*(DC3:DC42=BI16)*(DD3:DD42="L"))+SUMPRODUCT((CZ3:CZ42=BI14)*(DC3:DC42=BI13)*(DD3:DD42="L"))+SUMPRODUCT((CZ3:CZ42=BI15)*(DC3:DC42=BI14)*(DE3:DE42="L"))+SUMPRODUCT((CZ3:CZ42=BI16)*(DC3:DC42=BI14)*(DE3:DE42="L"))+SUMPRODUCT((CZ3:CZ42=BI13)*(DC3:DC42=BI14)*(DE3:DE42="L"))</f>
        <v>0</v>
      </c>
      <c r="BM14" s="21">
        <f>SUMPRODUCT((CZ3:CZ42=BI14)*(DC3:DC42=BI15)*DA3:DA42)+SUMPRODUCT((CZ3:CZ42=BI14)*(DC3:DC42=BI11)*DA3:DA42)+SUMPRODUCT((CZ3:CZ42=BI14)*(DC3:DC42=BI12)*DA3:DA42)+SUMPRODUCT((CZ3:CZ42=BI14)*(DC3:DC42=BI13)*DA3:DA42)+SUMPRODUCT((CZ3:CZ42=BI15)*(DC3:DC42=BI14)*DB3:DB42)+SUMPRODUCT((CZ3:CZ42=BI11)*(DC3:DC42=BI14)*DB3:DB42)+SUMPRODUCT((CZ3:CZ42=BI12)*(DC3:DC42=BI14)*DB3:DB42)+SUMPRODUCT((CZ3:CZ42=BI13)*(DC3:DC42=BI14)*DB3:DB42)</f>
        <v>0</v>
      </c>
      <c r="BN14" s="21">
        <f>SUMPRODUCT((CZ3:CZ42=BI14)*(DC3:DC42=BI15)*DB3:DB42)+SUMPRODUCT((CZ3:CZ42=BI14)*(DC3:DC42=BI11)*DB3:DB42)+SUMPRODUCT((CZ3:CZ42=BI14)*(DC3:DC42=BI12)*DB3:DB42)+SUMPRODUCT((CZ3:CZ42=BI14)*(DC3:DC42=BI13)*DB3:DB42)+SUMPRODUCT((CZ3:CZ42=BI15)*(DC3:DC42=BI14)*DA3:DA42)+SUMPRODUCT((CZ3:CZ42=BI11)*(DC3:DC42=BI14)*DA3:DA42)+SUMPRODUCT((CZ3:CZ42=BI12)*(DC3:DC42=BI14)*DA3:DA42)+SUMPRODUCT((CZ3:CZ42=BI13)*(DC3:DC42=BI14)*DA3:DA42)</f>
        <v>0</v>
      </c>
      <c r="BO14" s="21">
        <f>BM14-BN14+1000</f>
        <v>1000</v>
      </c>
      <c r="BP14" s="21" t="str">
        <f t="shared" si="20"/>
        <v/>
      </c>
      <c r="BQ14" s="21" t="str">
        <f>IF(BI14&lt;&gt;"",VLOOKUP(BI14,B4:H40,7,FALSE),"")</f>
        <v/>
      </c>
      <c r="BR14" s="21" t="str">
        <f>IF(BI14&lt;&gt;"",VLOOKUP(BI14,B4:H40,5,FALSE),"")</f>
        <v/>
      </c>
      <c r="BS14" s="21" t="str">
        <f>IF(BI14&lt;&gt;"",VLOOKUP(BI14,B4:J40,9,FALSE),"")</f>
        <v/>
      </c>
      <c r="BT14" s="21" t="str">
        <f t="shared" si="21"/>
        <v/>
      </c>
      <c r="BU14" s="21" t="str">
        <f>IF(BI14&lt;&gt;"",RANK(BT14,BT11:BT15),"")</f>
        <v/>
      </c>
      <c r="BV14" s="21" t="str">
        <f>IF(BI14&lt;&gt;"",SUMPRODUCT((BT11:BT15=BT14)*(BO11:BO15&gt;BO14)),"")</f>
        <v/>
      </c>
      <c r="BW14" s="21" t="str">
        <f>IF(BI14&lt;&gt;"",SUMPRODUCT((BT11:BT15=BT14)*(BO11:BO15=BO14)*(BM11:BM15&gt;BM14)),"")</f>
        <v/>
      </c>
      <c r="BX14" s="21" t="str">
        <f>IF(BI14&lt;&gt;"",SUMPRODUCT((BT11:BT15=BT14)*(BO11:BO15=BO14)*(BM11:BM15=BM14)*(BQ11:BQ15&gt;BQ14)),"")</f>
        <v/>
      </c>
      <c r="BY14" s="21" t="str">
        <f>IF(BI14&lt;&gt;"",SUMPRODUCT((BT11:BT15=BT14)*(BO11:BO15=BO14)*(BM11:BM15=BM14)*(BQ11:BQ15=BQ14)*(BR11:BR15&gt;BR14)),"")</f>
        <v/>
      </c>
      <c r="BZ14" s="21" t="str">
        <f>IF(BI14&lt;&gt;"",SUMPRODUCT((BT11:BT15=BT14)*(BO11:BO15=BO14)*(BM11:BM15=BM14)*(BQ11:BQ15=BQ14)*(BR11:BR15=BR14)*(BS11:BS15&gt;BS14)),"")</f>
        <v/>
      </c>
      <c r="CA14" s="21" t="str">
        <f>IF(BI14&lt;&gt;"",SUM(BU14:BZ14)+2,"")</f>
        <v/>
      </c>
      <c r="CB14" s="21" t="str">
        <f>IF(BI14&lt;&gt;"",INDEX(BI13:BI15,MATCH(4,CA13:CA15,0),0),"")</f>
        <v/>
      </c>
      <c r="CC14" s="21" t="str">
        <f>IF(S11&lt;&gt;"",S11,"")</f>
        <v/>
      </c>
      <c r="CD14" s="21">
        <f>SUMPRODUCT((CZ3:CZ42=CC14)*(DC3:DC42=CC15)*(DD3:DD42="W"))+SUMPRODUCT((CZ3:CZ42=CC14)*(DC3:DC42=CC16)*(DD3:DD42="W"))+SUMPRODUCT((CZ3:CZ42=CC14)*(DC3:DC42=CC17)*(DD3:DD42="W"))+SUMPRODUCT((CZ3:CZ42=CC15)*(DC3:DC42=CC14)*(DE3:DE42="W"))+SUMPRODUCT((CZ3:CZ42=CC16)*(DC3:DC42=CC14)*(DE3:DE42="W"))+SUMPRODUCT((CZ3:CZ42=CC17)*(DC3:DC42=CC14)*(DE3:DE42="W"))</f>
        <v>0</v>
      </c>
      <c r="CE14" s="21">
        <f>SUMPRODUCT((CZ3:CZ42=CC14)*(DC3:DC42=CC15)*(DD3:DD42="D"))+SUMPRODUCT((CZ3:CZ42=CC14)*(DC3:DC42=CC16)*(DD3:DD42="D"))+SUMPRODUCT((CZ3:CZ42=CC14)*(DC3:DC42=CC17)*(DD3:DD42="D"))+SUMPRODUCT((CZ3:CZ42=CC15)*(DC3:DC42=CC14)*(DD3:DD42="D"))+SUMPRODUCT((CZ3:CZ42=CC16)*(DC3:DC42=CC14)*(DD3:DD42="D"))+SUMPRODUCT((CZ3:CZ42=CC17)*(DC3:DC42=CC14)*(DD3:DD42="D"))</f>
        <v>0</v>
      </c>
      <c r="CF14" s="21">
        <f>SUMPRODUCT((CZ3:CZ42=CC14)*(DC3:DC42=CC15)*(DD3:DD42="L"))+SUMPRODUCT((CZ3:CZ42=CC14)*(DC3:DC42=CC16)*(DD3:DD42="L"))+SUMPRODUCT((CZ3:CZ42=CC14)*(DC3:DC42=CC17)*(DD3:DD42="L"))+SUMPRODUCT((CZ3:CZ42=CC15)*(DC3:DC42=CC14)*(DE3:DE42="L"))+SUMPRODUCT((CZ3:CZ42=CC16)*(DC3:DC42=CC14)*(DE3:DE42="L"))+SUMPRODUCT((CZ3:CZ42=CC17)*(DC3:DC42=CC14)*(DE3:DE42="L"))</f>
        <v>0</v>
      </c>
      <c r="CG14" s="21">
        <f>SUMPRODUCT((CZ3:CZ42=CC14)*(DC3:DC42=CC15)*DA3:DA42)+SUMPRODUCT((CZ3:CZ42=CC14)*(DC3:DC42=CC11)*DA3:DA42)+SUMPRODUCT((CZ3:CZ42=CC14)*(DC3:DC42=CC12)*DA3:DA42)+SUMPRODUCT((CZ3:CZ42=CC14)*(DC3:DC42=CC13)*DA3:DA42)+SUMPRODUCT((CZ3:CZ42=CC15)*(DC3:DC42=CC14)*DB3:DB42)+SUMPRODUCT((CZ3:CZ42=CC11)*(DC3:DC42=CC14)*DB3:DB42)+SUMPRODUCT((CZ3:CZ42=CC12)*(DC3:DC42=CC14)*DB3:DB42)+SUMPRODUCT((CZ3:CZ42=CC13)*(DC3:DC42=CC14)*DB3:DB42)</f>
        <v>0</v>
      </c>
      <c r="CH14" s="21">
        <f>SUMPRODUCT((CZ3:CZ42=CC14)*(DC3:DC42=CC15)*DB3:DB42)+SUMPRODUCT((CZ3:CZ42=CC14)*(DC3:DC42=CC11)*DB3:DB42)+SUMPRODUCT((CZ3:CZ42=CC14)*(DC3:DC42=CC12)*DB3:DB42)+SUMPRODUCT((CZ3:CZ42=CC14)*(DC3:DC42=CC13)*DB3:DB42)+SUMPRODUCT((CZ3:CZ42=CC15)*(DC3:DC42=CC14)*DA3:DA42)+SUMPRODUCT((CZ3:CZ42=CC11)*(DC3:DC42=CC14)*DA3:DA42)+SUMPRODUCT((CZ3:CZ42=CC12)*(DC3:DC42=CC14)*DA3:DA42)+SUMPRODUCT((CZ3:CZ42=CC13)*(DC3:DC42=CC14)*DA3:DA42)</f>
        <v>0</v>
      </c>
      <c r="CI14" s="21">
        <f>CG14-CH14+1000</f>
        <v>1000</v>
      </c>
      <c r="CJ14" s="21" t="str">
        <f t="shared" ref="CJ14" si="23">IF(CC14&lt;&gt;"",CD14*3+CE14*1,"")</f>
        <v/>
      </c>
      <c r="CK14" s="21" t="str">
        <f>IF(CC14&lt;&gt;"",VLOOKUP(CC14,B4:H40,7,FALSE),"")</f>
        <v/>
      </c>
      <c r="CL14" s="21" t="str">
        <f>IF(CC14&lt;&gt;"",VLOOKUP(CC14,B4:H40,5,FALSE),"")</f>
        <v/>
      </c>
      <c r="CM14" s="21" t="str">
        <f>IF(CC14&lt;&gt;"",VLOOKUP(CC14,B4:J40,9,FALSE),"")</f>
        <v/>
      </c>
      <c r="CN14" s="21" t="str">
        <f t="shared" ref="CN14" si="24">CJ14</f>
        <v/>
      </c>
      <c r="CO14" s="21" t="str">
        <f>IF(CC14&lt;&gt;"",RANK(CN14,CN11:CN15),"")</f>
        <v/>
      </c>
      <c r="CP14" s="21" t="str">
        <f>IF(CC14&lt;&gt;"",SUMPRODUCT((CN11:CN15=CN14)*(CI11:CI15&gt;CI14)),"")</f>
        <v/>
      </c>
      <c r="CQ14" s="21" t="str">
        <f>IF(CC14&lt;&gt;"",SUMPRODUCT((CN11:CN15=CN14)*(CI11:CI15=CI14)*(CG11:CG15&gt;CG14)),"")</f>
        <v/>
      </c>
      <c r="CR14" s="21" t="str">
        <f>IF(CC14&lt;&gt;"",SUMPRODUCT((CN11:CN15=CN14)*(CI11:CI15=CI14)*(CG11:CG15=CG14)*(CK11:CK15&gt;CK14)),"")</f>
        <v/>
      </c>
      <c r="CS14" s="21" t="str">
        <f>IF(CC14&lt;&gt;"",SUMPRODUCT((CN11:CN15=CN14)*(CI11:CI15=CI14)*(CG11:CG15=CG14)*(CK11:CK15=CK14)*(CL11:CL15&gt;CL14)),"")</f>
        <v/>
      </c>
      <c r="CT14" s="21" t="str">
        <f>IF(CC14&lt;&gt;"",SUMPRODUCT((CN11:CN15=CN14)*(CI11:CI15=CI14)*(CG11:CG15=CG14)*(CK11:CK15=CK14)*(CL11:CL15=CL14)*(CM11:CM15&gt;CM14)),"")</f>
        <v/>
      </c>
      <c r="CU14" s="21" t="str">
        <f>IF(CC14&lt;&gt;"",SUM(CO14:CT14)+3,"")</f>
        <v/>
      </c>
      <c r="CV14" s="21" t="str">
        <f>IF(CC14&lt;&gt;"",IF(CU14=4,CC14,CC15),"")</f>
        <v/>
      </c>
      <c r="CW14" s="21" t="str">
        <f>IF(CV14&lt;&gt;"",CV14,IF(CB14&lt;&gt;"",CB14,IF(BH14&lt;&gt;"",BH14,IF(AN14&lt;&gt;"",AN14,N14))))</f>
        <v>Russia</v>
      </c>
      <c r="CX14" s="21">
        <v>4</v>
      </c>
      <c r="CY14" s="21">
        <v>12</v>
      </c>
      <c r="CZ14" s="21" t="str">
        <f>Matches!E22</f>
        <v>France</v>
      </c>
      <c r="DA14" s="21">
        <f>IF(AND(Matches!F22&lt;&gt;"",Matches!G22&lt;&gt;""),Matches!F22,0)</f>
        <v>1</v>
      </c>
      <c r="DB14" s="21">
        <f>IF(AND(Matches!G22&lt;&gt;"",Matches!F22&lt;&gt;""),Matches!G22,0)</f>
        <v>0</v>
      </c>
      <c r="DC14" s="21" t="str">
        <f>Matches!H22</f>
        <v>Germany</v>
      </c>
      <c r="DD14" s="21" t="str">
        <f>IF(AND(Matches!F22&lt;&gt;"",Matches!G22&lt;&gt;""),IF(DA14&gt;DB14,"W",IF(DA14=DB14,"D","L")),"")</f>
        <v>W</v>
      </c>
      <c r="DE14" s="21" t="str">
        <f t="shared" si="0"/>
        <v>L</v>
      </c>
      <c r="DF14" s="21"/>
      <c r="DG14" s="21"/>
      <c r="DH14" s="216" t="s">
        <v>42</v>
      </c>
      <c r="DI14" s="217" t="s">
        <v>46</v>
      </c>
      <c r="DJ14" s="217" t="s">
        <v>48</v>
      </c>
      <c r="DK14" s="217" t="s">
        <v>49</v>
      </c>
      <c r="DL14" s="216" t="s">
        <v>42</v>
      </c>
      <c r="DM14" s="216" t="s">
        <v>49</v>
      </c>
      <c r="DN14" s="216" t="s">
        <v>46</v>
      </c>
      <c r="DO14" s="216" t="s">
        <v>48</v>
      </c>
      <c r="DP14" s="217"/>
      <c r="DQ14" s="218">
        <f>IFERROR(MATCH(DQ12,DH14:DK14,0),0)</f>
        <v>0</v>
      </c>
      <c r="DR14" s="218">
        <f>IFERROR(MATCH(DR12,DH14:DK14,0),0)</f>
        <v>0</v>
      </c>
      <c r="DS14" s="218">
        <f>IFERROR(MATCH(DS12,DH14:DK14,0),0)</f>
        <v>1</v>
      </c>
      <c r="DT14" s="218">
        <f>IFERROR(MATCH(DT12,DH14:DK14,0),0)</f>
        <v>3</v>
      </c>
      <c r="DU14" s="218">
        <f t="shared" si="22"/>
        <v>4</v>
      </c>
      <c r="DV14" s="217"/>
      <c r="DW14" s="217" t="str">
        <f>INDEX(DH3:DH8,MATCH(2,DU3:DU8,0),0)</f>
        <v>Czech Republic</v>
      </c>
      <c r="DX14" s="217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4"/>
      <c r="HZ14" s="214"/>
      <c r="IA14" s="21"/>
      <c r="IB14" s="21"/>
      <c r="IC14" s="21"/>
      <c r="ID14" s="21"/>
      <c r="IE14" s="21"/>
      <c r="IF14" s="216"/>
      <c r="IG14" s="217"/>
      <c r="IH14" s="217"/>
      <c r="II14" s="217"/>
      <c r="IJ14" s="216"/>
      <c r="IK14" s="216"/>
      <c r="IL14" s="216"/>
      <c r="IM14" s="216"/>
      <c r="IN14" s="217"/>
      <c r="IO14" s="218"/>
      <c r="IP14" s="218"/>
      <c r="IQ14" s="218"/>
      <c r="IR14" s="218"/>
      <c r="IS14" s="218"/>
      <c r="IT14" s="217"/>
      <c r="IU14" s="217"/>
      <c r="IV14" s="217"/>
    </row>
    <row r="15" spans="1:256" ht="14" x14ac:dyDescent="0.2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>
        <v>13</v>
      </c>
      <c r="CZ15" s="21" t="str">
        <f>Matches!E23</f>
        <v>Finland</v>
      </c>
      <c r="DA15" s="21">
        <f>IF(AND(Matches!F23&lt;&gt;"",Matches!G23&lt;&gt;""),Matches!F23,0)</f>
        <v>0</v>
      </c>
      <c r="DB15" s="21">
        <f>IF(AND(Matches!G23&lt;&gt;"",Matches!F23&lt;&gt;""),Matches!G23,0)</f>
        <v>1</v>
      </c>
      <c r="DC15" s="21" t="str">
        <f>Matches!H23</f>
        <v>Russia</v>
      </c>
      <c r="DD15" s="21" t="str">
        <f>IF(AND(Matches!F23&lt;&gt;"",Matches!G23&lt;&gt;""),IF(DA15&gt;DB15,"W",IF(DA15=DB15,"D","L")),"")</f>
        <v>L</v>
      </c>
      <c r="DE15" s="21" t="str">
        <f t="shared" si="0"/>
        <v>W</v>
      </c>
      <c r="DF15" s="21"/>
      <c r="DG15" s="21"/>
      <c r="DH15" s="216" t="s">
        <v>42</v>
      </c>
      <c r="DI15" s="217" t="s">
        <v>46</v>
      </c>
      <c r="DJ15" s="217" t="s">
        <v>48</v>
      </c>
      <c r="DK15" s="217" t="s">
        <v>41</v>
      </c>
      <c r="DL15" s="216" t="s">
        <v>42</v>
      </c>
      <c r="DM15" s="216" t="s">
        <v>41</v>
      </c>
      <c r="DN15" s="216" t="s">
        <v>46</v>
      </c>
      <c r="DO15" s="216" t="s">
        <v>48</v>
      </c>
      <c r="DP15" s="217"/>
      <c r="DQ15" s="218">
        <f>IFERROR(MATCH(DQ12,DH15:DK15,0),0)</f>
        <v>4</v>
      </c>
      <c r="DR15" s="218">
        <f>IFERROR(MATCH(DR12,DH15:DK15,0),0)</f>
        <v>0</v>
      </c>
      <c r="DS15" s="218">
        <f>IFERROR(MATCH(DS12,DH15:DK15,0),0)</f>
        <v>1</v>
      </c>
      <c r="DT15" s="218">
        <f>IFERROR(MATCH(DT12,DH15:DK15,0),0)</f>
        <v>3</v>
      </c>
      <c r="DU15" s="218">
        <f t="shared" si="22"/>
        <v>8</v>
      </c>
      <c r="DV15" s="217"/>
      <c r="DW15" s="217" t="str">
        <f>INDEX(DH3:DH8,MATCH(3,DU3:DU8,0),0)</f>
        <v>Switzerland</v>
      </c>
      <c r="DX15" s="217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214"/>
      <c r="HZ15" s="214"/>
      <c r="IA15" s="21"/>
      <c r="IB15" s="21"/>
      <c r="IC15" s="21"/>
      <c r="ID15" s="21"/>
      <c r="IE15" s="21"/>
      <c r="IF15" s="216"/>
      <c r="IG15" s="217"/>
      <c r="IH15" s="217"/>
      <c r="II15" s="217"/>
      <c r="IJ15" s="216"/>
      <c r="IK15" s="216"/>
      <c r="IL15" s="216"/>
      <c r="IM15" s="216"/>
      <c r="IN15" s="217"/>
      <c r="IO15" s="218"/>
      <c r="IP15" s="218"/>
      <c r="IQ15" s="218"/>
      <c r="IR15" s="218"/>
      <c r="IS15" s="218"/>
      <c r="IT15" s="217"/>
      <c r="IU15" s="217"/>
      <c r="IV15" s="217"/>
    </row>
    <row r="16" spans="1:256" ht="14" x14ac:dyDescent="0.2">
      <c r="A16" s="21"/>
      <c r="B16" s="21"/>
      <c r="C16" s="21"/>
      <c r="D16" s="21"/>
      <c r="E16" s="21"/>
      <c r="F16" s="21" t="s">
        <v>91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>
        <v>14</v>
      </c>
      <c r="CZ16" s="21" t="str">
        <f>Matches!E24</f>
        <v>Turkey</v>
      </c>
      <c r="DA16" s="21">
        <f>IF(AND(Matches!F24&lt;&gt;"",Matches!G24&lt;&gt;""),Matches!F24,0)</f>
        <v>0</v>
      </c>
      <c r="DB16" s="21">
        <f>IF(AND(Matches!G24&lt;&gt;"",Matches!F24&lt;&gt;""),Matches!G24,0)</f>
        <v>2</v>
      </c>
      <c r="DC16" s="21" t="str">
        <f>Matches!H24</f>
        <v>Wales</v>
      </c>
      <c r="DD16" s="21" t="str">
        <f>IF(AND(Matches!F24&lt;&gt;"",Matches!G24&lt;&gt;""),IF(DA16&gt;DB16,"W",IF(DA16=DB16,"D","L")),"")</f>
        <v>L</v>
      </c>
      <c r="DE16" s="21" t="str">
        <f t="shared" si="0"/>
        <v>W</v>
      </c>
      <c r="DF16" s="21"/>
      <c r="DG16" s="21"/>
      <c r="DH16" s="216" t="s">
        <v>42</v>
      </c>
      <c r="DI16" s="217" t="s">
        <v>46</v>
      </c>
      <c r="DJ16" s="217" t="s">
        <v>39</v>
      </c>
      <c r="DK16" s="217" t="s">
        <v>49</v>
      </c>
      <c r="DL16" s="216" t="s">
        <v>39</v>
      </c>
      <c r="DM16" s="216" t="s">
        <v>49</v>
      </c>
      <c r="DN16" s="216" t="s">
        <v>42</v>
      </c>
      <c r="DO16" s="216" t="s">
        <v>46</v>
      </c>
      <c r="DP16" s="217"/>
      <c r="DQ16" s="218">
        <f>IFERROR(MATCH(DQ12,DH16:DK16,0),0)</f>
        <v>0</v>
      </c>
      <c r="DR16" s="218">
        <f>IFERROR(MATCH(DR12,DH16:DK16,0),0)</f>
        <v>3</v>
      </c>
      <c r="DS16" s="218">
        <f>IFERROR(MATCH(DS12,DH16:DK16,0),0)</f>
        <v>1</v>
      </c>
      <c r="DT16" s="218">
        <f>IFERROR(MATCH(DT12,DH16:DK16,0),0)</f>
        <v>0</v>
      </c>
      <c r="DU16" s="218">
        <f t="shared" si="22"/>
        <v>4</v>
      </c>
      <c r="DV16" s="217"/>
      <c r="DW16" s="217" t="str">
        <f>INDEX(DH3:DH8,MATCH(4,DU3:DU8,0),0)</f>
        <v>Ukraine</v>
      </c>
      <c r="DX16" s="217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214"/>
      <c r="HZ16" s="214"/>
      <c r="IA16" s="21"/>
      <c r="IB16" s="21"/>
      <c r="IC16" s="21"/>
      <c r="ID16" s="21"/>
      <c r="IE16" s="21"/>
      <c r="IF16" s="216"/>
      <c r="IG16" s="217"/>
      <c r="IH16" s="217"/>
      <c r="II16" s="217"/>
      <c r="IJ16" s="216"/>
      <c r="IK16" s="216"/>
      <c r="IL16" s="216"/>
      <c r="IM16" s="216"/>
      <c r="IN16" s="217"/>
      <c r="IO16" s="218"/>
      <c r="IP16" s="218"/>
      <c r="IQ16" s="218"/>
      <c r="IR16" s="218"/>
      <c r="IS16" s="218"/>
      <c r="IT16" s="217"/>
      <c r="IU16" s="217"/>
      <c r="IV16" s="217"/>
    </row>
    <row r="17" spans="1:256" ht="14" x14ac:dyDescent="0.2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>
        <v>15</v>
      </c>
      <c r="CZ17" s="21" t="str">
        <f>Matches!E25</f>
        <v>Italy</v>
      </c>
      <c r="DA17" s="21">
        <f>IF(AND(Matches!F25&lt;&gt;"",Matches!G25&lt;&gt;""),Matches!F25,0)</f>
        <v>3</v>
      </c>
      <c r="DB17" s="21">
        <f>IF(AND(Matches!G25&lt;&gt;"",Matches!F25&lt;&gt;""),Matches!G25,0)</f>
        <v>0</v>
      </c>
      <c r="DC17" s="21" t="str">
        <f>Matches!H25</f>
        <v>Switzerland</v>
      </c>
      <c r="DD17" s="21" t="str">
        <f>IF(AND(Matches!F25&lt;&gt;"",Matches!G25&lt;&gt;""),IF(DA17&gt;DB17,"W",IF(DA17=DB17,"D","L")),"")</f>
        <v>W</v>
      </c>
      <c r="DE17" s="21" t="str">
        <f t="shared" si="0"/>
        <v>L</v>
      </c>
      <c r="DF17" s="21"/>
      <c r="DG17" s="21"/>
      <c r="DH17" s="216" t="s">
        <v>42</v>
      </c>
      <c r="DI17" s="217" t="s">
        <v>46</v>
      </c>
      <c r="DJ17" s="217" t="s">
        <v>39</v>
      </c>
      <c r="DK17" s="217" t="s">
        <v>41</v>
      </c>
      <c r="DL17" s="216" t="s">
        <v>39</v>
      </c>
      <c r="DM17" s="216" t="s">
        <v>41</v>
      </c>
      <c r="DN17" s="216" t="s">
        <v>42</v>
      </c>
      <c r="DO17" s="216" t="s">
        <v>46</v>
      </c>
      <c r="DP17" s="217"/>
      <c r="DQ17" s="218">
        <f>IFERROR(MATCH(DQ12,DH17:DK17,0),0)</f>
        <v>4</v>
      </c>
      <c r="DR17" s="218">
        <f>IFERROR(MATCH(DR12,DH17:DK17,0),0)</f>
        <v>3</v>
      </c>
      <c r="DS17" s="218">
        <f>IFERROR(MATCH(DS12,DH17:DK17,0),0)</f>
        <v>1</v>
      </c>
      <c r="DT17" s="218">
        <f>IFERROR(MATCH(DT12,DH17:DK17,0),0)</f>
        <v>0</v>
      </c>
      <c r="DU17" s="218">
        <f t="shared" si="22"/>
        <v>8</v>
      </c>
      <c r="DV17" s="217"/>
      <c r="DW17" s="217"/>
      <c r="DX17" s="217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  <c r="GR17" s="21"/>
      <c r="GS17" s="21"/>
      <c r="GT17" s="21"/>
      <c r="GU17" s="21"/>
      <c r="GV17" s="21"/>
      <c r="GW17" s="21"/>
      <c r="GX17" s="21"/>
      <c r="GY17" s="21"/>
      <c r="GZ17" s="21"/>
      <c r="HA17" s="21"/>
      <c r="HB17" s="21"/>
      <c r="HC17" s="21"/>
      <c r="HD17" s="21"/>
      <c r="HE17" s="21"/>
      <c r="HF17" s="21"/>
      <c r="HG17" s="21"/>
      <c r="HH17" s="21"/>
      <c r="HI17" s="21"/>
      <c r="HJ17" s="21"/>
      <c r="HK17" s="21"/>
      <c r="HL17" s="21"/>
      <c r="HM17" s="21"/>
      <c r="HN17" s="21"/>
      <c r="HO17" s="21"/>
      <c r="HP17" s="21"/>
      <c r="HQ17" s="21"/>
      <c r="HR17" s="21"/>
      <c r="HS17" s="21"/>
      <c r="HT17" s="21"/>
      <c r="HU17" s="21"/>
      <c r="HV17" s="21"/>
      <c r="HW17" s="21"/>
      <c r="HX17" s="21"/>
      <c r="HY17" s="214"/>
      <c r="HZ17" s="214"/>
      <c r="IA17" s="21"/>
      <c r="IB17" s="21"/>
      <c r="IC17" s="21"/>
      <c r="ID17" s="21"/>
      <c r="IE17" s="21"/>
      <c r="IF17" s="216"/>
      <c r="IG17" s="217"/>
      <c r="IH17" s="217"/>
      <c r="II17" s="217"/>
      <c r="IJ17" s="216"/>
      <c r="IK17" s="216"/>
      <c r="IL17" s="216"/>
      <c r="IM17" s="216"/>
      <c r="IN17" s="217"/>
      <c r="IO17" s="218"/>
      <c r="IP17" s="218"/>
      <c r="IQ17" s="218"/>
      <c r="IR17" s="218"/>
      <c r="IS17" s="218"/>
      <c r="IT17" s="217"/>
      <c r="IU17" s="217"/>
      <c r="IV17" s="217"/>
    </row>
    <row r="18" spans="1:256" ht="14" x14ac:dyDescent="0.2">
      <c r="A18" s="21">
        <f>VLOOKUP(B18,CW18:CX22,2,FALSE)</f>
        <v>1</v>
      </c>
      <c r="B18" s="21" t="str">
        <f>Matches!AH18</f>
        <v>Netherlands</v>
      </c>
      <c r="C18" s="21">
        <f>SUMPRODUCT((CZ3:CZ42=B18)*(DD3:DD42="W"))+SUMPRODUCT((DC3:DC42=B18)*(DE3:DE42="W"))</f>
        <v>3</v>
      </c>
      <c r="D18" s="21">
        <f>SUMPRODUCT((CZ3:CZ42=B18)*(DD3:DD42="D"))+SUMPRODUCT((DC3:DC42=B18)*(DE3:DE42="D"))</f>
        <v>0</v>
      </c>
      <c r="E18" s="21">
        <f>SUMPRODUCT((CZ3:CZ42=B18)*(DD3:DD42="L"))+SUMPRODUCT((DC3:DC42=B18)*(DE3:DE42="L"))</f>
        <v>0</v>
      </c>
      <c r="F18" s="21">
        <f>SUMIF(CZ3:CZ60,B18,DA3:DA60)+SUMIF(DC3:DC60,B18,DB3:DB60)</f>
        <v>8</v>
      </c>
      <c r="G18" s="21">
        <f>SUMIF(DC3:DC60,B18,DA3:DA60)+SUMIF(CZ3:CZ60,B18,DB3:DB60)</f>
        <v>2</v>
      </c>
      <c r="H18" s="21">
        <f t="shared" ref="H18:H21" si="25">F18-G18+1000</f>
        <v>1006</v>
      </c>
      <c r="I18" s="21">
        <f t="shared" ref="I18:I21" si="26">C18*3+D18*1</f>
        <v>9</v>
      </c>
      <c r="J18" s="21">
        <v>45</v>
      </c>
      <c r="K18" s="21">
        <f>IF(COUNTIF(I18:I22,4)&lt;&gt;4,RANK(I18,I18:I22),I58)</f>
        <v>1</v>
      </c>
      <c r="L18" s="21"/>
      <c r="M18" s="21">
        <f>SUMPRODUCT((K18:K21=K18)*(J18:J21&lt;J18))+K18</f>
        <v>1</v>
      </c>
      <c r="N18" s="21" t="str">
        <f>INDEX(B18:B22,MATCH(1,M18:M22,0),0)</f>
        <v>Netherlands</v>
      </c>
      <c r="O18" s="21">
        <f>INDEX(K18:K22,MATCH(N18,B18:B22,0),0)</f>
        <v>1</v>
      </c>
      <c r="P18" s="21" t="str">
        <f>IF(O19=1,N18,"")</f>
        <v/>
      </c>
      <c r="Q18" s="21" t="str">
        <f>IF(O20=2,N19,"")</f>
        <v/>
      </c>
      <c r="R18" s="21" t="str">
        <f>IF(O21=3,N20,"")</f>
        <v/>
      </c>
      <c r="S18" s="21" t="str">
        <f>IF(O22=4,N21,"")</f>
        <v/>
      </c>
      <c r="T18" s="21"/>
      <c r="U18" s="21" t="str">
        <f>IF(P18&lt;&gt;"",P18,"")</f>
        <v/>
      </c>
      <c r="V18" s="21">
        <f>SUMPRODUCT((CZ3:CZ42=U18)*(DC3:DC42=U19)*(DD3:DD42="W"))+SUMPRODUCT((CZ3:CZ42=U18)*(DC3:DC42=U20)*(DD3:DD42="W"))+SUMPRODUCT((CZ3:CZ42=U18)*(DC3:DC42=U21)*(DD3:DD42="W"))+SUMPRODUCT((CZ3:CZ42=U18)*(DC3:DC42=U22)*(DD3:DD42="W"))+SUMPRODUCT((CZ3:CZ42=U19)*(DC3:DC42=U18)*(DE3:DE42="W"))+SUMPRODUCT((CZ3:CZ42=U20)*(DC3:DC42=U18)*(DE3:DE42="W"))+SUMPRODUCT((CZ3:CZ42=U21)*(DC3:DC42=U18)*(DE3:DE42="W"))+SUMPRODUCT((CZ3:CZ42=U22)*(DC3:DC42=U18)*(DE3:DE42="W"))</f>
        <v>0</v>
      </c>
      <c r="W18" s="21">
        <f>SUMPRODUCT((CZ3:CZ42=U18)*(DC3:DC42=U19)*(DD3:DD42="D"))+SUMPRODUCT((CZ3:CZ42=U18)*(DC3:DC42=U20)*(DD3:DD42="D"))+SUMPRODUCT((CZ3:CZ42=U18)*(DC3:DC42=U21)*(DD3:DD42="D"))+SUMPRODUCT((CZ3:CZ42=U18)*(DC3:DC42=U22)*(DD3:DD42="D"))+SUMPRODUCT((CZ3:CZ42=U19)*(DC3:DC42=U18)*(DD3:DD42="D"))+SUMPRODUCT((CZ3:CZ42=U20)*(DC3:DC42=U18)*(DD3:DD42="D"))+SUMPRODUCT((CZ3:CZ42=U21)*(DC3:DC42=U18)*(DD3:DD42="D"))+SUMPRODUCT((CZ3:CZ42=U22)*(DC3:DC42=U18)*(DD3:DD42="D"))</f>
        <v>0</v>
      </c>
      <c r="X18" s="21">
        <f>SUMPRODUCT((CZ3:CZ42=U18)*(DC3:DC42=U19)*(DD3:DD42="L"))+SUMPRODUCT((CZ3:CZ42=U18)*(DC3:DC42=U20)*(DD3:DD42="L"))+SUMPRODUCT((CZ3:CZ42=U18)*(DC3:DC42=U21)*(DD3:DD42="L"))+SUMPRODUCT((CZ3:CZ42=U18)*(DC3:DC42=U22)*(DD3:DD42="L"))+SUMPRODUCT((CZ3:CZ42=U19)*(DC3:DC42=U18)*(DE3:DE42="L"))+SUMPRODUCT((CZ3:CZ42=U20)*(DC3:DC42=U18)*(DE3:DE42="L"))+SUMPRODUCT((CZ3:CZ42=U21)*(DC3:DC42=U18)*(DE3:DE42="L"))+SUMPRODUCT((CZ3:CZ42=U22)*(DC3:DC42=U18)*(DE3:DE42="L"))</f>
        <v>0</v>
      </c>
      <c r="Y18" s="21">
        <f>SUMPRODUCT((CZ3:CZ42=U18)*(DC3:DC42=U19)*DA3:DA42)+SUMPRODUCT((CZ3:CZ42=U18)*(DC3:DC42=U20)*DA3:DA42)+SUMPRODUCT((CZ3:CZ42=U18)*(DC3:DC42=U21)*DA3:DA42)+SUMPRODUCT((CZ3:CZ42=U18)*(DC3:DC42=U22)*DA3:DA42)+SUMPRODUCT((CZ3:CZ42=U19)*(DC3:DC42=U18)*DB3:DB42)+SUMPRODUCT((CZ3:CZ42=U20)*(DC3:DC42=U18)*DB3:DB42)+SUMPRODUCT((CZ3:CZ42=U21)*(DC3:DC42=U18)*DB3:DB42)+SUMPRODUCT((CZ3:CZ42=U22)*(DC3:DC42=U18)*DB3:DB42)</f>
        <v>0</v>
      </c>
      <c r="Z18" s="21">
        <f>SUMPRODUCT((CZ3:CZ42=U18)*(DC3:DC42=U19)*DB3:DB42)+SUMPRODUCT((CZ3:CZ42=U18)*(DC3:DC42=U20)*DB3:DB42)+SUMPRODUCT((CZ3:CZ42=U18)*(DC3:DC42=U21)*DB3:DB42)+SUMPRODUCT((CZ3:CZ42=U18)*(DC3:DC42=U22)*DB3:DB42)+SUMPRODUCT((CZ3:CZ42=U19)*(DC3:DC42=U18)*DA3:DA42)+SUMPRODUCT((CZ3:CZ42=U20)*(DC3:DC42=U18)*DA3:DA42)+SUMPRODUCT((CZ3:CZ42=U21)*(DC3:DC42=U18)*DA3:DA42)+SUMPRODUCT((CZ3:CZ42=U22)*(DC3:DC42=U18)*DA3:DA42)</f>
        <v>0</v>
      </c>
      <c r="AA18" s="21">
        <f>Y18-Z18+1000</f>
        <v>1000</v>
      </c>
      <c r="AB18" s="21" t="str">
        <f t="shared" ref="AB18:AB21" si="27">IF(U18&lt;&gt;"",V18*3+W18*1,"")</f>
        <v/>
      </c>
      <c r="AC18" s="21" t="str">
        <f>IF(U18&lt;&gt;"",VLOOKUP(U18,B4:H40,7,FALSE),"")</f>
        <v/>
      </c>
      <c r="AD18" s="21" t="str">
        <f>IF(U18&lt;&gt;"",VLOOKUP(U18,B4:H40,5,FALSE),"")</f>
        <v/>
      </c>
      <c r="AE18" s="21" t="str">
        <f>IF(U18&lt;&gt;"",VLOOKUP(U18,B4:J40,9,FALSE),"")</f>
        <v/>
      </c>
      <c r="AF18" s="21" t="str">
        <f t="shared" ref="AF18:AF21" si="28">AB18</f>
        <v/>
      </c>
      <c r="AG18" s="21" t="str">
        <f>IF(U18&lt;&gt;"",RANK(AF18,AF18:AF22),"")</f>
        <v/>
      </c>
      <c r="AH18" s="21" t="str">
        <f>IF(U18&lt;&gt;"",SUMPRODUCT((AF18:AF22=AF18)*(AA18:AA22&gt;AA18)),"")</f>
        <v/>
      </c>
      <c r="AI18" s="21" t="str">
        <f>IF(U18&lt;&gt;"",SUMPRODUCT((AF18:AF22=AF18)*(AA18:AA22=AA18)*(Y18:Y22&gt;Y18)),"")</f>
        <v/>
      </c>
      <c r="AJ18" s="21" t="str">
        <f>IF(U18&lt;&gt;"",SUMPRODUCT((AF18:AF22=AF18)*(AA18:AA22=AA18)*(Y18:Y22=Y18)*(AC18:AC22&gt;AC18)),"")</f>
        <v/>
      </c>
      <c r="AK18" s="21" t="str">
        <f>IF(U18&lt;&gt;"",SUMPRODUCT((AF18:AF22=AF18)*(AA18:AA22=AA18)*(Y18:Y22=Y18)*(AC18:AC22=AC18)*(AD18:AD22&gt;AD18)),"")</f>
        <v/>
      </c>
      <c r="AL18" s="21" t="str">
        <f>IF(U18&lt;&gt;"",SUMPRODUCT((AF18:AF22=AF18)*(AA18:AA22=AA18)*(Y18:Y22=Y18)*(AC18:AC22=AC18)*(AD18:AD22=AD18)*(AE18:AE22&gt;AE18)),"")</f>
        <v/>
      </c>
      <c r="AM18" s="21" t="str">
        <f>IF(U18&lt;&gt;"",IF(AM58&lt;&gt;"",IF(T57=3,AM58,AM58+T57),SUM(AG18:AL18)),"")</f>
        <v/>
      </c>
      <c r="AN18" s="21" t="str">
        <f>IF(U18&lt;&gt;"",INDEX(U18:U22,MATCH(1,AM18:AM22,0),0),"")</f>
        <v/>
      </c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 t="str">
        <f>IF(AN18&lt;&gt;"",AN18,N18)</f>
        <v>Netherlands</v>
      </c>
      <c r="CX18" s="21">
        <v>1</v>
      </c>
      <c r="CY18" s="21">
        <v>16</v>
      </c>
      <c r="CZ18" s="21" t="str">
        <f>Matches!E26</f>
        <v>Ukraine</v>
      </c>
      <c r="DA18" s="21">
        <f>IF(AND(Matches!F26&lt;&gt;"",Matches!G26&lt;&gt;""),Matches!F26,0)</f>
        <v>2</v>
      </c>
      <c r="DB18" s="21">
        <f>IF(AND(Matches!G26&lt;&gt;"",Matches!F26&lt;&gt;""),Matches!G26,0)</f>
        <v>1</v>
      </c>
      <c r="DC18" s="21" t="str">
        <f>Matches!H26</f>
        <v>North Macedonia</v>
      </c>
      <c r="DD18" s="21" t="str">
        <f>IF(AND(Matches!F26&lt;&gt;"",Matches!G26&lt;&gt;""),IF(DA18&gt;DB18,"W",IF(DA18=DB18,"D","L")),"")</f>
        <v>W</v>
      </c>
      <c r="DE18" s="21" t="str">
        <f t="shared" si="0"/>
        <v>L</v>
      </c>
      <c r="DF18" s="21"/>
      <c r="DG18" s="21"/>
      <c r="DH18" s="216" t="s">
        <v>42</v>
      </c>
      <c r="DI18" s="217" t="s">
        <v>46</v>
      </c>
      <c r="DJ18" s="217" t="s">
        <v>49</v>
      </c>
      <c r="DK18" s="217" t="s">
        <v>41</v>
      </c>
      <c r="DL18" s="216" t="s">
        <v>49</v>
      </c>
      <c r="DM18" s="216" t="s">
        <v>41</v>
      </c>
      <c r="DN18" s="216" t="s">
        <v>46</v>
      </c>
      <c r="DO18" s="216" t="s">
        <v>42</v>
      </c>
      <c r="DP18" s="217"/>
      <c r="DQ18" s="218">
        <f>IFERROR(MATCH(DQ12,DH18:DK18,0),0)</f>
        <v>4</v>
      </c>
      <c r="DR18" s="218">
        <f>IFERROR(MATCH(DR12,DH18:DK18,0),0)</f>
        <v>0</v>
      </c>
      <c r="DS18" s="218">
        <f>IFERROR(MATCH(DS12,DH18:DK18,0),0)</f>
        <v>1</v>
      </c>
      <c r="DT18" s="218">
        <f>IFERROR(MATCH(DT12,DH18:DK18,0),0)</f>
        <v>0</v>
      </c>
      <c r="DU18" s="218">
        <f t="shared" si="22"/>
        <v>5</v>
      </c>
      <c r="DV18" s="217" t="s">
        <v>92</v>
      </c>
      <c r="DW18" s="217" t="str">
        <f>INDEX(DH3:DH8,MATCH(INDEX(DL13:DL27,MATCH(10,DU13:DU27,0),0),DV3:DV8,0),0)</f>
        <v>Portugal</v>
      </c>
      <c r="DX18" s="217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  <c r="GI18" s="21"/>
      <c r="GJ18" s="21"/>
      <c r="GK18" s="21"/>
      <c r="GL18" s="21"/>
      <c r="GM18" s="21"/>
      <c r="GN18" s="21"/>
      <c r="GO18" s="21"/>
      <c r="GP18" s="21"/>
      <c r="GQ18" s="21"/>
      <c r="GR18" s="21"/>
      <c r="GS18" s="21"/>
      <c r="GT18" s="21"/>
      <c r="GU18" s="21"/>
      <c r="GV18" s="21"/>
      <c r="GW18" s="21"/>
      <c r="GX18" s="21"/>
      <c r="GY18" s="21"/>
      <c r="GZ18" s="21"/>
      <c r="HA18" s="21"/>
      <c r="HB18" s="21"/>
      <c r="HC18" s="21"/>
      <c r="HD18" s="21"/>
      <c r="HE18" s="21"/>
      <c r="HF18" s="21"/>
      <c r="HG18" s="21"/>
      <c r="HH18" s="21"/>
      <c r="HI18" s="21"/>
      <c r="HJ18" s="21"/>
      <c r="HK18" s="21"/>
      <c r="HL18" s="21"/>
      <c r="HM18" s="21"/>
      <c r="HN18" s="21"/>
      <c r="HO18" s="21"/>
      <c r="HP18" s="21"/>
      <c r="HQ18" s="21"/>
      <c r="HR18" s="21"/>
      <c r="HS18" s="21"/>
      <c r="HT18" s="21"/>
      <c r="HU18" s="21"/>
      <c r="HV18" s="21"/>
      <c r="HW18" s="21"/>
      <c r="HX18" s="21"/>
      <c r="HY18" s="214"/>
      <c r="HZ18" s="214"/>
      <c r="IA18" s="21"/>
      <c r="IB18" s="21"/>
      <c r="IC18" s="21"/>
      <c r="ID18" s="21"/>
      <c r="IE18" s="21"/>
      <c r="IF18" s="216"/>
      <c r="IG18" s="217"/>
      <c r="IH18" s="217"/>
      <c r="II18" s="217"/>
      <c r="IJ18" s="216"/>
      <c r="IK18" s="216"/>
      <c r="IL18" s="216"/>
      <c r="IM18" s="216"/>
      <c r="IN18" s="217"/>
      <c r="IO18" s="218"/>
      <c r="IP18" s="218"/>
      <c r="IQ18" s="218"/>
      <c r="IR18" s="218"/>
      <c r="IS18" s="218"/>
      <c r="IT18" s="217"/>
      <c r="IU18" s="217"/>
      <c r="IV18" s="217"/>
    </row>
    <row r="19" spans="1:256" ht="14" x14ac:dyDescent="0.2">
      <c r="A19" s="21">
        <f>VLOOKUP(B19,CW18:CX22,2,FALSE)</f>
        <v>3</v>
      </c>
      <c r="B19" s="21" t="str">
        <f>Matches!AH19</f>
        <v>Ukraine</v>
      </c>
      <c r="C19" s="21">
        <f>SUMPRODUCT((CZ3:CZ42=B19)*(DD3:DD42="W"))+SUMPRODUCT((DC3:DC42=B19)*(DE3:DE42="W"))</f>
        <v>1</v>
      </c>
      <c r="D19" s="21">
        <f>SUMPRODUCT((CZ3:CZ42=B19)*(DD3:DD42="D"))+SUMPRODUCT((DC3:DC42=B19)*(DE3:DE42="D"))</f>
        <v>0</v>
      </c>
      <c r="E19" s="21">
        <f>SUMPRODUCT((CZ3:CZ42=B19)*(DD3:DD42="L"))+SUMPRODUCT((DC3:DC42=B19)*(DE3:DE42="L"))</f>
        <v>2</v>
      </c>
      <c r="F19" s="21">
        <f>SUMIF(CZ3:CZ60,B19,DA3:DA60)+SUMIF(DC3:DC60,B19,DB3:DB60)</f>
        <v>4</v>
      </c>
      <c r="G19" s="21">
        <f>SUMIF(DC3:DC60,B19,DA3:DA60)+SUMIF(CZ3:CZ60,B19,DB3:DB60)</f>
        <v>5</v>
      </c>
      <c r="H19" s="21">
        <f t="shared" si="25"/>
        <v>999</v>
      </c>
      <c r="I19" s="21">
        <f t="shared" si="26"/>
        <v>3</v>
      </c>
      <c r="J19" s="21">
        <v>50</v>
      </c>
      <c r="K19" s="21">
        <f>IF(COUNTIF(I18:I22,4)&lt;&gt;4,RANK(I19,I18:I22),I59)</f>
        <v>3</v>
      </c>
      <c r="L19" s="21"/>
      <c r="M19" s="21">
        <f>SUMPRODUCT((K18:K21=K19)*(J18:J21&lt;J19))+K19</f>
        <v>3</v>
      </c>
      <c r="N19" s="21" t="str">
        <f>INDEX(B18:B22,MATCH(2,M18:M22,0),0)</f>
        <v>Austria</v>
      </c>
      <c r="O19" s="21">
        <f>INDEX(K18:K22,MATCH(N19,B18:B22,0),0)</f>
        <v>2</v>
      </c>
      <c r="P19" s="21" t="str">
        <f>IF(P18&lt;&gt;"",N19,"")</f>
        <v/>
      </c>
      <c r="Q19" s="21" t="str">
        <f>IF(Q18&lt;&gt;"",N20,"")</f>
        <v/>
      </c>
      <c r="R19" s="21" t="str">
        <f>IF(R18&lt;&gt;"",N21,"")</f>
        <v/>
      </c>
      <c r="S19" s="21" t="str">
        <f>IF(S18&lt;&gt;"",N22,"")</f>
        <v/>
      </c>
      <c r="T19" s="21"/>
      <c r="U19" s="21" t="str">
        <f t="shared" ref="U19:U21" si="29">IF(P19&lt;&gt;"",P19,"")</f>
        <v/>
      </c>
      <c r="V19" s="21">
        <f>SUMPRODUCT((CZ3:CZ42=U19)*(DC3:DC42=U20)*(DD3:DD42="W"))+SUMPRODUCT((CZ3:CZ42=U19)*(DC3:DC42=U21)*(DD3:DD42="W"))+SUMPRODUCT((CZ3:CZ42=U19)*(DC3:DC42=U22)*(DD3:DD42="W"))+SUMPRODUCT((CZ3:CZ42=U19)*(DC3:DC42=U18)*(DD3:DD42="W"))+SUMPRODUCT((CZ3:CZ42=U20)*(DC3:DC42=U19)*(DE3:DE42="W"))+SUMPRODUCT((CZ3:CZ42=U21)*(DC3:DC42=U19)*(DE3:DE42="W"))+SUMPRODUCT((CZ3:CZ42=U22)*(DC3:DC42=U19)*(DE3:DE42="W"))+SUMPRODUCT((CZ3:CZ42=U18)*(DC3:DC42=U19)*(DE3:DE42="W"))</f>
        <v>0</v>
      </c>
      <c r="W19" s="21">
        <f>SUMPRODUCT((CZ3:CZ42=U19)*(DC3:DC42=U20)*(DD3:DD42="D"))+SUMPRODUCT((CZ3:CZ42=U19)*(DC3:DC42=U21)*(DD3:DD42="D"))+SUMPRODUCT((CZ3:CZ42=U19)*(DC3:DC42=U22)*(DD3:DD42="D"))+SUMPRODUCT((CZ3:CZ42=U19)*(DC3:DC42=U18)*(DD3:DD42="D"))+SUMPRODUCT((CZ3:CZ42=U20)*(DC3:DC42=U19)*(DD3:DD42="D"))+SUMPRODUCT((CZ3:CZ42=U21)*(DC3:DC42=U19)*(DD3:DD42="D"))+SUMPRODUCT((CZ3:CZ42=U22)*(DC3:DC42=U19)*(DD3:DD42="D"))+SUMPRODUCT((CZ3:CZ42=U18)*(DC3:DC42=U19)*(DD3:DD42="D"))</f>
        <v>0</v>
      </c>
      <c r="X19" s="21">
        <f>SUMPRODUCT((CZ3:CZ42=U19)*(DC3:DC42=U20)*(DD3:DD42="L"))+SUMPRODUCT((CZ3:CZ42=U19)*(DC3:DC42=U21)*(DD3:DD42="L"))+SUMPRODUCT((CZ3:CZ42=U19)*(DC3:DC42=U22)*(DD3:DD42="L"))+SUMPRODUCT((CZ3:CZ42=U19)*(DC3:DC42=U18)*(DD3:DD42="L"))+SUMPRODUCT((CZ3:CZ42=U20)*(DC3:DC42=U19)*(DE3:DE42="L"))+SUMPRODUCT((CZ3:CZ42=U21)*(DC3:DC42=U19)*(DE3:DE42="L"))+SUMPRODUCT((CZ3:CZ42=U22)*(DC3:DC42=U19)*(DE3:DE42="L"))+SUMPRODUCT((CZ3:CZ42=U18)*(DC3:DC42=U19)*(DE3:DE42="L"))</f>
        <v>0</v>
      </c>
      <c r="Y19" s="21">
        <f>SUMPRODUCT((CZ3:CZ42=U19)*(DC3:DC42=U20)*DA3:DA42)+SUMPRODUCT((CZ3:CZ42=U19)*(DC3:DC42=U21)*DA3:DA42)+SUMPRODUCT((CZ3:CZ42=U19)*(DC3:DC42=U22)*DA3:DA42)+SUMPRODUCT((CZ3:CZ42=U19)*(DC3:DC42=U18)*DA3:DA42)+SUMPRODUCT((CZ3:CZ42=U20)*(DC3:DC42=U19)*DB3:DB42)+SUMPRODUCT((CZ3:CZ42=U21)*(DC3:DC42=U19)*DB3:DB42)+SUMPRODUCT((CZ3:CZ42=U22)*(DC3:DC42=U19)*DB3:DB42)+SUMPRODUCT((CZ3:CZ42=U18)*(DC3:DC42=U19)*DB3:DB42)</f>
        <v>0</v>
      </c>
      <c r="Z19" s="21">
        <f>SUMPRODUCT((CZ3:CZ42=U19)*(DC3:DC42=U20)*DB3:DB42)+SUMPRODUCT((CZ3:CZ42=U19)*(DC3:DC42=U21)*DB3:DB42)+SUMPRODUCT((CZ3:CZ42=U19)*(DC3:DC42=U22)*DB3:DB42)+SUMPRODUCT((CZ3:CZ42=U19)*(DC3:DC42=U18)*DB3:DB42)+SUMPRODUCT((CZ3:CZ42=U20)*(DC3:DC42=U19)*DA3:DA42)+SUMPRODUCT((CZ3:CZ42=U21)*(DC3:DC42=U19)*DA3:DA42)+SUMPRODUCT((CZ3:CZ42=U22)*(DC3:DC42=U19)*DA3:DA42)+SUMPRODUCT((CZ3:CZ42=U18)*(DC3:DC42=U19)*DA3:DA42)</f>
        <v>0</v>
      </c>
      <c r="AA19" s="21">
        <f>Y19-Z19+1000</f>
        <v>1000</v>
      </c>
      <c r="AB19" s="21" t="str">
        <f t="shared" si="27"/>
        <v/>
      </c>
      <c r="AC19" s="21" t="str">
        <f>IF(U19&lt;&gt;"",VLOOKUP(U19,B4:H40,7,FALSE),"")</f>
        <v/>
      </c>
      <c r="AD19" s="21" t="str">
        <f>IF(U19&lt;&gt;"",VLOOKUP(U19,B4:H40,5,FALSE),"")</f>
        <v/>
      </c>
      <c r="AE19" s="21" t="str">
        <f>IF(U19&lt;&gt;"",VLOOKUP(U19,B4:J40,9,FALSE),"")</f>
        <v/>
      </c>
      <c r="AF19" s="21" t="str">
        <f t="shared" si="28"/>
        <v/>
      </c>
      <c r="AG19" s="21" t="str">
        <f>IF(U19&lt;&gt;"",RANK(AF19,AF18:AF22),"")</f>
        <v/>
      </c>
      <c r="AH19" s="21" t="str">
        <f>IF(U19&lt;&gt;"",SUMPRODUCT((AF18:AF22=AF19)*(AA18:AA22&gt;AA19)),"")</f>
        <v/>
      </c>
      <c r="AI19" s="21" t="str">
        <f>IF(U19&lt;&gt;"",SUMPRODUCT((AF18:AF22=AF19)*(AA18:AA22=AA19)*(Y18:Y22&gt;Y19)),"")</f>
        <v/>
      </c>
      <c r="AJ19" s="21" t="str">
        <f>IF(U19&lt;&gt;"",SUMPRODUCT((AF18:AF22=AF19)*(AA18:AA22=AA19)*(Y18:Y22=Y19)*(AC18:AC22&gt;AC19)),"")</f>
        <v/>
      </c>
      <c r="AK19" s="21" t="str">
        <f>IF(U19&lt;&gt;"",SUMPRODUCT((AF18:AF22=AF19)*(AA18:AA22=AA19)*(Y18:Y22=Y19)*(AC18:AC22=AC19)*(AD18:AD22&gt;AD19)),"")</f>
        <v/>
      </c>
      <c r="AL19" s="21" t="str">
        <f>IF(U19&lt;&gt;"",SUMPRODUCT((AF18:AF22=AF19)*(AA18:AA22=AA19)*(Y18:Y22=Y19)*(AC18:AC22=AC19)*(AD18:AD22=AD19)*(AE18:AE22&gt;AE19)),"")</f>
        <v/>
      </c>
      <c r="AM19" s="21" t="str">
        <f>IF(U19&lt;&gt;"",IF(AM59&lt;&gt;"",IF(T57=3,AM59,AM59+T57),SUM(AG19:AL19)),"")</f>
        <v/>
      </c>
      <c r="AN19" s="21" t="str">
        <f>IF(U19&lt;&gt;"",INDEX(U18:U22,MATCH(2,AM18:AM22,0),0),"")</f>
        <v/>
      </c>
      <c r="AO19" s="21" t="str">
        <f>IF(Q18&lt;&gt;"",Q18,"")</f>
        <v/>
      </c>
      <c r="AP19" s="21">
        <f>SUMPRODUCT((CZ3:CZ42=AO19)*(DC3:DC42=AO20)*(DD3:DD42="W"))+SUMPRODUCT((CZ3:CZ42=AO19)*(DC3:DC42=AO21)*(DD3:DD42="W"))+SUMPRODUCT((CZ3:CZ42=AO19)*(DC3:DC42=AO22)*(DD3:DD42="W"))+SUMPRODUCT((CZ3:CZ42=AO20)*(DC3:DC42=AO19)*(DE3:DE42="W"))+SUMPRODUCT((CZ3:CZ42=AO21)*(DC3:DC42=AO19)*(DE3:DE42="W"))+SUMPRODUCT((CZ3:CZ42=AO22)*(DC3:DC42=AO19)*(DE3:DE42="W"))</f>
        <v>0</v>
      </c>
      <c r="AQ19" s="21">
        <f>SUMPRODUCT((CZ3:CZ42=AO19)*(DC3:DC42=AO20)*(DD3:DD42="D"))+SUMPRODUCT((CZ3:CZ42=AO19)*(DC3:DC42=AO21)*(DD3:DD42="D"))+SUMPRODUCT((CZ3:CZ42=AO19)*(DC3:DC42=AO22)*(DD3:DD42="D"))+SUMPRODUCT((CZ3:CZ42=AO20)*(DC3:DC42=AO19)*(DD3:DD42="D"))+SUMPRODUCT((CZ3:CZ42=AO21)*(DC3:DC42=AO19)*(DD3:DD42="D"))+SUMPRODUCT((CZ3:CZ42=AO22)*(DC3:DC42=AO19)*(DD3:DD42="D"))</f>
        <v>0</v>
      </c>
      <c r="AR19" s="21">
        <f>SUMPRODUCT((CZ3:CZ42=AO19)*(DC3:DC42=AO20)*(DD3:DD42="L"))+SUMPRODUCT((CZ3:CZ42=AO19)*(DC3:DC42=AO21)*(DD3:DD42="L"))+SUMPRODUCT((CZ3:CZ42=AO19)*(DC3:DC42=AO22)*(DD3:DD42="L"))+SUMPRODUCT((CZ3:CZ42=AO20)*(DC3:DC42=AO19)*(DE3:DE42="L"))+SUMPRODUCT((CZ3:CZ42=AO21)*(DC3:DC42=AO19)*(DE3:DE42="L"))+SUMPRODUCT((CZ3:CZ42=AO22)*(DC3:DC42=AO19)*(DE3:DE42="L"))</f>
        <v>0</v>
      </c>
      <c r="AS19" s="21">
        <f>SUMPRODUCT((CZ3:CZ42=AO19)*(DC3:DC42=AO20)*DA3:DA42)+SUMPRODUCT((CZ3:CZ42=AO19)*(DC3:DC42=AO21)*DA3:DA42)+SUMPRODUCT((CZ3:CZ42=AO19)*(DC3:DC42=AO22)*DA3:DA42)+SUMPRODUCT((CZ3:CZ42=AO19)*(DC3:DC42=AO18)*DA3:DA42)+SUMPRODUCT((CZ3:CZ42=AO20)*(DC3:DC42=AO19)*DB3:DB42)+SUMPRODUCT((CZ3:CZ42=AO21)*(DC3:DC42=AO19)*DB3:DB42)+SUMPRODUCT((CZ3:CZ42=AO22)*(DC3:DC42=AO19)*DB3:DB42)+SUMPRODUCT((CZ3:CZ42=AO18)*(DC3:DC42=AO19)*DB3:DB42)</f>
        <v>0</v>
      </c>
      <c r="AT19" s="21">
        <f>SUMPRODUCT((CZ3:CZ42=AO19)*(DC3:DC42=AO20)*DB3:DB42)+SUMPRODUCT((CZ3:CZ42=AO19)*(DC3:DC42=AO21)*DB3:DB42)+SUMPRODUCT((CZ3:CZ42=AO19)*(DC3:DC42=AO22)*DB3:DB42)+SUMPRODUCT((CZ3:CZ42=AO19)*(DC3:DC42=AO18)*DB3:DB42)+SUMPRODUCT((CZ3:CZ42=AO20)*(DC3:DC42=AO19)*DA3:DA42)+SUMPRODUCT((CZ3:CZ42=AO21)*(DC3:DC42=AO19)*DA3:DA42)+SUMPRODUCT((CZ3:CZ42=AO22)*(DC3:DC42=AO19)*DA3:DA42)+SUMPRODUCT((CZ3:CZ42=AO18)*(DC3:DC42=AO19)*DA3:DA42)</f>
        <v>0</v>
      </c>
      <c r="AU19" s="21">
        <f>AS19-AT19+1000</f>
        <v>1000</v>
      </c>
      <c r="AV19" s="21" t="str">
        <f t="shared" ref="AV19:AV21" si="30">IF(AO19&lt;&gt;"",AP19*3+AQ19*1,"")</f>
        <v/>
      </c>
      <c r="AW19" s="21" t="str">
        <f>IF(AO19&lt;&gt;"",VLOOKUP(AO19,B4:H40,7,FALSE),"")</f>
        <v/>
      </c>
      <c r="AX19" s="21" t="str">
        <f>IF(AO19&lt;&gt;"",VLOOKUP(AO19,B4:H40,5,FALSE),"")</f>
        <v/>
      </c>
      <c r="AY19" s="21" t="str">
        <f>IF(AO19&lt;&gt;"",VLOOKUP(AO19,B4:J40,9,FALSE),"")</f>
        <v/>
      </c>
      <c r="AZ19" s="21" t="str">
        <f t="shared" ref="AZ19:AZ21" si="31">AV19</f>
        <v/>
      </c>
      <c r="BA19" s="21" t="str">
        <f>IF(AO19&lt;&gt;"",RANK(AZ19,AZ18:AZ22),"")</f>
        <v/>
      </c>
      <c r="BB19" s="21" t="str">
        <f>IF(AO19&lt;&gt;"",SUMPRODUCT((AZ18:AZ22=AZ19)*(AU18:AU22&gt;AU19)),"")</f>
        <v/>
      </c>
      <c r="BC19" s="21" t="str">
        <f>IF(AO19&lt;&gt;"",SUMPRODUCT((AZ18:AZ22=AZ19)*(AU18:AU22=AU19)*(AS18:AS22&gt;AS19)),"")</f>
        <v/>
      </c>
      <c r="BD19" s="21" t="str">
        <f>IF(AO19&lt;&gt;"",SUMPRODUCT((AZ18:AZ22=AZ19)*(AU18:AU22=AU19)*(AS18:AS22=AS19)*(AW18:AW22&gt;AW19)),"")</f>
        <v/>
      </c>
      <c r="BE19" s="21" t="str">
        <f>IF(AO19&lt;&gt;"",SUMPRODUCT((AZ18:AZ22=AZ19)*(AU18:AU22=AU19)*(AS18:AS22=AS19)*(AW18:AW22=AW19)*(AX18:AX22&gt;AX19)),"")</f>
        <v/>
      </c>
      <c r="BF19" s="21" t="str">
        <f>IF(AO19&lt;&gt;"",SUMPRODUCT((AZ18:AZ22=AZ19)*(AU18:AU22=AU19)*(AS18:AS22=AS19)*(AW18:AW22=AW19)*(AX18:AX22=AX19)*(AY18:AY22&gt;AY19)),"")</f>
        <v/>
      </c>
      <c r="BG19" s="21" t="str">
        <f>IF(AO19&lt;&gt;"",IF(BG59&lt;&gt;"",IF(AN57=3,BG59,BG59+AN57),SUM(BA19:BF19)+1),"")</f>
        <v/>
      </c>
      <c r="BH19" s="21" t="str">
        <f>IF(AO19&lt;&gt;"",INDEX(AO19:AO22,MATCH(2,BG19:BG22,0),0),"")</f>
        <v/>
      </c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 t="str">
        <f>IF(BH19&lt;&gt;"",BH19,IF(AN19&lt;&gt;"",AN19,N19))</f>
        <v>Austria</v>
      </c>
      <c r="CX19" s="21">
        <v>2</v>
      </c>
      <c r="CY19" s="21">
        <v>17</v>
      </c>
      <c r="CZ19" s="21" t="str">
        <f>Matches!E27</f>
        <v>Denmark</v>
      </c>
      <c r="DA19" s="21">
        <f>IF(AND(Matches!F27&lt;&gt;"",Matches!G27&lt;&gt;""),Matches!F27,0)</f>
        <v>1</v>
      </c>
      <c r="DB19" s="21">
        <f>IF(AND(Matches!G27&lt;&gt;"",Matches!F27&lt;&gt;""),Matches!G27,0)</f>
        <v>2</v>
      </c>
      <c r="DC19" s="21" t="str">
        <f>Matches!H27</f>
        <v>Belgium</v>
      </c>
      <c r="DD19" s="21" t="str">
        <f>IF(AND(Matches!F27&lt;&gt;"",Matches!G27&lt;&gt;""),IF(DA19&gt;DB19,"W",IF(DA19=DB19,"D","L")),"")</f>
        <v>L</v>
      </c>
      <c r="DE19" s="21" t="str">
        <f t="shared" si="0"/>
        <v>W</v>
      </c>
      <c r="DF19" s="21"/>
      <c r="DG19" s="21"/>
      <c r="DH19" s="216" t="s">
        <v>42</v>
      </c>
      <c r="DI19" s="217" t="s">
        <v>48</v>
      </c>
      <c r="DJ19" s="217" t="s">
        <v>39</v>
      </c>
      <c r="DK19" s="217" t="s">
        <v>49</v>
      </c>
      <c r="DL19" s="216" t="s">
        <v>49</v>
      </c>
      <c r="DM19" s="216" t="s">
        <v>39</v>
      </c>
      <c r="DN19" s="216" t="s">
        <v>48</v>
      </c>
      <c r="DO19" s="216" t="s">
        <v>42</v>
      </c>
      <c r="DP19" s="217"/>
      <c r="DQ19" s="218">
        <f>IFERROR(MATCH(DQ12,DH19:DK19,0),0)</f>
        <v>0</v>
      </c>
      <c r="DR19" s="218">
        <f>IFERROR(MATCH(DR12,DH19:DK19,0),0)</f>
        <v>3</v>
      </c>
      <c r="DS19" s="218">
        <f>IFERROR(MATCH(DS12,DH19:DK19,0),0)</f>
        <v>1</v>
      </c>
      <c r="DT19" s="218">
        <f>IFERROR(MATCH(DT12,DH19:DK19,0),0)</f>
        <v>2</v>
      </c>
      <c r="DU19" s="218">
        <f t="shared" si="22"/>
        <v>6</v>
      </c>
      <c r="DV19" s="217" t="s">
        <v>87</v>
      </c>
      <c r="DW19" s="217" t="str">
        <f>INDEX(DH3:DH8,MATCH(INDEX(DM13:DM27,MATCH(10,DU13:DU27,0),0),DV3:DV8,0),0)</f>
        <v>Czech Republic</v>
      </c>
      <c r="DX19" s="217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  <c r="GI19" s="21"/>
      <c r="GJ19" s="21"/>
      <c r="GK19" s="21"/>
      <c r="GL19" s="21"/>
      <c r="GM19" s="21"/>
      <c r="GN19" s="21"/>
      <c r="GO19" s="21"/>
      <c r="GP19" s="21"/>
      <c r="GQ19" s="21"/>
      <c r="GR19" s="21"/>
      <c r="GS19" s="21"/>
      <c r="GT19" s="21"/>
      <c r="GU19" s="21"/>
      <c r="GV19" s="21"/>
      <c r="GW19" s="21"/>
      <c r="GX19" s="21"/>
      <c r="GY19" s="21"/>
      <c r="GZ19" s="21"/>
      <c r="HA19" s="21"/>
      <c r="HB19" s="21"/>
      <c r="HC19" s="21"/>
      <c r="HD19" s="21"/>
      <c r="HE19" s="21"/>
      <c r="HF19" s="21"/>
      <c r="HG19" s="21"/>
      <c r="HH19" s="21"/>
      <c r="HI19" s="21"/>
      <c r="HJ19" s="21"/>
      <c r="HK19" s="21"/>
      <c r="HL19" s="21"/>
      <c r="HM19" s="21"/>
      <c r="HN19" s="21"/>
      <c r="HO19" s="21"/>
      <c r="HP19" s="21"/>
      <c r="HQ19" s="21"/>
      <c r="HR19" s="21"/>
      <c r="HS19" s="21"/>
      <c r="HT19" s="21"/>
      <c r="HU19" s="21"/>
      <c r="HV19" s="21"/>
      <c r="HW19" s="21"/>
      <c r="HX19" s="21"/>
      <c r="HY19" s="214"/>
      <c r="HZ19" s="214"/>
      <c r="IA19" s="21"/>
      <c r="IB19" s="21"/>
      <c r="IC19" s="21"/>
      <c r="ID19" s="21"/>
      <c r="IE19" s="21"/>
      <c r="IF19" s="216"/>
      <c r="IG19" s="217"/>
      <c r="IH19" s="217"/>
      <c r="II19" s="217"/>
      <c r="IJ19" s="216"/>
      <c r="IK19" s="216"/>
      <c r="IL19" s="216"/>
      <c r="IM19" s="216"/>
      <c r="IN19" s="217"/>
      <c r="IO19" s="218"/>
      <c r="IP19" s="218"/>
      <c r="IQ19" s="218"/>
      <c r="IR19" s="218"/>
      <c r="IS19" s="218"/>
      <c r="IT19" s="217"/>
      <c r="IU19" s="217"/>
      <c r="IV19" s="217"/>
    </row>
    <row r="20" spans="1:256" ht="14" x14ac:dyDescent="0.2">
      <c r="A20" s="21">
        <f>VLOOKUP(B20,CW18:CX22,2,FALSE)</f>
        <v>2</v>
      </c>
      <c r="B20" s="21" t="str">
        <f>Matches!AH20</f>
        <v>Austria</v>
      </c>
      <c r="C20" s="21">
        <f>SUMPRODUCT((CZ3:CZ42=B20)*(DD3:DD42="W"))+SUMPRODUCT((DC3:DC42=B20)*(DE3:DE42="W"))</f>
        <v>2</v>
      </c>
      <c r="D20" s="21">
        <f>SUMPRODUCT((CZ3:CZ42=B20)*(DD3:DD42="D"))+SUMPRODUCT((DC3:DC42=B20)*(DE3:DE42="D"))</f>
        <v>0</v>
      </c>
      <c r="E20" s="21">
        <f>SUMPRODUCT((CZ3:CZ42=B20)*(DD3:DD42="L"))+SUMPRODUCT((DC3:DC42=B20)*(DE3:DE42="L"))</f>
        <v>1</v>
      </c>
      <c r="F20" s="21">
        <f>SUMIF(CZ3:CZ60,B20,DA3:DA60)+SUMIF(DC3:DC60,B20,DB3:DB60)</f>
        <v>4</v>
      </c>
      <c r="G20" s="21">
        <f>SUMIF(DC3:DC60,B20,DA3:DA60)+SUMIF(CZ3:CZ60,B20,DB3:DB60)</f>
        <v>3</v>
      </c>
      <c r="H20" s="21">
        <f t="shared" si="25"/>
        <v>1001</v>
      </c>
      <c r="I20" s="21">
        <f t="shared" si="26"/>
        <v>6</v>
      </c>
      <c r="J20" s="21">
        <v>40</v>
      </c>
      <c r="K20" s="21">
        <f>IF(COUNTIF(I18:I22,4)&lt;&gt;4,RANK(I20,I18:I22),I60)</f>
        <v>2</v>
      </c>
      <c r="L20" s="21"/>
      <c r="M20" s="21">
        <f>SUMPRODUCT((K18:K21=K20)*(J18:J21&lt;J20))+K20</f>
        <v>2</v>
      </c>
      <c r="N20" s="21" t="str">
        <f>INDEX(B18:B22,MATCH(3,M18:M22,0),0)</f>
        <v>Ukraine</v>
      </c>
      <c r="O20" s="21">
        <f>INDEX(K18:K22,MATCH(N20,B18:B22,0),0)</f>
        <v>3</v>
      </c>
      <c r="P20" s="21" t="str">
        <f>IF(AND(P19&lt;&gt;"",O20=1),N20,"")</f>
        <v/>
      </c>
      <c r="Q20" s="21" t="str">
        <f>IF(AND(Q19&lt;&gt;"",O21=2),N21,"")</f>
        <v/>
      </c>
      <c r="R20" s="21" t="str">
        <f>IF(AND(R19&lt;&gt;"",O22=3),N22,"")</f>
        <v/>
      </c>
      <c r="S20" s="21"/>
      <c r="T20" s="21"/>
      <c r="U20" s="21" t="str">
        <f t="shared" si="29"/>
        <v/>
      </c>
      <c r="V20" s="21">
        <f>SUMPRODUCT((CZ3:CZ42=U20)*(DC3:DC42=U21)*(DD3:DD42="W"))+SUMPRODUCT((CZ3:CZ42=U20)*(DC3:DC42=U22)*(DD3:DD42="W"))+SUMPRODUCT((CZ3:CZ42=U20)*(DC3:DC42=U18)*(DD3:DD42="W"))+SUMPRODUCT((CZ3:CZ42=U20)*(DC3:DC42=U19)*(DD3:DD42="W"))+SUMPRODUCT((CZ3:CZ42=U21)*(DC3:DC42=U20)*(DE3:DE42="W"))+SUMPRODUCT((CZ3:CZ42=U22)*(DC3:DC42=U20)*(DE3:DE42="W"))+SUMPRODUCT((CZ3:CZ42=U18)*(DC3:DC42=U20)*(DE3:DE42="W"))+SUMPRODUCT((CZ3:CZ42=U19)*(DC3:DC42=U20)*(DE3:DE42="W"))</f>
        <v>0</v>
      </c>
      <c r="W20" s="21">
        <f>SUMPRODUCT((CZ3:CZ42=U20)*(DC3:DC42=U21)*(DD3:DD42="D"))+SUMPRODUCT((CZ3:CZ42=U20)*(DC3:DC42=U22)*(DD3:DD42="D"))+SUMPRODUCT((CZ3:CZ42=U20)*(DC3:DC42=U18)*(DD3:DD42="D"))+SUMPRODUCT((CZ3:CZ42=U20)*(DC3:DC42=U19)*(DD3:DD42="D"))+SUMPRODUCT((CZ3:CZ42=U21)*(DC3:DC42=U20)*(DD3:DD42="D"))+SUMPRODUCT((CZ3:CZ42=U22)*(DC3:DC42=U20)*(DD3:DD42="D"))+SUMPRODUCT((CZ3:CZ42=U18)*(DC3:DC42=U20)*(DD3:DD42="D"))+SUMPRODUCT((CZ3:CZ42=U19)*(DC3:DC42=U20)*(DD3:DD42="D"))</f>
        <v>0</v>
      </c>
      <c r="X20" s="21">
        <f>SUMPRODUCT((CZ3:CZ42=U20)*(DC3:DC42=U21)*(DD3:DD42="L"))+SUMPRODUCT((CZ3:CZ42=U20)*(DC3:DC42=U22)*(DD3:DD42="L"))+SUMPRODUCT((CZ3:CZ42=U20)*(DC3:DC42=U18)*(DD3:DD42="L"))+SUMPRODUCT((CZ3:CZ42=U20)*(DC3:DC42=U19)*(DD3:DD42="L"))+SUMPRODUCT((CZ3:CZ42=U21)*(DC3:DC42=U20)*(DE3:DE42="L"))+SUMPRODUCT((CZ3:CZ42=U22)*(DC3:DC42=U20)*(DE3:DE42="L"))+SUMPRODUCT((CZ3:CZ42=U18)*(DC3:DC42=U20)*(DE3:DE42="L"))+SUMPRODUCT((CZ3:CZ42=U19)*(DC3:DC42=U20)*(DE3:DE42="L"))</f>
        <v>0</v>
      </c>
      <c r="Y20" s="21">
        <f>SUMPRODUCT((CZ3:CZ42=U20)*(DC3:DC42=U21)*DA3:DA42)+SUMPRODUCT((CZ3:CZ42=U20)*(DC3:DC42=U22)*DA3:DA42)+SUMPRODUCT((CZ3:CZ42=U20)*(DC3:DC42=U18)*DA3:DA42)+SUMPRODUCT((CZ3:CZ42=U20)*(DC3:DC42=U19)*DA3:DA42)+SUMPRODUCT((CZ3:CZ42=U21)*(DC3:DC42=U20)*DB3:DB42)+SUMPRODUCT((CZ3:CZ42=U22)*(DC3:DC42=U20)*DB3:DB42)+SUMPRODUCT((CZ3:CZ42=U18)*(DC3:DC42=U20)*DB3:DB42)+SUMPRODUCT((CZ3:CZ42=U19)*(DC3:DC42=U20)*DB3:DB42)</f>
        <v>0</v>
      </c>
      <c r="Z20" s="21">
        <f>SUMPRODUCT((CZ3:CZ42=U20)*(DC3:DC42=U21)*DB3:DB42)+SUMPRODUCT((CZ3:CZ42=U20)*(DC3:DC42=U22)*DB3:DB42)+SUMPRODUCT((CZ3:CZ42=U20)*(DC3:DC42=U18)*DB3:DB42)+SUMPRODUCT((CZ3:CZ42=U20)*(DC3:DC42=U19)*DB3:DB42)+SUMPRODUCT((CZ3:CZ42=U21)*(DC3:DC42=U20)*DA3:DA42)+SUMPRODUCT((CZ3:CZ42=U22)*(DC3:DC42=U20)*DA3:DA42)+SUMPRODUCT((CZ3:CZ42=U18)*(DC3:DC42=U20)*DA3:DA42)+SUMPRODUCT((CZ3:CZ42=U19)*(DC3:DC42=U20)*DA3:DA42)</f>
        <v>0</v>
      </c>
      <c r="AA20" s="21">
        <f>Y20-Z20+1000</f>
        <v>1000</v>
      </c>
      <c r="AB20" s="21" t="str">
        <f t="shared" si="27"/>
        <v/>
      </c>
      <c r="AC20" s="21" t="str">
        <f>IF(U20&lt;&gt;"",VLOOKUP(U20,B4:H40,7,FALSE),"")</f>
        <v/>
      </c>
      <c r="AD20" s="21" t="str">
        <f>IF(U20&lt;&gt;"",VLOOKUP(U20,B4:H40,5,FALSE),"")</f>
        <v/>
      </c>
      <c r="AE20" s="21" t="str">
        <f>IF(U20&lt;&gt;"",VLOOKUP(U20,B4:J40,9,FALSE),"")</f>
        <v/>
      </c>
      <c r="AF20" s="21" t="str">
        <f t="shared" si="28"/>
        <v/>
      </c>
      <c r="AG20" s="21" t="str">
        <f>IF(U20&lt;&gt;"",RANK(AF20,AF18:AF22),"")</f>
        <v/>
      </c>
      <c r="AH20" s="21" t="str">
        <f>IF(U20&lt;&gt;"",SUMPRODUCT((AF18:AF22=AF20)*(AA18:AA22&gt;AA20)),"")</f>
        <v/>
      </c>
      <c r="AI20" s="21" t="str">
        <f>IF(U20&lt;&gt;"",SUMPRODUCT((AF18:AF22=AF20)*(AA18:AA22=AA20)*(Y18:Y22&gt;Y20)),"")</f>
        <v/>
      </c>
      <c r="AJ20" s="21" t="str">
        <f>IF(U20&lt;&gt;"",SUMPRODUCT((AF18:AF22=AF20)*(AA18:AA22=AA20)*(Y18:Y22=Y20)*(AC18:AC22&gt;AC20)),"")</f>
        <v/>
      </c>
      <c r="AK20" s="21" t="str">
        <f>IF(U20&lt;&gt;"",SUMPRODUCT((AF18:AF22=AF20)*(AA18:AA22=AA20)*(Y18:Y22=Y20)*(AC18:AC22=AC20)*(AD18:AD22&gt;AD20)),"")</f>
        <v/>
      </c>
      <c r="AL20" s="21" t="str">
        <f>IF(U20&lt;&gt;"",SUMPRODUCT((AF18:AF22=AF20)*(AA18:AA22=AA20)*(Y18:Y22=Y20)*(AC18:AC22=AC20)*(AD18:AD22=AD20)*(AE18:AE22&gt;AE20)),"")</f>
        <v/>
      </c>
      <c r="AM20" s="21" t="str">
        <f>IF(U20&lt;&gt;"",IF(AM60&lt;&gt;"",IF(T57=3,AM60,AM60+T57),SUM(AG20:AL20)),"")</f>
        <v/>
      </c>
      <c r="AN20" s="21" t="str">
        <f>IF(U20&lt;&gt;"",INDEX(U18:U22,MATCH(3,AM18:AM22,0),0),"")</f>
        <v/>
      </c>
      <c r="AO20" s="21" t="str">
        <f>IF(Q19&lt;&gt;"",Q19,"")</f>
        <v/>
      </c>
      <c r="AP20" s="21">
        <f>SUMPRODUCT((CZ3:CZ42=AO20)*(DC3:DC42=AO21)*(DD3:DD42="W"))+SUMPRODUCT((CZ3:CZ42=AO20)*(DC3:DC42=AO22)*(DD3:DD42="W"))+SUMPRODUCT((CZ3:CZ42=AO20)*(DC3:DC42=AO19)*(DD3:DD42="W"))+SUMPRODUCT((CZ3:CZ42=AO21)*(DC3:DC42=AO20)*(DE3:DE42="W"))+SUMPRODUCT((CZ3:CZ42=AO22)*(DC3:DC42=AO20)*(DE3:DE42="W"))+SUMPRODUCT((CZ3:CZ42=AO19)*(DC3:DC42=AO20)*(DE3:DE42="W"))</f>
        <v>0</v>
      </c>
      <c r="AQ20" s="21">
        <f>SUMPRODUCT((CZ3:CZ42=AO20)*(DC3:DC42=AO21)*(DD3:DD42="D"))+SUMPRODUCT((CZ3:CZ42=AO20)*(DC3:DC42=AO22)*(DD3:DD42="D"))+SUMPRODUCT((CZ3:CZ42=AO20)*(DC3:DC42=AO19)*(DD3:DD42="D"))+SUMPRODUCT((CZ3:CZ42=AO21)*(DC3:DC42=AO20)*(DD3:DD42="D"))+SUMPRODUCT((CZ3:CZ42=AO22)*(DC3:DC42=AO20)*(DD3:DD42="D"))+SUMPRODUCT((CZ3:CZ42=AO19)*(DC3:DC42=AO20)*(DD3:DD42="D"))</f>
        <v>0</v>
      </c>
      <c r="AR20" s="21">
        <f>SUMPRODUCT((CZ3:CZ42=AO20)*(DC3:DC42=AO21)*(DD3:DD42="L"))+SUMPRODUCT((CZ3:CZ42=AO20)*(DC3:DC42=AO22)*(DD3:DD42="L"))+SUMPRODUCT((CZ3:CZ42=AO20)*(DC3:DC42=AO19)*(DD3:DD42="L"))+SUMPRODUCT((CZ3:CZ42=AO21)*(DC3:DC42=AO20)*(DE3:DE42="L"))+SUMPRODUCT((CZ3:CZ42=AO22)*(DC3:DC42=AO20)*(DE3:DE42="L"))+SUMPRODUCT((CZ3:CZ42=AO19)*(DC3:DC42=AO20)*(DE3:DE42="L"))</f>
        <v>0</v>
      </c>
      <c r="AS20" s="21">
        <f>SUMPRODUCT((CZ3:CZ42=AO20)*(DC3:DC42=AO21)*DA3:DA42)+SUMPRODUCT((CZ3:CZ42=AO20)*(DC3:DC42=AO22)*DA3:DA42)+SUMPRODUCT((CZ3:CZ42=AO20)*(DC3:DC42=AO18)*DA3:DA42)+SUMPRODUCT((CZ3:CZ42=AO20)*(DC3:DC42=AO19)*DA3:DA42)+SUMPRODUCT((CZ3:CZ42=AO21)*(DC3:DC42=AO20)*DB3:DB42)+SUMPRODUCT((CZ3:CZ42=AO22)*(DC3:DC42=AO20)*DB3:DB42)+SUMPRODUCT((CZ3:CZ42=AO18)*(DC3:DC42=AO20)*DB3:DB42)+SUMPRODUCT((CZ3:CZ42=AO19)*(DC3:DC42=AO20)*DB3:DB42)</f>
        <v>0</v>
      </c>
      <c r="AT20" s="21">
        <f>SUMPRODUCT((CZ3:CZ42=AO20)*(DC3:DC42=AO21)*DB3:DB42)+SUMPRODUCT((CZ3:CZ42=AO20)*(DC3:DC42=AO22)*DB3:DB42)+SUMPRODUCT((CZ3:CZ42=AO20)*(DC3:DC42=AO18)*DB3:DB42)+SUMPRODUCT((CZ3:CZ42=AO20)*(DC3:DC42=AO19)*DB3:DB42)+SUMPRODUCT((CZ3:CZ42=AO21)*(DC3:DC42=AO20)*DA3:DA42)+SUMPRODUCT((CZ3:CZ42=AO22)*(DC3:DC42=AO20)*DA3:DA42)+SUMPRODUCT((CZ3:CZ42=AO18)*(DC3:DC42=AO20)*DA3:DA42)+SUMPRODUCT((CZ3:CZ42=AO19)*(DC3:DC42=AO20)*DA3:DA42)</f>
        <v>0</v>
      </c>
      <c r="AU20" s="21">
        <f>AS20-AT20+1000</f>
        <v>1000</v>
      </c>
      <c r="AV20" s="21" t="str">
        <f t="shared" si="30"/>
        <v/>
      </c>
      <c r="AW20" s="21" t="str">
        <f>IF(AO20&lt;&gt;"",VLOOKUP(AO20,B4:H40,7,FALSE),"")</f>
        <v/>
      </c>
      <c r="AX20" s="21" t="str">
        <f>IF(AO20&lt;&gt;"",VLOOKUP(AO20,B4:H40,5,FALSE),"")</f>
        <v/>
      </c>
      <c r="AY20" s="21" t="str">
        <f>IF(AO20&lt;&gt;"",VLOOKUP(AO20,B4:J40,9,FALSE),"")</f>
        <v/>
      </c>
      <c r="AZ20" s="21" t="str">
        <f t="shared" si="31"/>
        <v/>
      </c>
      <c r="BA20" s="21" t="str">
        <f>IF(AO20&lt;&gt;"",RANK(AZ20,AZ18:AZ22),"")</f>
        <v/>
      </c>
      <c r="BB20" s="21" t="str">
        <f>IF(AO20&lt;&gt;"",SUMPRODUCT((AZ18:AZ22=AZ20)*(AU18:AU22&gt;AU20)),"")</f>
        <v/>
      </c>
      <c r="BC20" s="21" t="str">
        <f>IF(AO20&lt;&gt;"",SUMPRODUCT((AZ18:AZ22=AZ20)*(AU18:AU22=AU20)*(AS18:AS22&gt;AS20)),"")</f>
        <v/>
      </c>
      <c r="BD20" s="21" t="str">
        <f>IF(AO20&lt;&gt;"",SUMPRODUCT((AZ18:AZ22=AZ20)*(AU18:AU22=AU20)*(AS18:AS22=AS20)*(AW18:AW22&gt;AW20)),"")</f>
        <v/>
      </c>
      <c r="BE20" s="21" t="str">
        <f>IF(AO20&lt;&gt;"",SUMPRODUCT((AZ18:AZ22=AZ20)*(AU18:AU22=AU20)*(AS18:AS22=AS20)*(AW18:AW22=AW20)*(AX18:AX22&gt;AX20)),"")</f>
        <v/>
      </c>
      <c r="BF20" s="21" t="str">
        <f>IF(AO20&lt;&gt;"",SUMPRODUCT((AZ18:AZ22=AZ20)*(AU18:AU22=AU20)*(AS18:AS22=AS20)*(AW18:AW22=AW20)*(AX18:AX22=AX20)*(AY18:AY22&gt;AY20)),"")</f>
        <v/>
      </c>
      <c r="BG20" s="21" t="str">
        <f>IF(AO20&lt;&gt;"",IF(BG60&lt;&gt;"",IF(AN57=3,BG60,BG60+AN57),SUM(BA20:BF20)+1),"")</f>
        <v/>
      </c>
      <c r="BH20" s="21" t="str">
        <f>IF(AO20&lt;&gt;"",INDEX(AO19:AO22,MATCH(3,BG19:BG22,0),0),"")</f>
        <v/>
      </c>
      <c r="BI20" s="21" t="str">
        <f>IF(R18&lt;&gt;"",R18,"")</f>
        <v/>
      </c>
      <c r="BJ20" s="21">
        <f>SUMPRODUCT((CZ3:CZ42=BI20)*(DC3:DC42=BI21)*(DD3:DD42="W"))+SUMPRODUCT((CZ3:CZ42=BI20)*(DC3:DC42=BI22)*(DD3:DD42="W"))+SUMPRODUCT((CZ3:CZ42=BI20)*(DC3:DC42=BI23)*(DD3:DD42="W"))+SUMPRODUCT((CZ3:CZ42=BI21)*(DC3:DC42=BI20)*(DE3:DE42="W"))+SUMPRODUCT((CZ3:CZ42=BI22)*(DC3:DC42=BI20)*(DE3:DE42="W"))+SUMPRODUCT((CZ3:CZ42=BI23)*(DC3:DC42=BI20)*(DE3:DE42="W"))</f>
        <v>0</v>
      </c>
      <c r="BK20" s="21">
        <f>SUMPRODUCT((CZ3:CZ42=BI20)*(DC3:DC42=BI21)*(DD3:DD42="D"))+SUMPRODUCT((CZ3:CZ42=BI20)*(DC3:DC42=BI22)*(DD3:DD42="D"))+SUMPRODUCT((CZ3:CZ42=BI20)*(DC3:DC42=BI23)*(DD3:DD42="D"))+SUMPRODUCT((CZ3:CZ42=BI21)*(DC3:DC42=BI20)*(DD3:DD42="D"))+SUMPRODUCT((CZ3:CZ42=BI22)*(DC3:DC42=BI20)*(DD3:DD42="D"))+SUMPRODUCT((CZ3:CZ42=BI23)*(DC3:DC42=BI20)*(DD3:DD42="D"))</f>
        <v>0</v>
      </c>
      <c r="BL20" s="21">
        <f>SUMPRODUCT((CZ3:CZ42=BI20)*(DC3:DC42=BI21)*(DD3:DD42="L"))+SUMPRODUCT((CZ3:CZ42=BI20)*(DC3:DC42=BI22)*(DD3:DD42="L"))+SUMPRODUCT((CZ3:CZ42=BI20)*(DC3:DC42=BI23)*(DD3:DD42="L"))+SUMPRODUCT((CZ3:CZ42=BI21)*(DC3:DC42=BI20)*(DE3:DE42="L"))+SUMPRODUCT((CZ3:CZ42=BI22)*(DC3:DC42=BI20)*(DE3:DE42="L"))+SUMPRODUCT((CZ3:CZ42=BI23)*(DC3:DC42=BI20)*(DE3:DE42="L"))</f>
        <v>0</v>
      </c>
      <c r="BM20" s="21">
        <f>SUMPRODUCT((CZ3:CZ42=BI20)*(DC3:DC42=BI21)*DA3:DA42)+SUMPRODUCT((CZ3:CZ42=BI20)*(DC3:DC42=BI22)*DA3:DA42)+SUMPRODUCT((CZ3:CZ42=BI20)*(DC3:DC42=BI18)*DA3:DA42)+SUMPRODUCT((CZ3:CZ42=BI20)*(DC3:DC42=BI19)*DA3:DA42)+SUMPRODUCT((CZ3:CZ42=BI21)*(DC3:DC42=BI20)*DB3:DB42)+SUMPRODUCT((CZ3:CZ42=BI22)*(DC3:DC42=BI20)*DB3:DB42)+SUMPRODUCT((CZ3:CZ42=BI18)*(DC3:DC42=BI20)*DB3:DB42)+SUMPRODUCT((CZ3:CZ42=BI19)*(DC3:DC42=BI20)*DB3:DB42)</f>
        <v>0</v>
      </c>
      <c r="BN20" s="21">
        <f>SUMPRODUCT((CZ3:CZ42=BI20)*(DC3:DC42=BI21)*DB3:DB42)+SUMPRODUCT((CZ3:CZ42=BI20)*(DC3:DC42=BI22)*DB3:DB42)+SUMPRODUCT((CZ3:CZ42=BI20)*(DC3:DC42=BI18)*DB3:DB42)+SUMPRODUCT((CZ3:CZ42=BI20)*(DC3:DC42=BI19)*DB3:DB42)+SUMPRODUCT((CZ3:CZ42=BI21)*(DC3:DC42=BI20)*DA3:DA42)+SUMPRODUCT((CZ3:CZ42=BI22)*(DC3:DC42=BI20)*DA3:DA42)+SUMPRODUCT((CZ3:CZ42=BI18)*(DC3:DC42=BI20)*DA3:DA42)+SUMPRODUCT((CZ3:CZ42=BI19)*(DC3:DC42=BI20)*DA3:DA42)</f>
        <v>0</v>
      </c>
      <c r="BO20" s="21">
        <f>BM20-BN20+1000</f>
        <v>1000</v>
      </c>
      <c r="BP20" s="21" t="str">
        <f t="shared" ref="BP20:BP21" si="32">IF(BI20&lt;&gt;"",BJ20*3+BK20*1,"")</f>
        <v/>
      </c>
      <c r="BQ20" s="21" t="str">
        <f>IF(BI20&lt;&gt;"",VLOOKUP(BI20,B4:H40,7,FALSE),"")</f>
        <v/>
      </c>
      <c r="BR20" s="21" t="str">
        <f>IF(BI20&lt;&gt;"",VLOOKUP(BI20,B4:H40,5,FALSE),"")</f>
        <v/>
      </c>
      <c r="BS20" s="21" t="str">
        <f>IF(BI20&lt;&gt;"",VLOOKUP(BI20,B4:J40,9,FALSE),"")</f>
        <v/>
      </c>
      <c r="BT20" s="21" t="str">
        <f t="shared" ref="BT20:BT21" si="33">BP20</f>
        <v/>
      </c>
      <c r="BU20" s="21" t="str">
        <f>IF(BI20&lt;&gt;"",RANK(BT20,BT18:BT22),"")</f>
        <v/>
      </c>
      <c r="BV20" s="21" t="str">
        <f>IF(BI20&lt;&gt;"",SUMPRODUCT((BT18:BT22=BT20)*(BO18:BO22&gt;BO20)),"")</f>
        <v/>
      </c>
      <c r="BW20" s="21" t="str">
        <f>IF(BI20&lt;&gt;"",SUMPRODUCT((BT18:BT22=BT20)*(BO18:BO22=BO20)*(BM18:BM22&gt;BM20)),"")</f>
        <v/>
      </c>
      <c r="BX20" s="21" t="str">
        <f>IF(BI20&lt;&gt;"",SUMPRODUCT((BT18:BT22=BT20)*(BO18:BO22=BO20)*(BM18:BM22=BM20)*(BQ18:BQ22&gt;BQ20)),"")</f>
        <v/>
      </c>
      <c r="BY20" s="21" t="str">
        <f>IF(BI20&lt;&gt;"",SUMPRODUCT((BT18:BT22=BT20)*(BO18:BO22=BO20)*(BM18:BM22=BM20)*(BQ18:BQ22=BQ20)*(BR18:BR22&gt;BR20)),"")</f>
        <v/>
      </c>
      <c r="BZ20" s="21" t="str">
        <f>IF(BI20&lt;&gt;"",SUMPRODUCT((BT18:BT22=BT20)*(BO18:BO22=BO20)*(BM18:BM22=BM20)*(BQ18:BQ22=BQ20)*(BR18:BR22=BR20)*(BS18:BS22&gt;BS20)),"")</f>
        <v/>
      </c>
      <c r="CA20" s="21" t="str">
        <f>IF(BI20&lt;&gt;"",SUM(BU20:BZ20)+2,"")</f>
        <v/>
      </c>
      <c r="CB20" s="21" t="str">
        <f>IF(BI20&lt;&gt;"",INDEX(BI20:BI22,MATCH(3,CA20:CA22,0),0),"")</f>
        <v/>
      </c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 t="str">
        <f>IF(CB20&lt;&gt;"",CB20,IF(BH20&lt;&gt;"",BH20,IF(AN20&lt;&gt;"",AN20,N20)))</f>
        <v>Ukraine</v>
      </c>
      <c r="CX20" s="21">
        <v>3</v>
      </c>
      <c r="CY20" s="21">
        <v>18</v>
      </c>
      <c r="CZ20" s="21" t="str">
        <f>Matches!E28</f>
        <v>Netherlands</v>
      </c>
      <c r="DA20" s="21">
        <f>IF(AND(Matches!F28&lt;&gt;"",Matches!G28&lt;&gt;""),Matches!F28,0)</f>
        <v>2</v>
      </c>
      <c r="DB20" s="21">
        <f>IF(AND(Matches!G28&lt;&gt;"",Matches!F28&lt;&gt;""),Matches!G28,0)</f>
        <v>0</v>
      </c>
      <c r="DC20" s="21" t="str">
        <f>Matches!H28</f>
        <v>Austria</v>
      </c>
      <c r="DD20" s="21" t="str">
        <f>IF(AND(Matches!F28&lt;&gt;"",Matches!G28&lt;&gt;""),IF(DA20&gt;DB20,"W",IF(DA20=DB20,"D","L")),"")</f>
        <v>W</v>
      </c>
      <c r="DE20" s="21" t="str">
        <f t="shared" si="0"/>
        <v>L</v>
      </c>
      <c r="DF20" s="21"/>
      <c r="DG20" s="21"/>
      <c r="DH20" s="216" t="s">
        <v>42</v>
      </c>
      <c r="DI20" s="217" t="s">
        <v>48</v>
      </c>
      <c r="DJ20" s="217" t="s">
        <v>39</v>
      </c>
      <c r="DK20" s="217" t="s">
        <v>41</v>
      </c>
      <c r="DL20" s="216" t="s">
        <v>41</v>
      </c>
      <c r="DM20" s="216" t="s">
        <v>39</v>
      </c>
      <c r="DN20" s="216" t="s">
        <v>48</v>
      </c>
      <c r="DO20" s="216" t="s">
        <v>42</v>
      </c>
      <c r="DP20" s="217"/>
      <c r="DQ20" s="218">
        <f>IFERROR(MATCH(DQ12,DH20:DK20,0),0)</f>
        <v>4</v>
      </c>
      <c r="DR20" s="218">
        <f>IFERROR(MATCH(DR12,DH20:DK20,0),0)</f>
        <v>3</v>
      </c>
      <c r="DS20" s="218">
        <f>IFERROR(MATCH(DS12,DH20:DK20,0),0)</f>
        <v>1</v>
      </c>
      <c r="DT20" s="218">
        <f>IFERROR(MATCH(DT12,DH20:DK20,0),0)</f>
        <v>2</v>
      </c>
      <c r="DU20" s="218">
        <f t="shared" si="22"/>
        <v>10</v>
      </c>
      <c r="DV20" s="217" t="s">
        <v>88</v>
      </c>
      <c r="DW20" s="217" t="str">
        <f>INDEX(DH3:DH8,MATCH(INDEX(DN13:DN27,MATCH(10,DU13:DU27,0),0),DV3:DV8,0),0)</f>
        <v>Ukraine</v>
      </c>
      <c r="DX20" s="217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  <c r="GI20" s="21"/>
      <c r="GJ20" s="21"/>
      <c r="GK20" s="21"/>
      <c r="GL20" s="21"/>
      <c r="GM20" s="21"/>
      <c r="GN20" s="21"/>
      <c r="GO20" s="21"/>
      <c r="GP20" s="21"/>
      <c r="GQ20" s="21"/>
      <c r="GR20" s="21"/>
      <c r="GS20" s="21"/>
      <c r="GT20" s="21"/>
      <c r="GU20" s="21"/>
      <c r="GV20" s="21"/>
      <c r="GW20" s="21"/>
      <c r="GX20" s="21"/>
      <c r="GY20" s="21"/>
      <c r="GZ20" s="21"/>
      <c r="HA20" s="21"/>
      <c r="HB20" s="21"/>
      <c r="HC20" s="21"/>
      <c r="HD20" s="21"/>
      <c r="HE20" s="21"/>
      <c r="HF20" s="21"/>
      <c r="HG20" s="21"/>
      <c r="HH20" s="21"/>
      <c r="HI20" s="21"/>
      <c r="HJ20" s="21"/>
      <c r="HK20" s="21"/>
      <c r="HL20" s="21"/>
      <c r="HM20" s="21"/>
      <c r="HN20" s="21"/>
      <c r="HO20" s="21"/>
      <c r="HP20" s="21"/>
      <c r="HQ20" s="21"/>
      <c r="HR20" s="21"/>
      <c r="HS20" s="21"/>
      <c r="HT20" s="21"/>
      <c r="HU20" s="21"/>
      <c r="HV20" s="21"/>
      <c r="HW20" s="21"/>
      <c r="HX20" s="21"/>
      <c r="HY20" s="214"/>
      <c r="HZ20" s="214"/>
      <c r="IA20" s="21"/>
      <c r="IB20" s="21"/>
      <c r="IC20" s="21"/>
      <c r="ID20" s="21"/>
      <c r="IE20" s="21"/>
      <c r="IF20" s="216"/>
      <c r="IG20" s="217"/>
      <c r="IH20" s="217"/>
      <c r="II20" s="217"/>
      <c r="IJ20" s="216"/>
      <c r="IK20" s="216"/>
      <c r="IL20" s="216"/>
      <c r="IM20" s="216"/>
      <c r="IN20" s="217"/>
      <c r="IO20" s="218"/>
      <c r="IP20" s="218"/>
      <c r="IQ20" s="218"/>
      <c r="IR20" s="218"/>
      <c r="IS20" s="218"/>
      <c r="IT20" s="217"/>
      <c r="IU20" s="217"/>
      <c r="IV20" s="217"/>
    </row>
    <row r="21" spans="1:256" ht="14" x14ac:dyDescent="0.2">
      <c r="A21" s="21">
        <f>VLOOKUP(B21,CW18:CX22,2,FALSE)</f>
        <v>4</v>
      </c>
      <c r="B21" s="21" t="str">
        <f>Matches!AH21</f>
        <v>North Macedonia</v>
      </c>
      <c r="C21" s="21">
        <f>SUMPRODUCT((CZ3:CZ42=B21)*(DD3:DD42="W"))+SUMPRODUCT((DC3:DC42=B21)*(DE3:DE42="W"))</f>
        <v>0</v>
      </c>
      <c r="D21" s="21">
        <f>SUMPRODUCT((CZ3:CZ42=B21)*(DD3:DD42="D"))+SUMPRODUCT((DC3:DC42=B21)*(DE3:DE42="D"))</f>
        <v>0</v>
      </c>
      <c r="E21" s="21">
        <f>SUMPRODUCT((CZ3:CZ42=B21)*(DD3:DD42="L"))+SUMPRODUCT((DC3:DC42=B21)*(DE3:DE42="L"))</f>
        <v>3</v>
      </c>
      <c r="F21" s="21">
        <f>SUMIF(CZ3:CZ60,B21,DA3:DA60)+SUMIF(DC3:DC60,B21,DB3:DB60)</f>
        <v>2</v>
      </c>
      <c r="G21" s="21">
        <f>SUMIF(DC3:DC60,B21,DA3:DA60)+SUMIF(CZ3:CZ60,B21,DB3:DB60)</f>
        <v>8</v>
      </c>
      <c r="H21" s="21">
        <f t="shared" si="25"/>
        <v>994</v>
      </c>
      <c r="I21" s="21">
        <f t="shared" si="26"/>
        <v>0</v>
      </c>
      <c r="J21" s="21">
        <v>26</v>
      </c>
      <c r="K21" s="21">
        <f>IF(COUNTIF(I18:I22,4)&lt;&gt;4,RANK(I21,I18:I22),I61)</f>
        <v>4</v>
      </c>
      <c r="L21" s="21"/>
      <c r="M21" s="21">
        <f>SUMPRODUCT((K18:K21=K21)*(J18:J21&lt;J21))+K21</f>
        <v>4</v>
      </c>
      <c r="N21" s="21" t="str">
        <f>INDEX(B18:B22,MATCH(4,M18:M22,0),0)</f>
        <v>North Macedonia</v>
      </c>
      <c r="O21" s="21">
        <f>INDEX(K18:K22,MATCH(N21,B18:B22,0),0)</f>
        <v>4</v>
      </c>
      <c r="P21" s="21" t="str">
        <f>IF(AND(P20&lt;&gt;"",O21=1),N21,"")</f>
        <v/>
      </c>
      <c r="Q21" s="21" t="str">
        <f>IF(AND(Q20&lt;&gt;"",O22=2),N22,"")</f>
        <v/>
      </c>
      <c r="R21" s="21"/>
      <c r="S21" s="21"/>
      <c r="T21" s="21"/>
      <c r="U21" s="21" t="str">
        <f t="shared" si="29"/>
        <v/>
      </c>
      <c r="V21" s="21">
        <f>SUMPRODUCT((CZ3:CZ42=U21)*(DC3:DC42=U22)*(DD3:DD42="W"))+SUMPRODUCT((CZ3:CZ42=U21)*(DC3:DC42=U18)*(DD3:DD42="W"))+SUMPRODUCT((CZ3:CZ42=U21)*(DC3:DC42=U19)*(DD3:DD42="W"))+SUMPRODUCT((CZ3:CZ42=U21)*(DC3:DC42=U20)*(DD3:DD42="W"))+SUMPRODUCT((CZ3:CZ42=U22)*(DC3:DC42=U21)*(DE3:DE42="W"))+SUMPRODUCT((CZ3:CZ42=U18)*(DC3:DC42=U21)*(DE3:DE42="W"))+SUMPRODUCT((CZ3:CZ42=U19)*(DC3:DC42=U21)*(DE3:DE42="W"))+SUMPRODUCT((CZ3:CZ42=U20)*(DC3:DC42=U21)*(DE3:DE42="W"))</f>
        <v>0</v>
      </c>
      <c r="W21" s="21">
        <f>SUMPRODUCT((CZ3:CZ42=U21)*(DC3:DC42=U22)*(DD3:DD42="D"))+SUMPRODUCT((CZ3:CZ42=U21)*(DC3:DC42=U18)*(DD3:DD42="D"))+SUMPRODUCT((CZ3:CZ42=U21)*(DC3:DC42=U19)*(DD3:DD42="D"))+SUMPRODUCT((CZ3:CZ42=U21)*(DC3:DC42=U20)*(DD3:DD42="D"))+SUMPRODUCT((CZ3:CZ42=U22)*(DC3:DC42=U21)*(DD3:DD42="D"))+SUMPRODUCT((CZ3:CZ42=U18)*(DC3:DC42=U21)*(DD3:DD42="D"))+SUMPRODUCT((CZ3:CZ42=U19)*(DC3:DC42=U21)*(DD3:DD42="D"))+SUMPRODUCT((CZ3:CZ42=U20)*(DC3:DC42=U21)*(DD3:DD42="D"))</f>
        <v>0</v>
      </c>
      <c r="X21" s="21">
        <f>SUMPRODUCT((CZ3:CZ42=U21)*(DC3:DC42=U22)*(DD3:DD42="L"))+SUMPRODUCT((CZ3:CZ42=U21)*(DC3:DC42=U18)*(DD3:DD42="L"))+SUMPRODUCT((CZ3:CZ42=U21)*(DC3:DC42=U19)*(DD3:DD42="L"))+SUMPRODUCT((CZ3:CZ42=U21)*(DC3:DC42=U20)*(DD3:DD42="L"))+SUMPRODUCT((CZ3:CZ42=U22)*(DC3:DC42=U21)*(DE3:DE42="L"))+SUMPRODUCT((CZ3:CZ42=U18)*(DC3:DC42=U21)*(DE3:DE42="L"))+SUMPRODUCT((CZ3:CZ42=U19)*(DC3:DC42=U21)*(DE3:DE42="L"))+SUMPRODUCT((CZ3:CZ42=U20)*(DC3:DC42=U21)*(DE3:DE42="L"))</f>
        <v>0</v>
      </c>
      <c r="Y21" s="21">
        <f>SUMPRODUCT((CZ3:CZ42=U21)*(DC3:DC42=U22)*DA3:DA42)+SUMPRODUCT((CZ3:CZ42=U21)*(DC3:DC42=U18)*DA3:DA42)+SUMPRODUCT((CZ3:CZ42=U21)*(DC3:DC42=U19)*DA3:DA42)+SUMPRODUCT((CZ3:CZ42=U21)*(DC3:DC42=U20)*DA3:DA42)+SUMPRODUCT((CZ3:CZ42=U22)*(DC3:DC42=U21)*DB3:DB42)+SUMPRODUCT((CZ3:CZ42=U18)*(DC3:DC42=U21)*DB3:DB42)+SUMPRODUCT((CZ3:CZ42=U19)*(DC3:DC42=U21)*DB3:DB42)+SUMPRODUCT((CZ3:CZ42=U20)*(DC3:DC42=U21)*DB3:DB42)</f>
        <v>0</v>
      </c>
      <c r="Z21" s="21">
        <f>SUMPRODUCT((CZ3:CZ42=U21)*(DC3:DC42=U22)*DB3:DB42)+SUMPRODUCT((CZ3:CZ42=U21)*(DC3:DC42=U18)*DB3:DB42)+SUMPRODUCT((CZ3:CZ42=U21)*(DC3:DC42=U19)*DB3:DB42)+SUMPRODUCT((CZ3:CZ42=U21)*(DC3:DC42=U20)*DB3:DB42)+SUMPRODUCT((CZ3:CZ42=U22)*(DC3:DC42=U21)*DA3:DA42)+SUMPRODUCT((CZ3:CZ42=U18)*(DC3:DC42=U21)*DA3:DA42)+SUMPRODUCT((CZ3:CZ42=U19)*(DC3:DC42=U21)*DA3:DA42)+SUMPRODUCT((CZ3:CZ42=U20)*(DC3:DC42=U21)*DA3:DA42)</f>
        <v>0</v>
      </c>
      <c r="AA21" s="21">
        <f>Y21-Z21+1000</f>
        <v>1000</v>
      </c>
      <c r="AB21" s="21" t="str">
        <f t="shared" si="27"/>
        <v/>
      </c>
      <c r="AC21" s="21" t="str">
        <f>IF(U21&lt;&gt;"",VLOOKUP(U21,B4:H40,7,FALSE),"")</f>
        <v/>
      </c>
      <c r="AD21" s="21" t="str">
        <f>IF(U21&lt;&gt;"",VLOOKUP(U21,B4:H40,5,FALSE),"")</f>
        <v/>
      </c>
      <c r="AE21" s="21" t="str">
        <f>IF(U21&lt;&gt;"",VLOOKUP(U21,B4:J40,9,FALSE),"")</f>
        <v/>
      </c>
      <c r="AF21" s="21" t="str">
        <f t="shared" si="28"/>
        <v/>
      </c>
      <c r="AG21" s="21" t="str">
        <f>IF(U21&lt;&gt;"",RANK(AF21,AF18:AF22),"")</f>
        <v/>
      </c>
      <c r="AH21" s="21" t="str">
        <f>IF(U21&lt;&gt;"",SUMPRODUCT((AF18:AF22=AF21)*(AA18:AA22&gt;AA21)),"")</f>
        <v/>
      </c>
      <c r="AI21" s="21" t="str">
        <f>IF(U21&lt;&gt;"",SUMPRODUCT((AF18:AF22=AF21)*(AA18:AA22=AA21)*(Y18:Y22&gt;Y21)),"")</f>
        <v/>
      </c>
      <c r="AJ21" s="21" t="str">
        <f>IF(U21&lt;&gt;"",SUMPRODUCT((AF18:AF22=AF21)*(AA18:AA22=AA21)*(Y18:Y22=Y21)*(AC18:AC22&gt;AC21)),"")</f>
        <v/>
      </c>
      <c r="AK21" s="21" t="str">
        <f>IF(U21&lt;&gt;"",SUMPRODUCT((AF18:AF22=AF21)*(AA18:AA22=AA21)*(Y18:Y22=Y21)*(AC18:AC22=AC21)*(AD18:AD22&gt;AD21)),"")</f>
        <v/>
      </c>
      <c r="AL21" s="21" t="str">
        <f>IF(U21&lt;&gt;"",SUMPRODUCT((AF18:AF22=AF21)*(AA18:AA22=AA21)*(Y18:Y22=Y21)*(AC18:AC22=AC21)*(AD18:AD22=AD21)*(AE18:AE22&gt;AE21)),"")</f>
        <v/>
      </c>
      <c r="AM21" s="21" t="str">
        <f>IF(U21&lt;&gt;"",IF(AM61&lt;&gt;"",IF(T57=3,AM61,AM61+T57),SUM(AG21:AL21)),"")</f>
        <v/>
      </c>
      <c r="AN21" s="21" t="str">
        <f>IF(U21&lt;&gt;"",INDEX(U18:U22,MATCH(4,AM18:AM22,0),0),"")</f>
        <v/>
      </c>
      <c r="AO21" s="21" t="str">
        <f>IF(Q20&lt;&gt;"",Q20,"")</f>
        <v/>
      </c>
      <c r="AP21" s="21" t="str">
        <f>IF(AO21&lt;&gt;"",SUMPRODUCT((CZ3:CZ42=AO21)*(DC3:DC42=AO22)*(DD3:DD42="W"))+SUMPRODUCT((CZ3:CZ42=AO21)*(DC3:DC42=AO19)*(DD3:DD42="W"))+SUMPRODUCT((CZ3:CZ42=AO21)*(DC3:DC42=AO20)*(DD3:DD42="W"))+SUMPRODUCT((CZ3:CZ42=AO22)*(DC3:DC42=AO21)*(DE3:DE42="W"))+SUMPRODUCT((CZ3:CZ42=AO19)*(DC3:DC42=AO21)*(DE3:DE42="W"))+SUMPRODUCT((CZ3:CZ42=AO20)*(DC3:DC42=AO21)*(DE3:DE42="W")),"")</f>
        <v/>
      </c>
      <c r="AQ21" s="21" t="str">
        <f>IF(AO21&lt;&gt;"",SUMPRODUCT((CZ3:CZ42=AO21)*(DC3:DC42=AO22)*(DD3:DD42="D"))+SUMPRODUCT((CZ3:CZ42=AO21)*(DC3:DC42=AO19)*(DD3:DD42="D"))+SUMPRODUCT((CZ3:CZ42=AO21)*(DC3:DC42=AO20)*(DD3:DD42="D"))+SUMPRODUCT((CZ3:CZ42=AO22)*(DC3:DC42=AO21)*(DD3:DD42="D"))+SUMPRODUCT((CZ3:CZ42=AO19)*(DC3:DC42=AO21)*(DD3:DD42="D"))+SUMPRODUCT((CZ3:CZ42=AO20)*(DC3:DC42=AO21)*(DD3:DD42="D")),"")</f>
        <v/>
      </c>
      <c r="AR21" s="21" t="str">
        <f>IF(AO21&lt;&gt;"",SUMPRODUCT((CZ3:CZ42=AO21)*(DC3:DC42=AO22)*(DD3:DD42="L"))+SUMPRODUCT((CZ3:CZ42=AO21)*(DC3:DC42=AO19)*(DD3:DD42="L"))+SUMPRODUCT((CZ3:CZ42=AO21)*(DC3:DC42=AO20)*(DD3:DD42="L"))+SUMPRODUCT((CZ3:CZ42=AO22)*(DC3:DC42=AO21)*(DE3:DE42="L"))+SUMPRODUCT((CZ3:CZ42=AO19)*(DC3:DC42=AO21)*(DE3:DE42="L"))+SUMPRODUCT((CZ3:CZ42=AO20)*(DC3:DC42=AO21)*(DE3:DE42="L")),"")</f>
        <v/>
      </c>
      <c r="AS21" s="21">
        <f>SUMPRODUCT((CZ3:CZ42=AO21)*(DC3:DC42=AO22)*DA3:DA42)+SUMPRODUCT((CZ3:CZ42=AO21)*(DC3:DC42=AO18)*DA3:DA42)+SUMPRODUCT((CZ3:CZ42=AO21)*(DC3:DC42=AO19)*DA3:DA42)+SUMPRODUCT((CZ3:CZ42=AO21)*(DC3:DC42=AO20)*DA3:DA42)+SUMPRODUCT((CZ3:CZ42=AO22)*(DC3:DC42=AO21)*DB3:DB42)+SUMPRODUCT((CZ3:CZ42=AO18)*(DC3:DC42=AO21)*DB3:DB42)+SUMPRODUCT((CZ3:CZ42=AO19)*(DC3:DC42=AO21)*DB3:DB42)+SUMPRODUCT((CZ3:CZ42=AO20)*(DC3:DC42=AO21)*DB3:DB42)</f>
        <v>0</v>
      </c>
      <c r="AT21" s="21">
        <f>SUMPRODUCT((CZ3:CZ42=AO21)*(DC3:DC42=AO22)*DB3:DB42)+SUMPRODUCT((CZ3:CZ42=AO21)*(DC3:DC42=AO18)*DB3:DB42)+SUMPRODUCT((CZ3:CZ42=AO21)*(DC3:DC42=AO19)*DB3:DB42)+SUMPRODUCT((CZ3:CZ42=AO21)*(DC3:DC42=AO20)*DB3:DB42)+SUMPRODUCT((CZ3:CZ42=AO22)*(DC3:DC42=AO21)*DA3:DA42)+SUMPRODUCT((CZ3:CZ42=AO18)*(DC3:DC42=AO21)*DA3:DA42)+SUMPRODUCT((CZ3:CZ42=AO19)*(DC3:DC42=AO21)*DA3:DA42)+SUMPRODUCT((CZ3:CZ42=AO20)*(DC3:DC42=AO21)*DA3:DA42)</f>
        <v>0</v>
      </c>
      <c r="AU21" s="21">
        <f>AS21-AT21+1000</f>
        <v>1000</v>
      </c>
      <c r="AV21" s="21" t="str">
        <f t="shared" si="30"/>
        <v/>
      </c>
      <c r="AW21" s="21" t="str">
        <f>IF(AO21&lt;&gt;"",VLOOKUP(AO21,B4:H40,7,FALSE),"")</f>
        <v/>
      </c>
      <c r="AX21" s="21" t="str">
        <f>IF(AO21&lt;&gt;"",VLOOKUP(AO21,B4:H40,5,FALSE),"")</f>
        <v/>
      </c>
      <c r="AY21" s="21" t="str">
        <f>IF(AO21&lt;&gt;"",VLOOKUP(AO21,B4:J40,9,FALSE),"")</f>
        <v/>
      </c>
      <c r="AZ21" s="21" t="str">
        <f t="shared" si="31"/>
        <v/>
      </c>
      <c r="BA21" s="21" t="str">
        <f>IF(AO21&lt;&gt;"",RANK(AZ21,AZ18:AZ22),"")</f>
        <v/>
      </c>
      <c r="BB21" s="21" t="str">
        <f>IF(AO21&lt;&gt;"",SUMPRODUCT((AZ18:AZ22=AZ21)*(AU18:AU22&gt;AU21)),"")</f>
        <v/>
      </c>
      <c r="BC21" s="21" t="str">
        <f>IF(AO21&lt;&gt;"",SUMPRODUCT((AZ18:AZ22=AZ21)*(AU18:AU22=AU21)*(AS18:AS22&gt;AS21)),"")</f>
        <v/>
      </c>
      <c r="BD21" s="21" t="str">
        <f>IF(AO21&lt;&gt;"",SUMPRODUCT((AZ18:AZ22=AZ21)*(AU18:AU22=AU21)*(AS18:AS22=AS21)*(AW18:AW22&gt;AW21)),"")</f>
        <v/>
      </c>
      <c r="BE21" s="21" t="str">
        <f>IF(AO21&lt;&gt;"",SUMPRODUCT((AZ18:AZ22=AZ21)*(AU18:AU22=AU21)*(AS18:AS22=AS21)*(AW18:AW22=AW21)*(AX18:AX22&gt;AX21)),"")</f>
        <v/>
      </c>
      <c r="BF21" s="21" t="str">
        <f>IF(AO21&lt;&gt;"",SUMPRODUCT((AZ18:AZ22=AZ21)*(AU18:AU22=AU21)*(AS18:AS22=AS21)*(AW18:AW22=AW21)*(AX18:AX22=AX21)*(AY18:AY22&gt;AY21)),"")</f>
        <v/>
      </c>
      <c r="BG21" s="21" t="str">
        <f>IF(AO21&lt;&gt;"",IF(BG61&lt;&gt;"",IF(AN57=3,BG61,BG61+AN57),SUM(BA21:BF21)+1),"")</f>
        <v/>
      </c>
      <c r="BH21" s="21" t="str">
        <f>IF(AO21&lt;&gt;"",INDEX(AO19:AO22,MATCH(4,BG19:BG22,0),0),"")</f>
        <v/>
      </c>
      <c r="BI21" s="21" t="str">
        <f>IF(R19&lt;&gt;"",R19,"")</f>
        <v/>
      </c>
      <c r="BJ21" s="21">
        <f>SUMPRODUCT((CZ3:CZ42=BI21)*(DC3:DC42=BI22)*(DD3:DD42="W"))+SUMPRODUCT((CZ3:CZ42=BI21)*(DC3:DC42=BI23)*(DD3:DD42="W"))+SUMPRODUCT((CZ3:CZ42=BI21)*(DC3:DC42=BI20)*(DD3:DD42="W"))+SUMPRODUCT((CZ3:CZ42=BI22)*(DC3:DC42=BI21)*(DE3:DE42="W"))+SUMPRODUCT((CZ3:CZ42=BI23)*(DC3:DC42=BI21)*(DE3:DE42="W"))+SUMPRODUCT((CZ3:CZ42=BI20)*(DC3:DC42=BI21)*(DE3:DE42="W"))</f>
        <v>0</v>
      </c>
      <c r="BK21" s="21">
        <f>SUMPRODUCT((CZ3:CZ42=BI21)*(DC3:DC42=BI22)*(DD3:DD42="D"))+SUMPRODUCT((CZ3:CZ42=BI21)*(DC3:DC42=BI23)*(DD3:DD42="D"))+SUMPRODUCT((CZ3:CZ42=BI21)*(DC3:DC42=BI20)*(DD3:DD42="D"))+SUMPRODUCT((CZ3:CZ42=BI22)*(DC3:DC42=BI21)*(DD3:DD42="D"))+SUMPRODUCT((CZ3:CZ42=BI23)*(DC3:DC42=BI21)*(DD3:DD42="D"))+SUMPRODUCT((CZ3:CZ42=BI20)*(DC3:DC42=BI21)*(DD3:DD42="D"))</f>
        <v>0</v>
      </c>
      <c r="BL21" s="21">
        <f>SUMPRODUCT((CZ3:CZ42=BI21)*(DC3:DC42=BI22)*(DD3:DD42="L"))+SUMPRODUCT((CZ3:CZ42=BI21)*(DC3:DC42=BI23)*(DD3:DD42="L"))+SUMPRODUCT((CZ3:CZ42=BI21)*(DC3:DC42=BI20)*(DD3:DD42="L"))+SUMPRODUCT((CZ3:CZ42=BI22)*(DC3:DC42=BI21)*(DE3:DE42="L"))+SUMPRODUCT((CZ3:CZ42=BI23)*(DC3:DC42=BI21)*(DE3:DE42="L"))+SUMPRODUCT((CZ3:CZ42=BI20)*(DC3:DC42=BI21)*(DE3:DE42="L"))</f>
        <v>0</v>
      </c>
      <c r="BM21" s="21">
        <f>SUMPRODUCT((CZ3:CZ42=BI21)*(DC3:DC42=BI22)*DA3:DA42)+SUMPRODUCT((CZ3:CZ42=BI21)*(DC3:DC42=BI18)*DA3:DA42)+SUMPRODUCT((CZ3:CZ42=BI21)*(DC3:DC42=BI19)*DA3:DA42)+SUMPRODUCT((CZ3:CZ42=BI21)*(DC3:DC42=BI20)*DA3:DA42)+SUMPRODUCT((CZ3:CZ42=BI22)*(DC3:DC42=BI21)*DB3:DB42)+SUMPRODUCT((CZ3:CZ42=BI18)*(DC3:DC42=BI21)*DB3:DB42)+SUMPRODUCT((CZ3:CZ42=BI19)*(DC3:DC42=BI21)*DB3:DB42)+SUMPRODUCT((CZ3:CZ42=BI20)*(DC3:DC42=BI21)*DB3:DB42)</f>
        <v>0</v>
      </c>
      <c r="BN21" s="21">
        <f>SUMPRODUCT((CZ3:CZ42=BI21)*(DC3:DC42=BI22)*DB3:DB42)+SUMPRODUCT((CZ3:CZ42=BI21)*(DC3:DC42=BI18)*DB3:DB42)+SUMPRODUCT((CZ3:CZ42=BI21)*(DC3:DC42=BI19)*DB3:DB42)+SUMPRODUCT((CZ3:CZ42=BI21)*(DC3:DC42=BI20)*DB3:DB42)+SUMPRODUCT((CZ3:CZ42=BI22)*(DC3:DC42=BI21)*DA3:DA42)+SUMPRODUCT((CZ3:CZ42=BI18)*(DC3:DC42=BI21)*DA3:DA42)+SUMPRODUCT((CZ3:CZ42=BI19)*(DC3:DC42=BI21)*DA3:DA42)+SUMPRODUCT((CZ3:CZ42=BI20)*(DC3:DC42=BI21)*DA3:DA42)</f>
        <v>0</v>
      </c>
      <c r="BO21" s="21">
        <f>BM21-BN21+1000</f>
        <v>1000</v>
      </c>
      <c r="BP21" s="21" t="str">
        <f t="shared" si="32"/>
        <v/>
      </c>
      <c r="BQ21" s="21" t="str">
        <f>IF(BI21&lt;&gt;"",VLOOKUP(BI21,B4:H40,7,FALSE),"")</f>
        <v/>
      </c>
      <c r="BR21" s="21" t="str">
        <f>IF(BI21&lt;&gt;"",VLOOKUP(BI21,B4:H40,5,FALSE),"")</f>
        <v/>
      </c>
      <c r="BS21" s="21" t="str">
        <f>IF(BI21&lt;&gt;"",VLOOKUP(BI21,B4:J40,9,FALSE),"")</f>
        <v/>
      </c>
      <c r="BT21" s="21" t="str">
        <f t="shared" si="33"/>
        <v/>
      </c>
      <c r="BU21" s="21" t="str">
        <f>IF(BI21&lt;&gt;"",RANK(BT21,BT18:BT22),"")</f>
        <v/>
      </c>
      <c r="BV21" s="21" t="str">
        <f>IF(BI21&lt;&gt;"",SUMPRODUCT((BT18:BT22=BT21)*(BO18:BO22&gt;BO21)),"")</f>
        <v/>
      </c>
      <c r="BW21" s="21" t="str">
        <f>IF(BI21&lt;&gt;"",SUMPRODUCT((BT18:BT22=BT21)*(BO18:BO22=BO21)*(BM18:BM22&gt;BM21)),"")</f>
        <v/>
      </c>
      <c r="BX21" s="21" t="str">
        <f>IF(BI21&lt;&gt;"",SUMPRODUCT((BT18:BT22=BT21)*(BO18:BO22=BO21)*(BM18:BM22=BM21)*(BQ18:BQ22&gt;BQ21)),"")</f>
        <v/>
      </c>
      <c r="BY21" s="21" t="str">
        <f>IF(BI21&lt;&gt;"",SUMPRODUCT((BT18:BT22=BT21)*(BO18:BO22=BO21)*(BM18:BM22=BM21)*(BQ18:BQ22=BQ21)*(BR18:BR22&gt;BR21)),"")</f>
        <v/>
      </c>
      <c r="BZ21" s="21" t="str">
        <f>IF(BI21&lt;&gt;"",SUMPRODUCT((BT18:BT22=BT21)*(BO18:BO22=BO21)*(BM18:BM22=BM21)*(BQ18:BQ22=BQ21)*(BR18:BR22=BR21)*(BS18:BS22&gt;BS21)),"")</f>
        <v/>
      </c>
      <c r="CA21" s="21" t="str">
        <f>IF(BI21&lt;&gt;"",SUM(BU21:BZ21)+2,"")</f>
        <v/>
      </c>
      <c r="CB21" s="21" t="str">
        <f>IF(BI21&lt;&gt;"",INDEX(BI20:BI22,MATCH(4,CA20:CA22,0),0),"")</f>
        <v/>
      </c>
      <c r="CC21" s="21" t="str">
        <f>IF(S18&lt;&gt;"",S18,"")</f>
        <v/>
      </c>
      <c r="CD21" s="21">
        <f>SUMPRODUCT((CZ3:CZ42=CC21)*(DC3:DC42=CC22)*(DD3:DD42="W"))+SUMPRODUCT((CZ3:CZ42=CC21)*(DC3:DC42=CC23)*(DD3:DD42="W"))+SUMPRODUCT((CZ3:CZ42=CC21)*(DC3:DC42=CC24)*(DD3:DD42="W"))+SUMPRODUCT((CZ3:CZ42=CC22)*(DC3:DC42=CC21)*(DE3:DE42="W"))+SUMPRODUCT((CZ3:CZ42=CC23)*(DC3:DC42=CC21)*(DE3:DE42="W"))+SUMPRODUCT((CZ3:CZ42=CC24)*(DC3:DC42=CC21)*(DE3:DE42="W"))</f>
        <v>0</v>
      </c>
      <c r="CE21" s="21">
        <f>SUMPRODUCT((CZ3:CZ42=CC21)*(DC3:DC42=CC22)*(DD3:DD42="D"))+SUMPRODUCT((CZ3:CZ42=CC21)*(DC3:DC42=CC23)*(DD3:DD42="D"))+SUMPRODUCT((CZ3:CZ42=CC21)*(DC3:DC42=CC24)*(DD3:DD42="D"))+SUMPRODUCT((CZ3:CZ42=CC22)*(DC3:DC42=CC21)*(DD3:DD42="D"))+SUMPRODUCT((CZ3:CZ42=CC23)*(DC3:DC42=CC21)*(DD3:DD42="D"))+SUMPRODUCT((CZ3:CZ42=CC24)*(DC3:DC42=CC21)*(DD3:DD42="D"))</f>
        <v>0</v>
      </c>
      <c r="CF21" s="21">
        <f>SUMPRODUCT((CZ3:CZ42=CC21)*(DC3:DC42=CC22)*(DD3:DD42="L"))+SUMPRODUCT((CZ3:CZ42=CC21)*(DC3:DC42=CC23)*(DD3:DD42="L"))+SUMPRODUCT((CZ3:CZ42=CC21)*(DC3:DC42=CC24)*(DD3:DD42="L"))+SUMPRODUCT((CZ3:CZ42=CC22)*(DC3:DC42=CC21)*(DE3:DE42="L"))+SUMPRODUCT((CZ3:CZ42=CC23)*(DC3:DC42=CC21)*(DE3:DE42="L"))+SUMPRODUCT((CZ3:CZ42=CC24)*(DC3:DC42=CC21)*(DE3:DE42="L"))</f>
        <v>0</v>
      </c>
      <c r="CG21" s="21">
        <f>SUMPRODUCT((CZ3:CZ42=CC21)*(DC3:DC42=CC22)*DA3:DA42)+SUMPRODUCT((CZ3:CZ42=CC21)*(DC3:DC42=CC18)*DA3:DA42)+SUMPRODUCT((CZ3:CZ42=CC21)*(DC3:DC42=CC19)*DA3:DA42)+SUMPRODUCT((CZ3:CZ42=CC21)*(DC3:DC42=CC20)*DA3:DA42)+SUMPRODUCT((CZ3:CZ42=CC22)*(DC3:DC42=CC21)*DB3:DB42)+SUMPRODUCT((CZ3:CZ42=CC18)*(DC3:DC42=CC21)*DB3:DB42)+SUMPRODUCT((CZ3:CZ42=CC19)*(DC3:DC42=CC21)*DB3:DB42)+SUMPRODUCT((CZ3:CZ42=CC20)*(DC3:DC42=CC21)*DB3:DB42)</f>
        <v>0</v>
      </c>
      <c r="CH21" s="21">
        <f>SUMPRODUCT((CZ3:CZ42=CC21)*(DC3:DC42=CC22)*DB3:DB42)+SUMPRODUCT((CZ3:CZ42=CC21)*(DC3:DC42=CC18)*DB3:DB42)+SUMPRODUCT((CZ3:CZ42=CC21)*(DC3:DC42=CC19)*DB3:DB42)+SUMPRODUCT((CZ3:CZ42=CC21)*(DC3:DC42=CC20)*DB3:DB42)+SUMPRODUCT((CZ3:CZ42=CC22)*(DC3:DC42=CC21)*DA3:DA42)+SUMPRODUCT((CZ3:CZ42=CC18)*(DC3:DC42=CC21)*DA3:DA42)+SUMPRODUCT((CZ3:CZ42=CC19)*(DC3:DC42=CC21)*DA3:DA42)+SUMPRODUCT((CZ3:CZ42=CC20)*(DC3:DC42=CC21)*DA3:DA42)</f>
        <v>0</v>
      </c>
      <c r="CI21" s="21">
        <f>CG21-CH21+1000</f>
        <v>1000</v>
      </c>
      <c r="CJ21" s="21" t="str">
        <f t="shared" ref="CJ21" si="34">IF(CC21&lt;&gt;"",CD21*3+CE21*1,"")</f>
        <v/>
      </c>
      <c r="CK21" s="21" t="str">
        <f>IF(CC21&lt;&gt;"",VLOOKUP(CC21,B4:H40,7,FALSE),"")</f>
        <v/>
      </c>
      <c r="CL21" s="21" t="str">
        <f>IF(CC21&lt;&gt;"",VLOOKUP(CC21,B4:H40,5,FALSE),"")</f>
        <v/>
      </c>
      <c r="CM21" s="21" t="str">
        <f>IF(CC21&lt;&gt;"",VLOOKUP(CC21,B4:J40,9,FALSE),"")</f>
        <v/>
      </c>
      <c r="CN21" s="21" t="str">
        <f t="shared" ref="CN21" si="35">CJ21</f>
        <v/>
      </c>
      <c r="CO21" s="21" t="str">
        <f>IF(CC21&lt;&gt;"",RANK(CN21,CN18:CN22),"")</f>
        <v/>
      </c>
      <c r="CP21" s="21" t="str">
        <f>IF(CC21&lt;&gt;"",SUMPRODUCT((CN18:CN22=CN21)*(CI18:CI22&gt;CI21)),"")</f>
        <v/>
      </c>
      <c r="CQ21" s="21" t="str">
        <f>IF(CC21&lt;&gt;"",SUMPRODUCT((CN18:CN22=CN21)*(CI18:CI22=CI21)*(CG18:CG22&gt;CG21)),"")</f>
        <v/>
      </c>
      <c r="CR21" s="21" t="str">
        <f>IF(CC21&lt;&gt;"",SUMPRODUCT((CN18:CN22=CN21)*(CI18:CI22=CI21)*(CG18:CG22=CG21)*(CK18:CK22&gt;CK21)),"")</f>
        <v/>
      </c>
      <c r="CS21" s="21" t="str">
        <f>IF(CC21&lt;&gt;"",SUMPRODUCT((CN18:CN22=CN21)*(CI18:CI22=CI21)*(CG18:CG22=CG21)*(CK18:CK22=CK21)*(CL18:CL22&gt;CL21)),"")</f>
        <v/>
      </c>
      <c r="CT21" s="21" t="str">
        <f>IF(CC21&lt;&gt;"",SUMPRODUCT((CN18:CN22=CN21)*(CI18:CI22=CI21)*(CG18:CG22=CG21)*(CK18:CK22=CK21)*(CL18:CL22=CL21)*(CM18:CM22&gt;CM21)),"")</f>
        <v/>
      </c>
      <c r="CU21" s="21" t="str">
        <f>IF(CC21&lt;&gt;"",SUM(CO21:CT21)+3,"")</f>
        <v/>
      </c>
      <c r="CV21" s="21" t="str">
        <f>IF(CC21&lt;&gt;"",IF(CU21=4,CC21,CC22),"")</f>
        <v/>
      </c>
      <c r="CW21" s="21" t="str">
        <f>IF(CV21&lt;&gt;"",CV21,IF(CB21&lt;&gt;"",CB21,IF(BH21&lt;&gt;"",BH21,IF(AN21&lt;&gt;"",AN21,N21))))</f>
        <v>North Macedonia</v>
      </c>
      <c r="CX21" s="21">
        <v>4</v>
      </c>
      <c r="CY21" s="21">
        <v>19</v>
      </c>
      <c r="CZ21" s="21" t="str">
        <f>Matches!E29</f>
        <v>Sweden</v>
      </c>
      <c r="DA21" s="21">
        <f>IF(AND(Matches!F29&lt;&gt;"",Matches!G29&lt;&gt;""),Matches!F29,0)</f>
        <v>1</v>
      </c>
      <c r="DB21" s="21">
        <f>IF(AND(Matches!G29&lt;&gt;"",Matches!F29&lt;&gt;""),Matches!G29,0)</f>
        <v>0</v>
      </c>
      <c r="DC21" s="21" t="str">
        <f>Matches!H29</f>
        <v>Slovakia</v>
      </c>
      <c r="DD21" s="21" t="str">
        <f>IF(AND(Matches!F29&lt;&gt;"",Matches!G29&lt;&gt;""),IF(DA21&gt;DB21,"W",IF(DA21=DB21,"D","L")),"")</f>
        <v>W</v>
      </c>
      <c r="DE21" s="21" t="str">
        <f t="shared" si="0"/>
        <v>L</v>
      </c>
      <c r="DF21" s="21"/>
      <c r="DG21" s="21"/>
      <c r="DH21" s="216" t="s">
        <v>42</v>
      </c>
      <c r="DI21" s="217" t="s">
        <v>48</v>
      </c>
      <c r="DJ21" s="217" t="s">
        <v>49</v>
      </c>
      <c r="DK21" s="217" t="s">
        <v>41</v>
      </c>
      <c r="DL21" s="216" t="s">
        <v>49</v>
      </c>
      <c r="DM21" s="216" t="s">
        <v>41</v>
      </c>
      <c r="DN21" s="216" t="s">
        <v>48</v>
      </c>
      <c r="DO21" s="216" t="s">
        <v>42</v>
      </c>
      <c r="DP21" s="217"/>
      <c r="DQ21" s="218">
        <f>IFERROR(MATCH(DQ12,DH21:DK21,0),0)</f>
        <v>4</v>
      </c>
      <c r="DR21" s="218">
        <f>IFERROR(MATCH(DR12,DH21:DK21,0),0)</f>
        <v>0</v>
      </c>
      <c r="DS21" s="218">
        <f>IFERROR(MATCH(DS12,DH21:DK21,0),0)</f>
        <v>1</v>
      </c>
      <c r="DT21" s="218">
        <f>IFERROR(MATCH(DT12,DH21:DK21,0),0)</f>
        <v>2</v>
      </c>
      <c r="DU21" s="218">
        <f t="shared" si="22"/>
        <v>7</v>
      </c>
      <c r="DV21" s="217" t="s">
        <v>93</v>
      </c>
      <c r="DW21" s="217" t="str">
        <f>INDEX(DH3:DH8,MATCH(INDEX(DO13:DO27,MATCH(10,DU13:DU27,0),0),DV3:DV8,0),0)</f>
        <v>Switzerland</v>
      </c>
      <c r="DX21" s="217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  <c r="GI21" s="21"/>
      <c r="GJ21" s="21"/>
      <c r="GK21" s="21"/>
      <c r="GL21" s="21"/>
      <c r="GM21" s="21"/>
      <c r="GN21" s="21"/>
      <c r="GO21" s="21"/>
      <c r="GP21" s="21"/>
      <c r="GQ21" s="21"/>
      <c r="GR21" s="21"/>
      <c r="GS21" s="21"/>
      <c r="GT21" s="21"/>
      <c r="GU21" s="21"/>
      <c r="GV21" s="21"/>
      <c r="GW21" s="21"/>
      <c r="GX21" s="21"/>
      <c r="GY21" s="21"/>
      <c r="GZ21" s="21"/>
      <c r="HA21" s="21"/>
      <c r="HB21" s="21"/>
      <c r="HC21" s="21"/>
      <c r="HD21" s="21"/>
      <c r="HE21" s="21"/>
      <c r="HF21" s="21"/>
      <c r="HG21" s="21"/>
      <c r="HH21" s="21"/>
      <c r="HI21" s="21"/>
      <c r="HJ21" s="21"/>
      <c r="HK21" s="21"/>
      <c r="HL21" s="21"/>
      <c r="HM21" s="21"/>
      <c r="HN21" s="21"/>
      <c r="HO21" s="21"/>
      <c r="HP21" s="21"/>
      <c r="HQ21" s="21"/>
      <c r="HR21" s="21"/>
      <c r="HS21" s="21"/>
      <c r="HT21" s="21"/>
      <c r="HU21" s="21"/>
      <c r="HV21" s="21"/>
      <c r="HW21" s="21"/>
      <c r="HX21" s="21"/>
      <c r="HY21" s="214"/>
      <c r="HZ21" s="214"/>
      <c r="IA21" s="21"/>
      <c r="IB21" s="21"/>
      <c r="IC21" s="21"/>
      <c r="ID21" s="21"/>
      <c r="IE21" s="21"/>
      <c r="IF21" s="216"/>
      <c r="IG21" s="217"/>
      <c r="IH21" s="217"/>
      <c r="II21" s="217"/>
      <c r="IJ21" s="216"/>
      <c r="IK21" s="216"/>
      <c r="IL21" s="216"/>
      <c r="IM21" s="216"/>
      <c r="IN21" s="217"/>
      <c r="IO21" s="218"/>
      <c r="IP21" s="218"/>
      <c r="IQ21" s="218"/>
      <c r="IR21" s="218"/>
      <c r="IS21" s="218"/>
      <c r="IT21" s="217"/>
      <c r="IU21" s="217"/>
      <c r="IV21" s="217"/>
    </row>
    <row r="22" spans="1:256" ht="14" x14ac:dyDescent="0.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>
        <v>20</v>
      </c>
      <c r="CZ22" s="21" t="str">
        <f>Matches!E30</f>
        <v>Croatia</v>
      </c>
      <c r="DA22" s="21">
        <f>IF(AND(Matches!F30&lt;&gt;"",Matches!G30&lt;&gt;""),Matches!F30,0)</f>
        <v>1</v>
      </c>
      <c r="DB22" s="21">
        <f>IF(AND(Matches!G30&lt;&gt;"",Matches!F30&lt;&gt;""),Matches!G30,0)</f>
        <v>1</v>
      </c>
      <c r="DC22" s="21" t="str">
        <f>Matches!H30</f>
        <v>Czech Republic</v>
      </c>
      <c r="DD22" s="21" t="str">
        <f>IF(AND(Matches!F30&lt;&gt;"",Matches!G30&lt;&gt;""),IF(DA22&gt;DB22,"W",IF(DA22=DB22,"D","L")),"")</f>
        <v>D</v>
      </c>
      <c r="DE22" s="21" t="str">
        <f t="shared" si="0"/>
        <v>D</v>
      </c>
      <c r="DF22" s="21"/>
      <c r="DG22" s="21"/>
      <c r="DH22" s="216" t="s">
        <v>42</v>
      </c>
      <c r="DI22" s="217" t="s">
        <v>39</v>
      </c>
      <c r="DJ22" s="217" t="s">
        <v>49</v>
      </c>
      <c r="DK22" s="217" t="s">
        <v>41</v>
      </c>
      <c r="DL22" s="216" t="s">
        <v>49</v>
      </c>
      <c r="DM22" s="216" t="s">
        <v>41</v>
      </c>
      <c r="DN22" s="216" t="s">
        <v>39</v>
      </c>
      <c r="DO22" s="216" t="s">
        <v>42</v>
      </c>
      <c r="DP22" s="217"/>
      <c r="DQ22" s="218">
        <f>IFERROR(MATCH(DQ12,DH22:DK22,0),0)</f>
        <v>4</v>
      </c>
      <c r="DR22" s="218">
        <f>IFERROR(MATCH(DR12,DH22:DK22,0),0)</f>
        <v>2</v>
      </c>
      <c r="DS22" s="218">
        <f>IFERROR(MATCH(DS12,DH22:DK22,0),0)</f>
        <v>1</v>
      </c>
      <c r="DT22" s="218">
        <f>IFERROR(MATCH(DT12,DH22:DK22,0),0)</f>
        <v>0</v>
      </c>
      <c r="DU22" s="218">
        <f t="shared" si="22"/>
        <v>7</v>
      </c>
      <c r="DV22" s="217" t="s">
        <v>42</v>
      </c>
      <c r="DW22" s="217" t="str">
        <f>VLOOKUP(1,A4:B7,2,FALSE)</f>
        <v>Italy</v>
      </c>
      <c r="DX22" s="217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  <c r="GI22" s="21"/>
      <c r="GJ22" s="21"/>
      <c r="GK22" s="21"/>
      <c r="GL22" s="21"/>
      <c r="GM22" s="21"/>
      <c r="GN22" s="21"/>
      <c r="GO22" s="21"/>
      <c r="GP22" s="21"/>
      <c r="GQ22" s="21"/>
      <c r="GR22" s="21"/>
      <c r="GS22" s="21"/>
      <c r="GT22" s="21"/>
      <c r="GU22" s="21"/>
      <c r="GV22" s="21"/>
      <c r="GW22" s="21"/>
      <c r="GX22" s="21"/>
      <c r="GY22" s="21"/>
      <c r="GZ22" s="21"/>
      <c r="HA22" s="21"/>
      <c r="HB22" s="21"/>
      <c r="HC22" s="21"/>
      <c r="HD22" s="21"/>
      <c r="HE22" s="21"/>
      <c r="HF22" s="21"/>
      <c r="HG22" s="21"/>
      <c r="HH22" s="21"/>
      <c r="HI22" s="21"/>
      <c r="HJ22" s="21"/>
      <c r="HK22" s="21"/>
      <c r="HL22" s="21"/>
      <c r="HM22" s="21"/>
      <c r="HN22" s="21"/>
      <c r="HO22" s="21"/>
      <c r="HP22" s="21"/>
      <c r="HQ22" s="21"/>
      <c r="HR22" s="21"/>
      <c r="HS22" s="21"/>
      <c r="HT22" s="21"/>
      <c r="HU22" s="21"/>
      <c r="HV22" s="21"/>
      <c r="HW22" s="21"/>
      <c r="HX22" s="21"/>
      <c r="HY22" s="214"/>
      <c r="HZ22" s="214"/>
      <c r="IA22" s="21"/>
      <c r="IB22" s="21"/>
      <c r="IC22" s="21"/>
      <c r="ID22" s="21"/>
      <c r="IE22" s="21"/>
      <c r="IF22" s="216"/>
      <c r="IG22" s="217"/>
      <c r="IH22" s="217"/>
      <c r="II22" s="217"/>
      <c r="IJ22" s="216"/>
      <c r="IK22" s="216"/>
      <c r="IL22" s="216"/>
      <c r="IM22" s="216"/>
      <c r="IN22" s="217"/>
      <c r="IO22" s="218"/>
      <c r="IP22" s="218"/>
      <c r="IQ22" s="218"/>
      <c r="IR22" s="218"/>
      <c r="IS22" s="218"/>
      <c r="IT22" s="217"/>
      <c r="IU22" s="217"/>
      <c r="IV22" s="217"/>
    </row>
    <row r="23" spans="1:256" ht="14" x14ac:dyDescent="0.2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>
        <v>21</v>
      </c>
      <c r="CZ23" s="21" t="str">
        <f>Matches!E31</f>
        <v>England</v>
      </c>
      <c r="DA23" s="21">
        <f>IF(AND(Matches!F31&lt;&gt;"",Matches!G31&lt;&gt;""),Matches!F31,0)</f>
        <v>0</v>
      </c>
      <c r="DB23" s="21">
        <f>IF(AND(Matches!G31&lt;&gt;"",Matches!F31&lt;&gt;""),Matches!G31,0)</f>
        <v>0</v>
      </c>
      <c r="DC23" s="21" t="str">
        <f>Matches!H31</f>
        <v>Scotland</v>
      </c>
      <c r="DD23" s="21" t="str">
        <f>IF(AND(Matches!F31&lt;&gt;"",Matches!G31&lt;&gt;""),IF(DA23&gt;DB23,"W",IF(DA23=DB23,"D","L")),"")</f>
        <v>D</v>
      </c>
      <c r="DE23" s="21" t="str">
        <f t="shared" si="0"/>
        <v>D</v>
      </c>
      <c r="DF23" s="21"/>
      <c r="DG23" s="21"/>
      <c r="DH23" s="216" t="s">
        <v>46</v>
      </c>
      <c r="DI23" s="217" t="s">
        <v>48</v>
      </c>
      <c r="DJ23" s="217" t="s">
        <v>39</v>
      </c>
      <c r="DK23" s="217" t="s">
        <v>49</v>
      </c>
      <c r="DL23" s="216" t="s">
        <v>49</v>
      </c>
      <c r="DM23" s="216" t="s">
        <v>39</v>
      </c>
      <c r="DN23" s="216" t="s">
        <v>46</v>
      </c>
      <c r="DO23" s="216" t="s">
        <v>48</v>
      </c>
      <c r="DP23" s="217"/>
      <c r="DQ23" s="218">
        <f>IFERROR(MATCH(DQ12,DH23:DK23,0),0)</f>
        <v>0</v>
      </c>
      <c r="DR23" s="218">
        <f>IFERROR(MATCH(DR12,DH23:DK23,0),0)</f>
        <v>3</v>
      </c>
      <c r="DS23" s="218">
        <f>IFERROR(MATCH(DS12,DH23:DK23,0),0)</f>
        <v>0</v>
      </c>
      <c r="DT23" s="218">
        <f>IFERROR(MATCH(DT12,DH23:DK23,0),0)</f>
        <v>2</v>
      </c>
      <c r="DU23" s="218">
        <f t="shared" si="22"/>
        <v>5</v>
      </c>
      <c r="DV23" s="217"/>
      <c r="DW23" s="217" t="str">
        <f>VLOOKUP(2,A4:B7,2,FALSE)</f>
        <v>Wales</v>
      </c>
      <c r="DX23" s="217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  <c r="GI23" s="21"/>
      <c r="GJ23" s="21"/>
      <c r="GK23" s="21"/>
      <c r="GL23" s="21"/>
      <c r="GM23" s="21"/>
      <c r="GN23" s="21"/>
      <c r="GO23" s="21"/>
      <c r="GP23" s="21"/>
      <c r="GQ23" s="21"/>
      <c r="GR23" s="21"/>
      <c r="GS23" s="21"/>
      <c r="GT23" s="21"/>
      <c r="GU23" s="21"/>
      <c r="GV23" s="21"/>
      <c r="GW23" s="21"/>
      <c r="GX23" s="21"/>
      <c r="GY23" s="21"/>
      <c r="GZ23" s="21"/>
      <c r="HA23" s="21"/>
      <c r="HB23" s="21"/>
      <c r="HC23" s="21"/>
      <c r="HD23" s="21"/>
      <c r="HE23" s="21"/>
      <c r="HF23" s="21"/>
      <c r="HG23" s="21"/>
      <c r="HH23" s="21"/>
      <c r="HI23" s="21"/>
      <c r="HJ23" s="21"/>
      <c r="HK23" s="21"/>
      <c r="HL23" s="21"/>
      <c r="HM23" s="21"/>
      <c r="HN23" s="21"/>
      <c r="HO23" s="21"/>
      <c r="HP23" s="21"/>
      <c r="HQ23" s="21"/>
      <c r="HR23" s="21"/>
      <c r="HS23" s="21"/>
      <c r="HT23" s="21"/>
      <c r="HU23" s="21"/>
      <c r="HV23" s="21"/>
      <c r="HW23" s="21"/>
      <c r="HX23" s="21"/>
      <c r="HY23" s="214"/>
      <c r="HZ23" s="214"/>
      <c r="IA23" s="21"/>
      <c r="IB23" s="21"/>
      <c r="IC23" s="21"/>
      <c r="ID23" s="21"/>
      <c r="IE23" s="21"/>
      <c r="IF23" s="216"/>
      <c r="IG23" s="217"/>
      <c r="IH23" s="217"/>
      <c r="II23" s="217"/>
      <c r="IJ23" s="216"/>
      <c r="IK23" s="216"/>
      <c r="IL23" s="216"/>
      <c r="IM23" s="216"/>
      <c r="IN23" s="217"/>
      <c r="IO23" s="218"/>
      <c r="IP23" s="218"/>
      <c r="IQ23" s="218"/>
      <c r="IR23" s="218"/>
      <c r="IS23" s="218"/>
      <c r="IT23" s="217"/>
      <c r="IU23" s="217"/>
      <c r="IV23" s="217"/>
    </row>
    <row r="24" spans="1:256" ht="14" x14ac:dyDescent="0.2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>
        <v>22</v>
      </c>
      <c r="CZ24" s="21" t="str">
        <f>Matches!E32</f>
        <v>Hungary</v>
      </c>
      <c r="DA24" s="21">
        <f>IF(AND(Matches!F32&lt;&gt;"",Matches!G32&lt;&gt;""),Matches!F32,0)</f>
        <v>1</v>
      </c>
      <c r="DB24" s="21">
        <f>IF(AND(Matches!G32&lt;&gt;"",Matches!F32&lt;&gt;""),Matches!G32,0)</f>
        <v>1</v>
      </c>
      <c r="DC24" s="21" t="str">
        <f>Matches!H32</f>
        <v>France</v>
      </c>
      <c r="DD24" s="21" t="str">
        <f>IF(AND(Matches!F32&lt;&gt;"",Matches!G32&lt;&gt;""),IF(DA24&gt;DB24,"W",IF(DA24=DB24,"D","L")),"")</f>
        <v>D</v>
      </c>
      <c r="DE24" s="21" t="str">
        <f t="shared" si="0"/>
        <v>D</v>
      </c>
      <c r="DF24" s="21"/>
      <c r="DG24" s="21"/>
      <c r="DH24" s="216" t="s">
        <v>46</v>
      </c>
      <c r="DI24" s="217" t="s">
        <v>48</v>
      </c>
      <c r="DJ24" s="217" t="s">
        <v>39</v>
      </c>
      <c r="DK24" s="217" t="s">
        <v>41</v>
      </c>
      <c r="DL24" s="216" t="s">
        <v>41</v>
      </c>
      <c r="DM24" s="216" t="s">
        <v>39</v>
      </c>
      <c r="DN24" s="216" t="s">
        <v>48</v>
      </c>
      <c r="DO24" s="216" t="s">
        <v>46</v>
      </c>
      <c r="DP24" s="217"/>
      <c r="DQ24" s="218">
        <f>IFERROR(MATCH(DQ12,DH24:DK24,0),0)</f>
        <v>4</v>
      </c>
      <c r="DR24" s="218">
        <f>IFERROR(MATCH(DR12,DH24:DK24,0),0)</f>
        <v>3</v>
      </c>
      <c r="DS24" s="218">
        <f>IFERROR(MATCH(DS12,DH24:DK24,0),0)</f>
        <v>0</v>
      </c>
      <c r="DT24" s="218">
        <f>IFERROR(MATCH(DT12,DH24:DK24,0),0)</f>
        <v>2</v>
      </c>
      <c r="DU24" s="218">
        <f t="shared" si="22"/>
        <v>9</v>
      </c>
      <c r="DV24" s="217" t="s">
        <v>46</v>
      </c>
      <c r="DW24" s="217" t="str">
        <f>VLOOKUP(1,A11:B14,2,FALSE)</f>
        <v>Belgium</v>
      </c>
      <c r="DX24" s="217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21"/>
      <c r="GJ24" s="21"/>
      <c r="GK24" s="21"/>
      <c r="GL24" s="21"/>
      <c r="GM24" s="21"/>
      <c r="GN24" s="21"/>
      <c r="GO24" s="21"/>
      <c r="GP24" s="21"/>
      <c r="GQ24" s="21"/>
      <c r="GR24" s="21"/>
      <c r="GS24" s="21"/>
      <c r="GT24" s="21"/>
      <c r="GU24" s="21"/>
      <c r="GV24" s="21"/>
      <c r="GW24" s="21"/>
      <c r="GX24" s="21"/>
      <c r="GY24" s="21"/>
      <c r="GZ24" s="21"/>
      <c r="HA24" s="21"/>
      <c r="HB24" s="21"/>
      <c r="HC24" s="21"/>
      <c r="HD24" s="21"/>
      <c r="HE24" s="21"/>
      <c r="HF24" s="21"/>
      <c r="HG24" s="21"/>
      <c r="HH24" s="21"/>
      <c r="HI24" s="21"/>
      <c r="HJ24" s="21"/>
      <c r="HK24" s="21"/>
      <c r="HL24" s="21"/>
      <c r="HM24" s="21"/>
      <c r="HN24" s="21"/>
      <c r="HO24" s="21"/>
      <c r="HP24" s="21"/>
      <c r="HQ24" s="21"/>
      <c r="HR24" s="21"/>
      <c r="HS24" s="21"/>
      <c r="HT24" s="21"/>
      <c r="HU24" s="21"/>
      <c r="HV24" s="21"/>
      <c r="HW24" s="21"/>
      <c r="HX24" s="21"/>
      <c r="HY24" s="214"/>
      <c r="HZ24" s="214"/>
      <c r="IA24" s="21"/>
      <c r="IB24" s="21"/>
      <c r="IC24" s="21"/>
      <c r="ID24" s="21"/>
      <c r="IE24" s="21"/>
      <c r="IF24" s="216"/>
      <c r="IG24" s="217"/>
      <c r="IH24" s="217"/>
      <c r="II24" s="217"/>
      <c r="IJ24" s="216"/>
      <c r="IK24" s="216"/>
      <c r="IL24" s="216"/>
      <c r="IM24" s="216"/>
      <c r="IN24" s="217"/>
      <c r="IO24" s="218"/>
      <c r="IP24" s="218"/>
      <c r="IQ24" s="218"/>
      <c r="IR24" s="218"/>
      <c r="IS24" s="218"/>
      <c r="IT24" s="217"/>
      <c r="IU24" s="217"/>
      <c r="IV24" s="217"/>
    </row>
    <row r="25" spans="1:256" ht="14" x14ac:dyDescent="0.2">
      <c r="A25" s="21">
        <f>VLOOKUP(B25,CW25:CX29,2,FALSE)</f>
        <v>4</v>
      </c>
      <c r="B25" s="21" t="str">
        <f>Matches!AH22</f>
        <v>Scotland</v>
      </c>
      <c r="C25" s="21">
        <f>SUMPRODUCT((CZ3:CZ42=B25)*(DD3:DD42="W"))+SUMPRODUCT((DC3:DC42=B25)*(DE3:DE42="W"))</f>
        <v>0</v>
      </c>
      <c r="D25" s="21">
        <f>SUMPRODUCT((CZ3:CZ42=B25)*(DD3:DD42="D"))+SUMPRODUCT((DC3:DC42=B25)*(DE3:DE42="D"))</f>
        <v>1</v>
      </c>
      <c r="E25" s="21">
        <f>SUMPRODUCT((CZ3:CZ42=B25)*(DD3:DD42="L"))+SUMPRODUCT((DC3:DC42=B25)*(DE3:DE42="L"))</f>
        <v>2</v>
      </c>
      <c r="F25" s="21">
        <f>SUMIF(CZ3:CZ60,B25,DA3:DA60)+SUMIF(DC3:DC60,B25,DB3:DB60)</f>
        <v>1</v>
      </c>
      <c r="G25" s="21">
        <f>SUMIF(DC3:DC60,B25,DA3:DA60)+SUMIF(CZ3:CZ60,B25,DB3:DB60)</f>
        <v>5</v>
      </c>
      <c r="H25" s="21">
        <f t="shared" ref="H25:H28" si="36">F25-G25+1000</f>
        <v>996</v>
      </c>
      <c r="I25" s="21">
        <f t="shared" ref="I25:I28" si="37">C25*3+D25*1</f>
        <v>1</v>
      </c>
      <c r="J25" s="21">
        <v>27</v>
      </c>
      <c r="K25" s="21">
        <f>IF(COUNTIF(I25:I29,4)&lt;&gt;4,RANK(I25,I25:I29),I65)</f>
        <v>4</v>
      </c>
      <c r="L25" s="21"/>
      <c r="M25" s="21">
        <f>SUMPRODUCT((K25:K28=K25)*(J25:J28&lt;J25))+K25</f>
        <v>4</v>
      </c>
      <c r="N25" s="21" t="str">
        <f>INDEX(B25:B29,MATCH(1,M25:M29,0),0)</f>
        <v>England</v>
      </c>
      <c r="O25" s="21">
        <f>INDEX(K25:K29,MATCH(N25,B25:B29,0),0)</f>
        <v>1</v>
      </c>
      <c r="P25" s="21" t="str">
        <f>IF(O26=1,N25,"")</f>
        <v/>
      </c>
      <c r="Q25" s="21" t="str">
        <f>IF(O27=2,N26,"")</f>
        <v>Czech Republic</v>
      </c>
      <c r="R25" s="21" t="str">
        <f>IF(O28=3,N27,"")</f>
        <v/>
      </c>
      <c r="S25" s="21" t="str">
        <f>IF(O29=4,N28,"")</f>
        <v/>
      </c>
      <c r="T25" s="21"/>
      <c r="U25" s="21" t="str">
        <f>IF(P25&lt;&gt;"",P25,"")</f>
        <v/>
      </c>
      <c r="V25" s="21">
        <f>SUMPRODUCT((CZ3:CZ42=U25)*(DC3:DC42=U26)*(DD3:DD42="W"))+SUMPRODUCT((CZ3:CZ42=U25)*(DC3:DC42=U27)*(DD3:DD42="W"))+SUMPRODUCT((CZ3:CZ42=U25)*(DC3:DC42=U28)*(DD3:DD42="W"))+SUMPRODUCT((CZ3:CZ42=U25)*(DC3:DC42=U29)*(DD3:DD42="W"))+SUMPRODUCT((CZ3:CZ42=U26)*(DC3:DC42=U25)*(DE3:DE42="W"))+SUMPRODUCT((CZ3:CZ42=U27)*(DC3:DC42=U25)*(DE3:DE42="W"))+SUMPRODUCT((CZ3:CZ42=U28)*(DC3:DC42=U25)*(DE3:DE42="W"))+SUMPRODUCT((CZ3:CZ42=U29)*(DC3:DC42=U25)*(DE3:DE42="W"))</f>
        <v>0</v>
      </c>
      <c r="W25" s="21">
        <f>SUMPRODUCT((CZ3:CZ42=U25)*(DC3:DC42=U26)*(DD3:DD42="D"))+SUMPRODUCT((CZ3:CZ42=U25)*(DC3:DC42=U27)*(DD3:DD42="D"))+SUMPRODUCT((CZ3:CZ42=U25)*(DC3:DC42=U28)*(DD3:DD42="D"))+SUMPRODUCT((CZ3:CZ42=U25)*(DC3:DC42=U29)*(DD3:DD42="D"))+SUMPRODUCT((CZ3:CZ42=U26)*(DC3:DC42=U25)*(DD3:DD42="D"))+SUMPRODUCT((CZ3:CZ42=U27)*(DC3:DC42=U25)*(DD3:DD42="D"))+SUMPRODUCT((CZ3:CZ42=U28)*(DC3:DC42=U25)*(DD3:DD42="D"))+SUMPRODUCT((CZ3:CZ42=U29)*(DC3:DC42=U25)*(DD3:DD42="D"))</f>
        <v>0</v>
      </c>
      <c r="X25" s="21">
        <f>SUMPRODUCT((CZ3:CZ42=U25)*(DC3:DC42=U26)*(DD3:DD42="L"))+SUMPRODUCT((CZ3:CZ42=U25)*(DC3:DC42=U27)*(DD3:DD42="L"))+SUMPRODUCT((CZ3:CZ42=U25)*(DC3:DC42=U28)*(DD3:DD42="L"))+SUMPRODUCT((CZ3:CZ42=U25)*(DC3:DC42=U29)*(DD3:DD42="L"))+SUMPRODUCT((CZ3:CZ42=U26)*(DC3:DC42=U25)*(DE3:DE42="L"))+SUMPRODUCT((CZ3:CZ42=U27)*(DC3:DC42=U25)*(DE3:DE42="L"))+SUMPRODUCT((CZ3:CZ42=U28)*(DC3:DC42=U25)*(DE3:DE42="L"))+SUMPRODUCT((CZ3:CZ42=U29)*(DC3:DC42=U25)*(DE3:DE42="L"))</f>
        <v>0</v>
      </c>
      <c r="Y25" s="21">
        <f>SUMPRODUCT((CZ3:CZ42=U25)*(DC3:DC42=U26)*DA3:DA42)+SUMPRODUCT((CZ3:CZ42=U25)*(DC3:DC42=U27)*DA3:DA42)+SUMPRODUCT((CZ3:CZ42=U25)*(DC3:DC42=U28)*DA3:DA42)+SUMPRODUCT((CZ3:CZ42=U25)*(DC3:DC42=U29)*DA3:DA42)+SUMPRODUCT((CZ3:CZ42=U26)*(DC3:DC42=U25)*DB3:DB42)+SUMPRODUCT((CZ3:CZ42=U27)*(DC3:DC42=U25)*DB3:DB42)+SUMPRODUCT((CZ3:CZ42=U28)*(DC3:DC42=U25)*DB3:DB42)+SUMPRODUCT((CZ3:CZ42=U29)*(DC3:DC42=U25)*DB3:DB42)</f>
        <v>0</v>
      </c>
      <c r="Z25" s="21">
        <f>SUMPRODUCT((CZ3:CZ42=U25)*(DC3:DC42=U26)*DB3:DB42)+SUMPRODUCT((CZ3:CZ42=U25)*(DC3:DC42=U27)*DB3:DB42)+SUMPRODUCT((CZ3:CZ42=U25)*(DC3:DC42=U28)*DB3:DB42)+SUMPRODUCT((CZ3:CZ42=U25)*(DC3:DC42=U29)*DB3:DB42)+SUMPRODUCT((CZ3:CZ42=U26)*(DC3:DC42=U25)*DA3:DA42)+SUMPRODUCT((CZ3:CZ42=U27)*(DC3:DC42=U25)*DA3:DA42)+SUMPRODUCT((CZ3:CZ42=U28)*(DC3:DC42=U25)*DA3:DA42)+SUMPRODUCT((CZ3:CZ42=U29)*(DC3:DC42=U25)*DA3:DA42)</f>
        <v>0</v>
      </c>
      <c r="AA25" s="21">
        <f>Y25-Z25+1000</f>
        <v>1000</v>
      </c>
      <c r="AB25" s="21" t="str">
        <f t="shared" ref="AB25:AB28" si="38">IF(U25&lt;&gt;"",V25*3+W25*1,"")</f>
        <v/>
      </c>
      <c r="AC25" s="21" t="str">
        <f>IF(U25&lt;&gt;"",VLOOKUP(U25,B4:H40,7,FALSE),"")</f>
        <v/>
      </c>
      <c r="AD25" s="21" t="str">
        <f>IF(U25&lt;&gt;"",VLOOKUP(U25,B4:H40,5,FALSE),"")</f>
        <v/>
      </c>
      <c r="AE25" s="21" t="str">
        <f>IF(U25&lt;&gt;"",VLOOKUP(U25,B4:J40,9,FALSE),"")</f>
        <v/>
      </c>
      <c r="AF25" s="21" t="str">
        <f t="shared" ref="AF25:AF28" si="39">AB25</f>
        <v/>
      </c>
      <c r="AG25" s="21" t="str">
        <f>IF(U25&lt;&gt;"",RANK(AF25,AF25:AF29),"")</f>
        <v/>
      </c>
      <c r="AH25" s="21" t="str">
        <f>IF(U25&lt;&gt;"",SUMPRODUCT((AF25:AF29=AF25)*(AA25:AA29&gt;AA25)),"")</f>
        <v/>
      </c>
      <c r="AI25" s="21" t="str">
        <f>IF(U25&lt;&gt;"",SUMPRODUCT((AF25:AF29=AF25)*(AA25:AA29=AA25)*(Y25:Y29&gt;Y25)),"")</f>
        <v/>
      </c>
      <c r="AJ25" s="21" t="str">
        <f>IF(U25&lt;&gt;"",SUMPRODUCT((AF25:AF29=AF25)*(AA25:AA29=AA25)*(Y25:Y29=Y25)*(AC25:AC29&gt;AC25)),"")</f>
        <v/>
      </c>
      <c r="AK25" s="21" t="str">
        <f>IF(U25&lt;&gt;"",SUMPRODUCT((AF25:AF29=AF25)*(AA25:AA29=AA25)*(Y25:Y29=Y25)*(AC25:AC29=AC25)*(AD25:AD29&gt;AD25)),"")</f>
        <v/>
      </c>
      <c r="AL25" s="21" t="str">
        <f>IF(U25&lt;&gt;"",SUMPRODUCT((AF25:AF29=AF25)*(AA25:AA29=AA25)*(Y25:Y29=Y25)*(AC25:AC29=AC25)*(AD25:AD29=AD25)*(AE25:AE29&gt;AE25)),"")</f>
        <v/>
      </c>
      <c r="AM25" s="21" t="str">
        <f>IF(U25&lt;&gt;"",IF(AM65&lt;&gt;"",IF(T64=3,AM65,AM65+T64),SUM(AG25:AL25)),"")</f>
        <v/>
      </c>
      <c r="AN25" s="21" t="str">
        <f>IF(U25&lt;&gt;"",INDEX(U25:U29,MATCH(1,AM25:AM29,0),0),"")</f>
        <v/>
      </c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 t="str">
        <f>IF(AN25&lt;&gt;"",AN25,N25)</f>
        <v>England</v>
      </c>
      <c r="CX25" s="21">
        <v>1</v>
      </c>
      <c r="CY25" s="21">
        <v>23</v>
      </c>
      <c r="CZ25" s="21" t="str">
        <f>Matches!E33</f>
        <v>Portugal</v>
      </c>
      <c r="DA25" s="21">
        <f>IF(AND(Matches!F33&lt;&gt;"",Matches!G33&lt;&gt;""),Matches!F33,0)</f>
        <v>2</v>
      </c>
      <c r="DB25" s="21">
        <f>IF(AND(Matches!G33&lt;&gt;"",Matches!F33&lt;&gt;""),Matches!G33,0)</f>
        <v>4</v>
      </c>
      <c r="DC25" s="21" t="str">
        <f>Matches!H33</f>
        <v>Germany</v>
      </c>
      <c r="DD25" s="21" t="str">
        <f>IF(AND(Matches!F33&lt;&gt;"",Matches!G33&lt;&gt;""),IF(DA25&gt;DB25,"W",IF(DA25=DB25,"D","L")),"")</f>
        <v>L</v>
      </c>
      <c r="DE25" s="21" t="str">
        <f t="shared" si="0"/>
        <v>W</v>
      </c>
      <c r="DF25" s="21"/>
      <c r="DG25" s="21"/>
      <c r="DH25" s="216" t="s">
        <v>46</v>
      </c>
      <c r="DI25" s="217" t="s">
        <v>48</v>
      </c>
      <c r="DJ25" s="217" t="s">
        <v>49</v>
      </c>
      <c r="DK25" s="217" t="s">
        <v>41</v>
      </c>
      <c r="DL25" s="216" t="s">
        <v>41</v>
      </c>
      <c r="DM25" s="216" t="s">
        <v>49</v>
      </c>
      <c r="DN25" s="216" t="s">
        <v>48</v>
      </c>
      <c r="DO25" s="216" t="s">
        <v>46</v>
      </c>
      <c r="DP25" s="217"/>
      <c r="DQ25" s="218">
        <f>IFERROR(MATCH(DQ12,DH25:DK25,0),0)</f>
        <v>4</v>
      </c>
      <c r="DR25" s="218">
        <f>IFERROR(MATCH(DR12,DH25:DK25,0),0)</f>
        <v>0</v>
      </c>
      <c r="DS25" s="218">
        <f>IFERROR(MATCH(DS12,DH25:DK25,0),0)</f>
        <v>0</v>
      </c>
      <c r="DT25" s="218">
        <f>IFERROR(MATCH(DT12,DH25:DK25,0),0)</f>
        <v>2</v>
      </c>
      <c r="DU25" s="218">
        <f t="shared" si="22"/>
        <v>6</v>
      </c>
      <c r="DV25" s="217"/>
      <c r="DW25" s="217" t="str">
        <f>VLOOKUP(2,A11:B14,2,FALSE)</f>
        <v>Denmark</v>
      </c>
      <c r="DX25" s="217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21"/>
      <c r="GJ25" s="21"/>
      <c r="GK25" s="21"/>
      <c r="GL25" s="21"/>
      <c r="GM25" s="21"/>
      <c r="GN25" s="21"/>
      <c r="GO25" s="21"/>
      <c r="GP25" s="21"/>
      <c r="GQ25" s="21"/>
      <c r="GR25" s="21"/>
      <c r="GS25" s="21"/>
      <c r="GT25" s="21"/>
      <c r="GU25" s="21"/>
      <c r="GV25" s="21"/>
      <c r="GW25" s="21"/>
      <c r="GX25" s="21"/>
      <c r="GY25" s="21"/>
      <c r="GZ25" s="21"/>
      <c r="HA25" s="21"/>
      <c r="HB25" s="21"/>
      <c r="HC25" s="21"/>
      <c r="HD25" s="21"/>
      <c r="HE25" s="21"/>
      <c r="HF25" s="21"/>
      <c r="HG25" s="21"/>
      <c r="HH25" s="21"/>
      <c r="HI25" s="21"/>
      <c r="HJ25" s="21"/>
      <c r="HK25" s="21"/>
      <c r="HL25" s="21"/>
      <c r="HM25" s="21"/>
      <c r="HN25" s="21"/>
      <c r="HO25" s="21"/>
      <c r="HP25" s="21"/>
      <c r="HQ25" s="21"/>
      <c r="HR25" s="21"/>
      <c r="HS25" s="21"/>
      <c r="HT25" s="21"/>
      <c r="HU25" s="21"/>
      <c r="HV25" s="21"/>
      <c r="HW25" s="21"/>
      <c r="HX25" s="21"/>
      <c r="HY25" s="214"/>
      <c r="HZ25" s="214"/>
      <c r="IA25" s="21"/>
      <c r="IB25" s="21"/>
      <c r="IC25" s="21"/>
      <c r="ID25" s="21"/>
      <c r="IE25" s="21"/>
      <c r="IF25" s="216"/>
      <c r="IG25" s="217"/>
      <c r="IH25" s="217"/>
      <c r="II25" s="217"/>
      <c r="IJ25" s="216"/>
      <c r="IK25" s="216"/>
      <c r="IL25" s="216"/>
      <c r="IM25" s="216"/>
      <c r="IN25" s="217"/>
      <c r="IO25" s="218"/>
      <c r="IP25" s="218"/>
      <c r="IQ25" s="218"/>
      <c r="IR25" s="218"/>
      <c r="IS25" s="218"/>
      <c r="IT25" s="217"/>
      <c r="IU25" s="217"/>
      <c r="IV25" s="217"/>
    </row>
    <row r="26" spans="1:256" ht="14" x14ac:dyDescent="0.2">
      <c r="A26" s="21">
        <f>VLOOKUP(B26,CW25:CX29,2,FALSE)</f>
        <v>3</v>
      </c>
      <c r="B26" s="21" t="str">
        <f>Matches!AH23</f>
        <v>Czech Republic</v>
      </c>
      <c r="C26" s="21">
        <f>SUMPRODUCT((CZ3:CZ42=B26)*(DD3:DD42="W"))+SUMPRODUCT((DC3:DC42=B26)*(DE3:DE42="W"))</f>
        <v>1</v>
      </c>
      <c r="D26" s="21">
        <f>SUMPRODUCT((CZ3:CZ42=B26)*(DD3:DD42="D"))+SUMPRODUCT((DC3:DC42=B26)*(DE3:DE42="D"))</f>
        <v>1</v>
      </c>
      <c r="E26" s="21">
        <f>SUMPRODUCT((CZ3:CZ42=B26)*(DD3:DD42="L"))+SUMPRODUCT((DC3:DC42=B26)*(DE3:DE42="L"))</f>
        <v>1</v>
      </c>
      <c r="F26" s="21">
        <f>SUMIF(CZ3:CZ60,B26,DA3:DA60)+SUMIF(DC3:DC60,B26,DB3:DB60)</f>
        <v>3</v>
      </c>
      <c r="G26" s="21">
        <f>SUMIF(DC3:DC60,B26,DA3:DA60)+SUMIF(CZ3:CZ60,B26,DB3:DB60)</f>
        <v>2</v>
      </c>
      <c r="H26" s="21">
        <f t="shared" si="36"/>
        <v>1001</v>
      </c>
      <c r="I26" s="21">
        <f t="shared" si="37"/>
        <v>4</v>
      </c>
      <c r="J26" s="21">
        <v>38</v>
      </c>
      <c r="K26" s="21">
        <f>IF(COUNTIF(I25:I29,4)&lt;&gt;4,RANK(I26,I25:I29),I66)</f>
        <v>2</v>
      </c>
      <c r="L26" s="21"/>
      <c r="M26" s="21">
        <f>SUMPRODUCT((K25:K28=K26)*(J25:J28&lt;J26))+K26</f>
        <v>2</v>
      </c>
      <c r="N26" s="21" t="str">
        <f>INDEX(B25:B29,MATCH(2,M25:M29,0),0)</f>
        <v>Czech Republic</v>
      </c>
      <c r="O26" s="21">
        <f>INDEX(K25:K29,MATCH(N26,B25:B29,0),0)</f>
        <v>2</v>
      </c>
      <c r="P26" s="21" t="str">
        <f>IF(P25&lt;&gt;"",N26,"")</f>
        <v/>
      </c>
      <c r="Q26" s="21" t="str">
        <f>IF(Q25&lt;&gt;"",N27,"")</f>
        <v>Croatia</v>
      </c>
      <c r="R26" s="21" t="str">
        <f>IF(R25&lt;&gt;"",N28,"")</f>
        <v/>
      </c>
      <c r="S26" s="21" t="str">
        <f>IF(S25&lt;&gt;"",N29,"")</f>
        <v/>
      </c>
      <c r="T26" s="21"/>
      <c r="U26" s="21" t="str">
        <f t="shared" ref="U26:U28" si="40">IF(P26&lt;&gt;"",P26,"")</f>
        <v/>
      </c>
      <c r="V26" s="21">
        <f>SUMPRODUCT((CZ3:CZ42=U26)*(DC3:DC42=U27)*(DD3:DD42="W"))+SUMPRODUCT((CZ3:CZ42=U26)*(DC3:DC42=U28)*(DD3:DD42="W"))+SUMPRODUCT((CZ3:CZ42=U26)*(DC3:DC42=U29)*(DD3:DD42="W"))+SUMPRODUCT((CZ3:CZ42=U26)*(DC3:DC42=U25)*(DD3:DD42="W"))+SUMPRODUCT((CZ3:CZ42=U27)*(DC3:DC42=U26)*(DE3:DE42="W"))+SUMPRODUCT((CZ3:CZ42=U28)*(DC3:DC42=U26)*(DE3:DE42="W"))+SUMPRODUCT((CZ3:CZ42=U29)*(DC3:DC42=U26)*(DE3:DE42="W"))+SUMPRODUCT((CZ3:CZ42=U25)*(DC3:DC42=U26)*(DE3:DE42="W"))</f>
        <v>0</v>
      </c>
      <c r="W26" s="21">
        <f>SUMPRODUCT((CZ3:CZ42=U26)*(DC3:DC42=U27)*(DD3:DD42="D"))+SUMPRODUCT((CZ3:CZ42=U26)*(DC3:DC42=U28)*(DD3:DD42="D"))+SUMPRODUCT((CZ3:CZ42=U26)*(DC3:DC42=U29)*(DD3:DD42="D"))+SUMPRODUCT((CZ3:CZ42=U26)*(DC3:DC42=U25)*(DD3:DD42="D"))+SUMPRODUCT((CZ3:CZ42=U27)*(DC3:DC42=U26)*(DD3:DD42="D"))+SUMPRODUCT((CZ3:CZ42=U28)*(DC3:DC42=U26)*(DD3:DD42="D"))+SUMPRODUCT((CZ3:CZ42=U29)*(DC3:DC42=U26)*(DD3:DD42="D"))+SUMPRODUCT((CZ3:CZ42=U25)*(DC3:DC42=U26)*(DD3:DD42="D"))</f>
        <v>0</v>
      </c>
      <c r="X26" s="21">
        <f>SUMPRODUCT((CZ3:CZ42=U26)*(DC3:DC42=U27)*(DD3:DD42="L"))+SUMPRODUCT((CZ3:CZ42=U26)*(DC3:DC42=U28)*(DD3:DD42="L"))+SUMPRODUCT((CZ3:CZ42=U26)*(DC3:DC42=U29)*(DD3:DD42="L"))+SUMPRODUCT((CZ3:CZ42=U26)*(DC3:DC42=U25)*(DD3:DD42="L"))+SUMPRODUCT((CZ3:CZ42=U27)*(DC3:DC42=U26)*(DE3:DE42="L"))+SUMPRODUCT((CZ3:CZ42=U28)*(DC3:DC42=U26)*(DE3:DE42="L"))+SUMPRODUCT((CZ3:CZ42=U29)*(DC3:DC42=U26)*(DE3:DE42="L"))+SUMPRODUCT((CZ3:CZ42=U25)*(DC3:DC42=U26)*(DE3:DE42="L"))</f>
        <v>0</v>
      </c>
      <c r="Y26" s="21">
        <f>SUMPRODUCT((CZ3:CZ42=U26)*(DC3:DC42=U27)*DA3:DA42)+SUMPRODUCT((CZ3:CZ42=U26)*(DC3:DC42=U28)*DA3:DA42)+SUMPRODUCT((CZ3:CZ42=U26)*(DC3:DC42=U29)*DA3:DA42)+SUMPRODUCT((CZ3:CZ42=U26)*(DC3:DC42=U25)*DA3:DA42)+SUMPRODUCT((CZ3:CZ42=U27)*(DC3:DC42=U26)*DB3:DB42)+SUMPRODUCT((CZ3:CZ42=U28)*(DC3:DC42=U26)*DB3:DB42)+SUMPRODUCT((CZ3:CZ42=U29)*(DC3:DC42=U26)*DB3:DB42)+SUMPRODUCT((CZ3:CZ42=U25)*(DC3:DC42=U26)*DB3:DB42)</f>
        <v>0</v>
      </c>
      <c r="Z26" s="21">
        <f>SUMPRODUCT((CZ3:CZ42=U26)*(DC3:DC42=U27)*DB3:DB42)+SUMPRODUCT((CZ3:CZ42=U26)*(DC3:DC42=U28)*DB3:DB42)+SUMPRODUCT((CZ3:CZ42=U26)*(DC3:DC42=U29)*DB3:DB42)+SUMPRODUCT((CZ3:CZ42=U26)*(DC3:DC42=U25)*DB3:DB42)+SUMPRODUCT((CZ3:CZ42=U27)*(DC3:DC42=U26)*DA3:DA42)+SUMPRODUCT((CZ3:CZ42=U28)*(DC3:DC42=U26)*DA3:DA42)+SUMPRODUCT((CZ3:CZ42=U29)*(DC3:DC42=U26)*DA3:DA42)+SUMPRODUCT((CZ3:CZ42=U25)*(DC3:DC42=U26)*DA3:DA42)</f>
        <v>0</v>
      </c>
      <c r="AA26" s="21">
        <f>Y26-Z26+1000</f>
        <v>1000</v>
      </c>
      <c r="AB26" s="21" t="str">
        <f t="shared" si="38"/>
        <v/>
      </c>
      <c r="AC26" s="21" t="str">
        <f>IF(U26&lt;&gt;"",VLOOKUP(U26,B4:H40,7,FALSE),"")</f>
        <v/>
      </c>
      <c r="AD26" s="21" t="str">
        <f>IF(U26&lt;&gt;"",VLOOKUP(U26,B4:H40,5,FALSE),"")</f>
        <v/>
      </c>
      <c r="AE26" s="21" t="str">
        <f>IF(U26&lt;&gt;"",VLOOKUP(U26,B4:J40,9,FALSE),"")</f>
        <v/>
      </c>
      <c r="AF26" s="21" t="str">
        <f t="shared" si="39"/>
        <v/>
      </c>
      <c r="AG26" s="21" t="str">
        <f>IF(U26&lt;&gt;"",RANK(AF26,AF25:AF29),"")</f>
        <v/>
      </c>
      <c r="AH26" s="21" t="str">
        <f>IF(U26&lt;&gt;"",SUMPRODUCT((AF25:AF29=AF26)*(AA25:AA29&gt;AA26)),"")</f>
        <v/>
      </c>
      <c r="AI26" s="21" t="str">
        <f>IF(U26&lt;&gt;"",SUMPRODUCT((AF25:AF29=AF26)*(AA25:AA29=AA26)*(Y25:Y29&gt;Y26)),"")</f>
        <v/>
      </c>
      <c r="AJ26" s="21" t="str">
        <f>IF(U26&lt;&gt;"",SUMPRODUCT((AF25:AF29=AF26)*(AA25:AA29=AA26)*(Y25:Y29=Y26)*(AC25:AC29&gt;AC26)),"")</f>
        <v/>
      </c>
      <c r="AK26" s="21" t="str">
        <f>IF(U26&lt;&gt;"",SUMPRODUCT((AF25:AF29=AF26)*(AA25:AA29=AA26)*(Y25:Y29=Y26)*(AC25:AC29=AC26)*(AD25:AD29&gt;AD26)),"")</f>
        <v/>
      </c>
      <c r="AL26" s="21" t="str">
        <f>IF(U26&lt;&gt;"",SUMPRODUCT((AF25:AF29=AF26)*(AA25:AA29=AA26)*(Y25:Y29=Y26)*(AC25:AC29=AC26)*(AD25:AD29=AD26)*(AE25:AE29&gt;AE26)),"")</f>
        <v/>
      </c>
      <c r="AM26" s="21" t="str">
        <f>IF(U26&lt;&gt;"",IF(AM66&lt;&gt;"",IF(T64=3,AM66,AM66+T64),SUM(AG26:AL26)),"")</f>
        <v/>
      </c>
      <c r="AN26" s="21" t="str">
        <f>IF(U26&lt;&gt;"",INDEX(U25:U29,MATCH(2,AM25:AM29,0),0),"")</f>
        <v/>
      </c>
      <c r="AO26" s="21" t="str">
        <f>IF(Q25&lt;&gt;"",Q25,"")</f>
        <v>Czech Republic</v>
      </c>
      <c r="AP26" s="21">
        <f>SUMPRODUCT((CZ3:CZ42=AO26)*(DC3:DC42=AO27)*(DD3:DD42="W"))+SUMPRODUCT((CZ3:CZ42=AO26)*(DC3:DC42=AO28)*(DD3:DD42="W"))+SUMPRODUCT((CZ3:CZ42=AO26)*(DC3:DC42=AO29)*(DD3:DD42="W"))+SUMPRODUCT((CZ3:CZ42=AO27)*(DC3:DC42=AO26)*(DE3:DE42="W"))+SUMPRODUCT((CZ3:CZ42=AO28)*(DC3:DC42=AO26)*(DE3:DE42="W"))+SUMPRODUCT((CZ3:CZ42=AO29)*(DC3:DC42=AO26)*(DE3:DE42="W"))</f>
        <v>0</v>
      </c>
      <c r="AQ26" s="21">
        <f>SUMPRODUCT((CZ3:CZ42=AO26)*(DC3:DC42=AO27)*(DD3:DD42="D"))+SUMPRODUCT((CZ3:CZ42=AO26)*(DC3:DC42=AO28)*(DD3:DD42="D"))+SUMPRODUCT((CZ3:CZ42=AO26)*(DC3:DC42=AO29)*(DD3:DD42="D"))+SUMPRODUCT((CZ3:CZ42=AO27)*(DC3:DC42=AO26)*(DD3:DD42="D"))+SUMPRODUCT((CZ3:CZ42=AO28)*(DC3:DC42=AO26)*(DD3:DD42="D"))+SUMPRODUCT((CZ3:CZ42=AO29)*(DC3:DC42=AO26)*(DD3:DD42="D"))</f>
        <v>1</v>
      </c>
      <c r="AR26" s="21">
        <f>SUMPRODUCT((CZ3:CZ42=AO26)*(DC3:DC42=AO27)*(DD3:DD42="L"))+SUMPRODUCT((CZ3:CZ42=AO26)*(DC3:DC42=AO28)*(DD3:DD42="L"))+SUMPRODUCT((CZ3:CZ42=AO26)*(DC3:DC42=AO29)*(DD3:DD42="L"))+SUMPRODUCT((CZ3:CZ42=AO27)*(DC3:DC42=AO26)*(DE3:DE42="L"))+SUMPRODUCT((CZ3:CZ42=AO28)*(DC3:DC42=AO26)*(DE3:DE42="L"))+SUMPRODUCT((CZ3:CZ42=AO29)*(DC3:DC42=AO26)*(DE3:DE42="L"))</f>
        <v>0</v>
      </c>
      <c r="AS26" s="21">
        <f>SUMPRODUCT((CZ3:CZ42=AO26)*(DC3:DC42=AO27)*DA3:DA42)+SUMPRODUCT((CZ3:CZ42=AO26)*(DC3:DC42=AO28)*DA3:DA42)+SUMPRODUCT((CZ3:CZ42=AO26)*(DC3:DC42=AO29)*DA3:DA42)+SUMPRODUCT((CZ3:CZ42=AO26)*(DC3:DC42=AO25)*DA3:DA42)+SUMPRODUCT((CZ3:CZ42=AO27)*(DC3:DC42=AO26)*DB3:DB42)+SUMPRODUCT((CZ3:CZ42=AO28)*(DC3:DC42=AO26)*DB3:DB42)+SUMPRODUCT((CZ3:CZ42=AO29)*(DC3:DC42=AO26)*DB3:DB42)+SUMPRODUCT((CZ3:CZ42=AO25)*(DC3:DC42=AO26)*DB3:DB42)</f>
        <v>1</v>
      </c>
      <c r="AT26" s="21">
        <f>SUMPRODUCT((CZ3:CZ42=AO26)*(DC3:DC42=AO27)*DB3:DB42)+SUMPRODUCT((CZ3:CZ42=AO26)*(DC3:DC42=AO28)*DB3:DB42)+SUMPRODUCT((CZ3:CZ42=AO26)*(DC3:DC42=AO29)*DB3:DB42)+SUMPRODUCT((CZ3:CZ42=AO26)*(DC3:DC42=AO25)*DB3:DB42)+SUMPRODUCT((CZ3:CZ42=AO27)*(DC3:DC42=AO26)*DA3:DA42)+SUMPRODUCT((CZ3:CZ42=AO28)*(DC3:DC42=AO26)*DA3:DA42)+SUMPRODUCT((CZ3:CZ42=AO29)*(DC3:DC42=AO26)*DA3:DA42)+SUMPRODUCT((CZ3:CZ42=AO25)*(DC3:DC42=AO26)*DA3:DA42)</f>
        <v>1</v>
      </c>
      <c r="AU26" s="21">
        <f>AS26-AT26+1000</f>
        <v>1000</v>
      </c>
      <c r="AV26" s="21">
        <f t="shared" ref="AV26:AV28" si="41">IF(AO26&lt;&gt;"",AP26*3+AQ26*1,"")</f>
        <v>1</v>
      </c>
      <c r="AW26" s="21">
        <f>IF(AO26&lt;&gt;"",VLOOKUP(AO26,B4:H40,7,FALSE),"")</f>
        <v>1001</v>
      </c>
      <c r="AX26" s="21">
        <f>IF(AO26&lt;&gt;"",VLOOKUP(AO26,B4:H40,5,FALSE),"")</f>
        <v>3</v>
      </c>
      <c r="AY26" s="21">
        <f>IF(AO26&lt;&gt;"",VLOOKUP(AO26,B4:J40,9,FALSE),"")</f>
        <v>38</v>
      </c>
      <c r="AZ26" s="21">
        <f t="shared" ref="AZ26:AZ28" si="42">AV26</f>
        <v>1</v>
      </c>
      <c r="BA26" s="21">
        <f>IF(AO26&lt;&gt;"",RANK(AZ26,AZ25:AZ29),"")</f>
        <v>1</v>
      </c>
      <c r="BB26" s="21">
        <f>IF(AO26&lt;&gt;"",SUMPRODUCT((AZ25:AZ29=AZ26)*(AU25:AU29&gt;AU26)),"")</f>
        <v>0</v>
      </c>
      <c r="BC26" s="21">
        <f>IF(AO26&lt;&gt;"",SUMPRODUCT((AZ25:AZ29=AZ26)*(AU25:AU29=AU26)*(AS25:AS29&gt;AS26)),"")</f>
        <v>0</v>
      </c>
      <c r="BD26" s="21">
        <f>IF(AO26&lt;&gt;"",SUMPRODUCT((AZ25:AZ29=AZ26)*(AU25:AU29=AU26)*(AS25:AS29=AS26)*(AW25:AW29&gt;AW26)),"")</f>
        <v>0</v>
      </c>
      <c r="BE26" s="21">
        <f>IF(AO26&lt;&gt;"",SUMPRODUCT((AZ25:AZ29=AZ26)*(AU25:AU29=AU26)*(AS25:AS29=AS26)*(AW25:AW29=AW26)*(AX25:AX29&gt;AX26)),"")</f>
        <v>1</v>
      </c>
      <c r="BF26" s="21">
        <f>IF(AO26&lt;&gt;"",SUMPRODUCT((AZ25:AZ29=AZ26)*(AU25:AU29=AU26)*(AS25:AS29=AS26)*(AW25:AW29=AW26)*(AX25:AX29=AX26)*(AY25:AY29&gt;AY26)),"")</f>
        <v>0</v>
      </c>
      <c r="BG26" s="21">
        <f>IF(AO26&lt;&gt;"",IF(BG66&lt;&gt;"",IF(AN64=3,BG66,BG66+AN64),SUM(BA26:BF26)+1),"")</f>
        <v>3</v>
      </c>
      <c r="BH26" s="21" t="str">
        <f>IF(AO26&lt;&gt;"",INDEX(AO26:AO29,MATCH(2,BG26:BG29,0),0),"")</f>
        <v>Croatia</v>
      </c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 t="str">
        <f>IF(BH26&lt;&gt;"",BH26,IF(AN26&lt;&gt;"",AN26,N26))</f>
        <v>Croatia</v>
      </c>
      <c r="CX26" s="21">
        <v>2</v>
      </c>
      <c r="CY26" s="21">
        <v>24</v>
      </c>
      <c r="CZ26" s="21" t="str">
        <f>Matches!E34</f>
        <v>Spain</v>
      </c>
      <c r="DA26" s="21">
        <f>IF(AND(Matches!F34&lt;&gt;"",Matches!G34&lt;&gt;""),Matches!F34,0)</f>
        <v>1</v>
      </c>
      <c r="DB26" s="21">
        <f>IF(AND(Matches!G34&lt;&gt;"",Matches!F34&lt;&gt;""),Matches!G34,0)</f>
        <v>1</v>
      </c>
      <c r="DC26" s="21" t="str">
        <f>Matches!H34</f>
        <v>Poland</v>
      </c>
      <c r="DD26" s="21" t="str">
        <f>IF(AND(Matches!F34&lt;&gt;"",Matches!G34&lt;&gt;""),IF(DA26&gt;DB26,"W",IF(DA26=DB26,"D","L")),"")</f>
        <v>D</v>
      </c>
      <c r="DE26" s="21" t="str">
        <f t="shared" si="0"/>
        <v>D</v>
      </c>
      <c r="DF26" s="21"/>
      <c r="DG26" s="21"/>
      <c r="DH26" s="216" t="s">
        <v>46</v>
      </c>
      <c r="DI26" s="217" t="s">
        <v>39</v>
      </c>
      <c r="DJ26" s="217" t="s">
        <v>49</v>
      </c>
      <c r="DK26" s="217" t="s">
        <v>41</v>
      </c>
      <c r="DL26" s="216" t="s">
        <v>41</v>
      </c>
      <c r="DM26" s="216" t="s">
        <v>49</v>
      </c>
      <c r="DN26" s="216" t="s">
        <v>39</v>
      </c>
      <c r="DO26" s="216" t="s">
        <v>46</v>
      </c>
      <c r="DP26" s="217"/>
      <c r="DQ26" s="218">
        <f>IFERROR(MATCH(DQ12,DH26:DK26,0),0)</f>
        <v>4</v>
      </c>
      <c r="DR26" s="218">
        <f>IFERROR(MATCH(DR12,DH26:DK26,0),0)</f>
        <v>2</v>
      </c>
      <c r="DS26" s="218">
        <f>IFERROR(MATCH(DS12,DH26:DK26,0),0)</f>
        <v>0</v>
      </c>
      <c r="DT26" s="218">
        <f>IFERROR(MATCH(DT12,DH26:DK26,0),0)</f>
        <v>0</v>
      </c>
      <c r="DU26" s="218">
        <f t="shared" si="22"/>
        <v>6</v>
      </c>
      <c r="DV26" s="217" t="s">
        <v>48</v>
      </c>
      <c r="DW26" s="217" t="str">
        <f>VLOOKUP(1,A18:B21,2,FALSE)</f>
        <v>Netherlands</v>
      </c>
      <c r="DX26" s="217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  <c r="GI26" s="21"/>
      <c r="GJ26" s="21"/>
      <c r="GK26" s="21"/>
      <c r="GL26" s="21"/>
      <c r="GM26" s="21"/>
      <c r="GN26" s="21"/>
      <c r="GO26" s="21"/>
      <c r="GP26" s="21"/>
      <c r="GQ26" s="21"/>
      <c r="GR26" s="21"/>
      <c r="GS26" s="21"/>
      <c r="GT26" s="21"/>
      <c r="GU26" s="21"/>
      <c r="GV26" s="21"/>
      <c r="GW26" s="21"/>
      <c r="GX26" s="21"/>
      <c r="GY26" s="21"/>
      <c r="GZ26" s="21"/>
      <c r="HA26" s="21"/>
      <c r="HB26" s="21"/>
      <c r="HC26" s="21"/>
      <c r="HD26" s="21"/>
      <c r="HE26" s="21"/>
      <c r="HF26" s="21"/>
      <c r="HG26" s="21"/>
      <c r="HH26" s="21"/>
      <c r="HI26" s="21"/>
      <c r="HJ26" s="21"/>
      <c r="HK26" s="21"/>
      <c r="HL26" s="21"/>
      <c r="HM26" s="21"/>
      <c r="HN26" s="21"/>
      <c r="HO26" s="21"/>
      <c r="HP26" s="21"/>
      <c r="HQ26" s="21"/>
      <c r="HR26" s="21"/>
      <c r="HS26" s="21"/>
      <c r="HT26" s="21"/>
      <c r="HU26" s="21"/>
      <c r="HV26" s="21"/>
      <c r="HW26" s="21"/>
      <c r="HX26" s="21"/>
      <c r="HY26" s="214"/>
      <c r="HZ26" s="214"/>
      <c r="IA26" s="21"/>
      <c r="IB26" s="21"/>
      <c r="IC26" s="21"/>
      <c r="ID26" s="21"/>
      <c r="IE26" s="21"/>
      <c r="IF26" s="216"/>
      <c r="IG26" s="217"/>
      <c r="IH26" s="217"/>
      <c r="II26" s="217"/>
      <c r="IJ26" s="216"/>
      <c r="IK26" s="216"/>
      <c r="IL26" s="216"/>
      <c r="IM26" s="216"/>
      <c r="IN26" s="217"/>
      <c r="IO26" s="218"/>
      <c r="IP26" s="218"/>
      <c r="IQ26" s="218"/>
      <c r="IR26" s="218"/>
      <c r="IS26" s="218"/>
      <c r="IT26" s="217"/>
      <c r="IU26" s="217"/>
      <c r="IV26" s="217"/>
    </row>
    <row r="27" spans="1:256" ht="14" x14ac:dyDescent="0.2">
      <c r="A27" s="21">
        <f>VLOOKUP(B27,CW25:CX29,2,FALSE)</f>
        <v>1</v>
      </c>
      <c r="B27" s="21" t="str">
        <f>Matches!AH24</f>
        <v>England</v>
      </c>
      <c r="C27" s="21">
        <f>SUMPRODUCT((CZ3:CZ42=B27)*(DD3:DD42="W"))+SUMPRODUCT((DC3:DC42=B27)*(DE3:DE42="W"))</f>
        <v>2</v>
      </c>
      <c r="D27" s="21">
        <f>SUMPRODUCT((CZ3:CZ42=B27)*(DD3:DD42="D"))+SUMPRODUCT((DC3:DC42=B27)*(DE3:DE42="D"))</f>
        <v>1</v>
      </c>
      <c r="E27" s="21">
        <f>SUMPRODUCT((CZ3:CZ42=B27)*(DD3:DD42="L"))+SUMPRODUCT((DC3:DC42=B27)*(DE3:DE42="L"))</f>
        <v>0</v>
      </c>
      <c r="F27" s="21">
        <f>SUMIF(CZ3:CZ60,B27,DA3:DA60)+SUMIF(DC3:DC60,B27,DB3:DB60)</f>
        <v>2</v>
      </c>
      <c r="G27" s="21">
        <f>SUMIF(DC3:DC60,B27,DA3:DA60)+SUMIF(CZ3:CZ60,B27,DB3:DB60)</f>
        <v>0</v>
      </c>
      <c r="H27" s="21">
        <f t="shared" si="36"/>
        <v>1002</v>
      </c>
      <c r="I27" s="21">
        <f t="shared" si="37"/>
        <v>7</v>
      </c>
      <c r="J27" s="21">
        <v>53</v>
      </c>
      <c r="K27" s="21">
        <f>IF(COUNTIF(I25:I29,4)&lt;&gt;4,RANK(I27,I25:I29),I67)</f>
        <v>1</v>
      </c>
      <c r="L27" s="21"/>
      <c r="M27" s="21">
        <f>SUMPRODUCT((K25:K28=K27)*(J25:J28&lt;J27))+K27</f>
        <v>1</v>
      </c>
      <c r="N27" s="21" t="str">
        <f>INDEX(B25:B29,MATCH(3,M25:M29,0),0)</f>
        <v>Croatia</v>
      </c>
      <c r="O27" s="21">
        <f>INDEX(K25:K29,MATCH(N27,B25:B29,0),0)</f>
        <v>2</v>
      </c>
      <c r="P27" s="21" t="str">
        <f>IF(AND(P26&lt;&gt;"",O27=1),N27,"")</f>
        <v/>
      </c>
      <c r="Q27" s="21" t="str">
        <f>IF(AND(Q26&lt;&gt;"",O28=2),N28,"")</f>
        <v/>
      </c>
      <c r="R27" s="21" t="str">
        <f>IF(AND(R26&lt;&gt;"",O29=3),N29,"")</f>
        <v/>
      </c>
      <c r="S27" s="21"/>
      <c r="T27" s="21"/>
      <c r="U27" s="21" t="str">
        <f t="shared" si="40"/>
        <v/>
      </c>
      <c r="V27" s="21">
        <f>SUMPRODUCT((CZ3:CZ42=U27)*(DC3:DC42=U28)*(DD3:DD42="W"))+SUMPRODUCT((CZ3:CZ42=U27)*(DC3:DC42=U29)*(DD3:DD42="W"))+SUMPRODUCT((CZ3:CZ42=U27)*(DC3:DC42=U25)*(DD3:DD42="W"))+SUMPRODUCT((CZ3:CZ42=U27)*(DC3:DC42=U26)*(DD3:DD42="W"))+SUMPRODUCT((CZ3:CZ42=U28)*(DC3:DC42=U27)*(DE3:DE42="W"))+SUMPRODUCT((CZ3:CZ42=U29)*(DC3:DC42=U27)*(DE3:DE42="W"))+SUMPRODUCT((CZ3:CZ42=U25)*(DC3:DC42=U27)*(DE3:DE42="W"))+SUMPRODUCT((CZ3:CZ42=U26)*(DC3:DC42=U27)*(DE3:DE42="W"))</f>
        <v>0</v>
      </c>
      <c r="W27" s="21">
        <f>SUMPRODUCT((CZ3:CZ42=U27)*(DC3:DC42=U28)*(DD3:DD42="D"))+SUMPRODUCT((CZ3:CZ42=U27)*(DC3:DC42=U29)*(DD3:DD42="D"))+SUMPRODUCT((CZ3:CZ42=U27)*(DC3:DC42=U25)*(DD3:DD42="D"))+SUMPRODUCT((CZ3:CZ42=U27)*(DC3:DC42=U26)*(DD3:DD42="D"))+SUMPRODUCT((CZ3:CZ42=U28)*(DC3:DC42=U27)*(DD3:DD42="D"))+SUMPRODUCT((CZ3:CZ42=U29)*(DC3:DC42=U27)*(DD3:DD42="D"))+SUMPRODUCT((CZ3:CZ42=U25)*(DC3:DC42=U27)*(DD3:DD42="D"))+SUMPRODUCT((CZ3:CZ42=U26)*(DC3:DC42=U27)*(DD3:DD42="D"))</f>
        <v>0</v>
      </c>
      <c r="X27" s="21">
        <f>SUMPRODUCT((CZ3:CZ42=U27)*(DC3:DC42=U28)*(DD3:DD42="L"))+SUMPRODUCT((CZ3:CZ42=U27)*(DC3:DC42=U29)*(DD3:DD42="L"))+SUMPRODUCT((CZ3:CZ42=U27)*(DC3:DC42=U25)*(DD3:DD42="L"))+SUMPRODUCT((CZ3:CZ42=U27)*(DC3:DC42=U26)*(DD3:DD42="L"))+SUMPRODUCT((CZ3:CZ42=U28)*(DC3:DC42=U27)*(DE3:DE42="L"))+SUMPRODUCT((CZ3:CZ42=U29)*(DC3:DC42=U27)*(DE3:DE42="L"))+SUMPRODUCT((CZ3:CZ42=U25)*(DC3:DC42=U27)*(DE3:DE42="L"))+SUMPRODUCT((CZ3:CZ42=U26)*(DC3:DC42=U27)*(DE3:DE42="L"))</f>
        <v>0</v>
      </c>
      <c r="Y27" s="21">
        <f>SUMPRODUCT((CZ3:CZ42=U27)*(DC3:DC42=U28)*DA3:DA42)+SUMPRODUCT((CZ3:CZ42=U27)*(DC3:DC42=U29)*DA3:DA42)+SUMPRODUCT((CZ3:CZ42=U27)*(DC3:DC42=U25)*DA3:DA42)+SUMPRODUCT((CZ3:CZ42=U27)*(DC3:DC42=U26)*DA3:DA42)+SUMPRODUCT((CZ3:CZ42=U28)*(DC3:DC42=U27)*DB3:DB42)+SUMPRODUCT((CZ3:CZ42=U29)*(DC3:DC42=U27)*DB3:DB42)+SUMPRODUCT((CZ3:CZ42=U25)*(DC3:DC42=U27)*DB3:DB42)+SUMPRODUCT((CZ3:CZ42=U26)*(DC3:DC42=U27)*DB3:DB42)</f>
        <v>0</v>
      </c>
      <c r="Z27" s="21">
        <f>SUMPRODUCT((CZ3:CZ42=U27)*(DC3:DC42=U28)*DB3:DB42)+SUMPRODUCT((CZ3:CZ42=U27)*(DC3:DC42=U29)*DB3:DB42)+SUMPRODUCT((CZ3:CZ42=U27)*(DC3:DC42=U25)*DB3:DB42)+SUMPRODUCT((CZ3:CZ42=U27)*(DC3:DC42=U26)*DB3:DB42)+SUMPRODUCT((CZ3:CZ42=U28)*(DC3:DC42=U27)*DA3:DA42)+SUMPRODUCT((CZ3:CZ42=U29)*(DC3:DC42=U27)*DA3:DA42)+SUMPRODUCT((CZ3:CZ42=U25)*(DC3:DC42=U27)*DA3:DA42)+SUMPRODUCT((CZ3:CZ42=U26)*(DC3:DC42=U27)*DA3:DA42)</f>
        <v>0</v>
      </c>
      <c r="AA27" s="21">
        <f>Y27-Z27+1000</f>
        <v>1000</v>
      </c>
      <c r="AB27" s="21" t="str">
        <f t="shared" si="38"/>
        <v/>
      </c>
      <c r="AC27" s="21" t="str">
        <f>IF(U27&lt;&gt;"",VLOOKUP(U27,B4:H40,7,FALSE),"")</f>
        <v/>
      </c>
      <c r="AD27" s="21" t="str">
        <f>IF(U27&lt;&gt;"",VLOOKUP(U27,B4:H40,5,FALSE),"")</f>
        <v/>
      </c>
      <c r="AE27" s="21" t="str">
        <f>IF(U27&lt;&gt;"",VLOOKUP(U27,B4:J40,9,FALSE),"")</f>
        <v/>
      </c>
      <c r="AF27" s="21" t="str">
        <f t="shared" si="39"/>
        <v/>
      </c>
      <c r="AG27" s="21" t="str">
        <f>IF(U27&lt;&gt;"",RANK(AF27,AF25:AF29),"")</f>
        <v/>
      </c>
      <c r="AH27" s="21" t="str">
        <f>IF(U27&lt;&gt;"",SUMPRODUCT((AF25:AF29=AF27)*(AA25:AA29&gt;AA27)),"")</f>
        <v/>
      </c>
      <c r="AI27" s="21" t="str">
        <f>IF(U27&lt;&gt;"",SUMPRODUCT((AF25:AF29=AF27)*(AA25:AA29=AA27)*(Y25:Y29&gt;Y27)),"")</f>
        <v/>
      </c>
      <c r="AJ27" s="21" t="str">
        <f>IF(U27&lt;&gt;"",SUMPRODUCT((AF25:AF29=AF27)*(AA25:AA29=AA27)*(Y25:Y29=Y27)*(AC25:AC29&gt;AC27)),"")</f>
        <v/>
      </c>
      <c r="AK27" s="21" t="str">
        <f>IF(U27&lt;&gt;"",SUMPRODUCT((AF25:AF29=AF27)*(AA25:AA29=AA27)*(Y25:Y29=Y27)*(AC25:AC29=AC27)*(AD25:AD29&gt;AD27)),"")</f>
        <v/>
      </c>
      <c r="AL27" s="21" t="str">
        <f>IF(U27&lt;&gt;"",SUMPRODUCT((AF25:AF29=AF27)*(AA25:AA29=AA27)*(Y25:Y29=Y27)*(AC25:AC29=AC27)*(AD25:AD29=AD27)*(AE25:AE29&gt;AE27)),"")</f>
        <v/>
      </c>
      <c r="AM27" s="21" t="str">
        <f>IF(U27&lt;&gt;"",IF(AM67&lt;&gt;"",IF(T64=3,AM67,AM67+T64),SUM(AG27:AL27)),"")</f>
        <v/>
      </c>
      <c r="AN27" s="21" t="str">
        <f>IF(U27&lt;&gt;"",INDEX(U25:U29,MATCH(3,AM25:AM29,0),0),"")</f>
        <v/>
      </c>
      <c r="AO27" s="21" t="str">
        <f>IF(Q26&lt;&gt;"",Q26,"")</f>
        <v>Croatia</v>
      </c>
      <c r="AP27" s="21">
        <f>SUMPRODUCT((CZ3:CZ42=AO27)*(DC3:DC42=AO28)*(DD3:DD42="W"))+SUMPRODUCT((CZ3:CZ42=AO27)*(DC3:DC42=AO29)*(DD3:DD42="W"))+SUMPRODUCT((CZ3:CZ42=AO27)*(DC3:DC42=AO26)*(DD3:DD42="W"))+SUMPRODUCT((CZ3:CZ42=AO28)*(DC3:DC42=AO27)*(DE3:DE42="W"))+SUMPRODUCT((CZ3:CZ42=AO29)*(DC3:DC42=AO27)*(DE3:DE42="W"))+SUMPRODUCT((CZ3:CZ42=AO26)*(DC3:DC42=AO27)*(DE3:DE42="W"))</f>
        <v>0</v>
      </c>
      <c r="AQ27" s="21">
        <f>SUMPRODUCT((CZ3:CZ42=AO27)*(DC3:DC42=AO28)*(DD3:DD42="D"))+SUMPRODUCT((CZ3:CZ42=AO27)*(DC3:DC42=AO29)*(DD3:DD42="D"))+SUMPRODUCT((CZ3:CZ42=AO27)*(DC3:DC42=AO26)*(DD3:DD42="D"))+SUMPRODUCT((CZ3:CZ42=AO28)*(DC3:DC42=AO27)*(DD3:DD42="D"))+SUMPRODUCT((CZ3:CZ42=AO29)*(DC3:DC42=AO27)*(DD3:DD42="D"))+SUMPRODUCT((CZ3:CZ42=AO26)*(DC3:DC42=AO27)*(DD3:DD42="D"))</f>
        <v>1</v>
      </c>
      <c r="AR27" s="21">
        <f>SUMPRODUCT((CZ3:CZ42=AO27)*(DC3:DC42=AO28)*(DD3:DD42="L"))+SUMPRODUCT((CZ3:CZ42=AO27)*(DC3:DC42=AO29)*(DD3:DD42="L"))+SUMPRODUCT((CZ3:CZ42=AO27)*(DC3:DC42=AO26)*(DD3:DD42="L"))+SUMPRODUCT((CZ3:CZ42=AO28)*(DC3:DC42=AO27)*(DE3:DE42="L"))+SUMPRODUCT((CZ3:CZ42=AO29)*(DC3:DC42=AO27)*(DE3:DE42="L"))+SUMPRODUCT((CZ3:CZ42=AO26)*(DC3:DC42=AO27)*(DE3:DE42="L"))</f>
        <v>0</v>
      </c>
      <c r="AS27" s="21">
        <f>SUMPRODUCT((CZ3:CZ42=AO27)*(DC3:DC42=AO28)*DA3:DA42)+SUMPRODUCT((CZ3:CZ42=AO27)*(DC3:DC42=AO29)*DA3:DA42)+SUMPRODUCT((CZ3:CZ42=AO27)*(DC3:DC42=AO25)*DA3:DA42)+SUMPRODUCT((CZ3:CZ42=AO27)*(DC3:DC42=AO26)*DA3:DA42)+SUMPRODUCT((CZ3:CZ42=AO28)*(DC3:DC42=AO27)*DB3:DB42)+SUMPRODUCT((CZ3:CZ42=AO29)*(DC3:DC42=AO27)*DB3:DB42)+SUMPRODUCT((CZ3:CZ42=AO25)*(DC3:DC42=AO27)*DB3:DB42)+SUMPRODUCT((CZ3:CZ42=AO26)*(DC3:DC42=AO27)*DB3:DB42)</f>
        <v>1</v>
      </c>
      <c r="AT27" s="21">
        <f>SUMPRODUCT((CZ3:CZ42=AO27)*(DC3:DC42=AO28)*DB3:DB42)+SUMPRODUCT((CZ3:CZ42=AO27)*(DC3:DC42=AO29)*DB3:DB42)+SUMPRODUCT((CZ3:CZ42=AO27)*(DC3:DC42=AO25)*DB3:DB42)+SUMPRODUCT((CZ3:CZ42=AO27)*(DC3:DC42=AO26)*DB3:DB42)+SUMPRODUCT((CZ3:CZ42=AO28)*(DC3:DC42=AO27)*DA3:DA42)+SUMPRODUCT((CZ3:CZ42=AO29)*(DC3:DC42=AO27)*DA3:DA42)+SUMPRODUCT((CZ3:CZ42=AO25)*(DC3:DC42=AO27)*DA3:DA42)+SUMPRODUCT((CZ3:CZ42=AO26)*(DC3:DC42=AO27)*DA3:DA42)</f>
        <v>1</v>
      </c>
      <c r="AU27" s="21">
        <f>AS27-AT27+1000</f>
        <v>1000</v>
      </c>
      <c r="AV27" s="21">
        <f t="shared" si="41"/>
        <v>1</v>
      </c>
      <c r="AW27" s="21">
        <f>IF(AO27&lt;&gt;"",VLOOKUP(AO27,B4:H40,7,FALSE),"")</f>
        <v>1001</v>
      </c>
      <c r="AX27" s="21">
        <f>IF(AO27&lt;&gt;"",VLOOKUP(AO27,B4:H40,5,FALSE),"")</f>
        <v>4</v>
      </c>
      <c r="AY27" s="21">
        <f>IF(AO27&lt;&gt;"",VLOOKUP(AO27,B4:J40,9,FALSE),"")</f>
        <v>46</v>
      </c>
      <c r="AZ27" s="21">
        <f t="shared" si="42"/>
        <v>1</v>
      </c>
      <c r="BA27" s="21">
        <f>IF(AO27&lt;&gt;"",RANK(AZ27,AZ25:AZ29),"")</f>
        <v>1</v>
      </c>
      <c r="BB27" s="21">
        <f>IF(AO27&lt;&gt;"",SUMPRODUCT((AZ25:AZ29=AZ27)*(AU25:AU29&gt;AU27)),"")</f>
        <v>0</v>
      </c>
      <c r="BC27" s="21">
        <f>IF(AO27&lt;&gt;"",SUMPRODUCT((AZ25:AZ29=AZ27)*(AU25:AU29=AU27)*(AS25:AS29&gt;AS27)),"")</f>
        <v>0</v>
      </c>
      <c r="BD27" s="21">
        <f>IF(AO27&lt;&gt;"",SUMPRODUCT((AZ25:AZ29=AZ27)*(AU25:AU29=AU27)*(AS25:AS29=AS27)*(AW25:AW29&gt;AW27)),"")</f>
        <v>0</v>
      </c>
      <c r="BE27" s="21">
        <f>IF(AO27&lt;&gt;"",SUMPRODUCT((AZ25:AZ29=AZ27)*(AU25:AU29=AU27)*(AS25:AS29=AS27)*(AW25:AW29=AW27)*(AX25:AX29&gt;AX27)),"")</f>
        <v>0</v>
      </c>
      <c r="BF27" s="21">
        <f>IF(AO27&lt;&gt;"",SUMPRODUCT((AZ25:AZ29=AZ27)*(AU25:AU29=AU27)*(AS25:AS29=AS27)*(AW25:AW29=AW27)*(AX25:AX29=AX27)*(AY25:AY29&gt;AY27)),"")</f>
        <v>0</v>
      </c>
      <c r="BG27" s="21">
        <f>IF(AO27&lt;&gt;"",IF(BG67&lt;&gt;"",IF(AN64=3,BG67,BG67+AN64),SUM(BA27:BF27)+1),"")</f>
        <v>2</v>
      </c>
      <c r="BH27" s="21" t="str">
        <f>IF(AO27&lt;&gt;"",INDEX(AO26:AO29,MATCH(3,BG26:BG29,0),0),"")</f>
        <v>Czech Republic</v>
      </c>
      <c r="BI27" s="21" t="str">
        <f>IF(R25&lt;&gt;"",R25,"")</f>
        <v/>
      </c>
      <c r="BJ27" s="21">
        <f>SUMPRODUCT((CZ3:CZ42=BI27)*(DC3:DC42=BI28)*(DD3:DD42="W"))+SUMPRODUCT((CZ3:CZ42=BI27)*(DC3:DC42=BI29)*(DD3:DD42="W"))+SUMPRODUCT((CZ3:CZ42=BI27)*(DC3:DC42=BI30)*(DD3:DD42="W"))+SUMPRODUCT((CZ3:CZ42=BI28)*(DC3:DC42=BI27)*(DE3:DE42="W"))+SUMPRODUCT((CZ3:CZ42=BI29)*(DC3:DC42=BI27)*(DE3:DE42="W"))+SUMPRODUCT((CZ3:CZ42=BI30)*(DC3:DC42=BI27)*(DE3:DE42="W"))</f>
        <v>0</v>
      </c>
      <c r="BK27" s="21">
        <f>SUMPRODUCT((CZ3:CZ42=BI27)*(DC3:DC42=BI28)*(DD3:DD42="D"))+SUMPRODUCT((CZ3:CZ42=BI27)*(DC3:DC42=BI29)*(DD3:DD42="D"))+SUMPRODUCT((CZ3:CZ42=BI27)*(DC3:DC42=BI30)*(DD3:DD42="D"))+SUMPRODUCT((CZ3:CZ42=BI28)*(DC3:DC42=BI27)*(DD3:DD42="D"))+SUMPRODUCT((CZ3:CZ42=BI29)*(DC3:DC42=BI27)*(DD3:DD42="D"))+SUMPRODUCT((CZ3:CZ42=BI30)*(DC3:DC42=BI27)*(DD3:DD42="D"))</f>
        <v>0</v>
      </c>
      <c r="BL27" s="21">
        <f>SUMPRODUCT((CZ3:CZ42=BI27)*(DC3:DC42=BI28)*(DD3:DD42="L"))+SUMPRODUCT((CZ3:CZ42=BI27)*(DC3:DC42=BI29)*(DD3:DD42="L"))+SUMPRODUCT((CZ3:CZ42=BI27)*(DC3:DC42=BI30)*(DD3:DD42="L"))+SUMPRODUCT((CZ3:CZ42=BI28)*(DC3:DC42=BI27)*(DE3:DE42="L"))+SUMPRODUCT((CZ3:CZ42=BI29)*(DC3:DC42=BI27)*(DE3:DE42="L"))+SUMPRODUCT((CZ3:CZ42=BI30)*(DC3:DC42=BI27)*(DE3:DE42="L"))</f>
        <v>0</v>
      </c>
      <c r="BM27" s="21">
        <f>SUMPRODUCT((CZ3:CZ42=BI27)*(DC3:DC42=BI28)*DA3:DA42)+SUMPRODUCT((CZ3:CZ42=BI27)*(DC3:DC42=BI29)*DA3:DA42)+SUMPRODUCT((CZ3:CZ42=BI27)*(DC3:DC42=BI25)*DA3:DA42)+SUMPRODUCT((CZ3:CZ42=BI27)*(DC3:DC42=BI26)*DA3:DA42)+SUMPRODUCT((CZ3:CZ42=BI28)*(DC3:DC42=BI27)*DB3:DB42)+SUMPRODUCT((CZ3:CZ42=BI29)*(DC3:DC42=BI27)*DB3:DB42)+SUMPRODUCT((CZ3:CZ42=BI25)*(DC3:DC42=BI27)*DB3:DB42)+SUMPRODUCT((CZ3:CZ42=BI26)*(DC3:DC42=BI27)*DB3:DB42)</f>
        <v>0</v>
      </c>
      <c r="BN27" s="21">
        <f>SUMPRODUCT((CZ3:CZ42=BI27)*(DC3:DC42=BI28)*DB3:DB42)+SUMPRODUCT((CZ3:CZ42=BI27)*(DC3:DC42=BI29)*DB3:DB42)+SUMPRODUCT((CZ3:CZ42=BI27)*(DC3:DC42=BI25)*DB3:DB42)+SUMPRODUCT((CZ3:CZ42=BI27)*(DC3:DC42=BI26)*DB3:DB42)+SUMPRODUCT((CZ3:CZ42=BI28)*(DC3:DC42=BI27)*DA3:DA42)+SUMPRODUCT((CZ3:CZ42=BI29)*(DC3:DC42=BI27)*DA3:DA42)+SUMPRODUCT((CZ3:CZ42=BI25)*(DC3:DC42=BI27)*DA3:DA42)+SUMPRODUCT((CZ3:CZ42=BI26)*(DC3:DC42=BI27)*DA3:DA42)</f>
        <v>0</v>
      </c>
      <c r="BO27" s="21">
        <f>BM27-BN27+1000</f>
        <v>1000</v>
      </c>
      <c r="BP27" s="21" t="str">
        <f t="shared" ref="BP27:BP28" si="43">IF(BI27&lt;&gt;"",BJ27*3+BK27*1,"")</f>
        <v/>
      </c>
      <c r="BQ27" s="21" t="str">
        <f>IF(BI27&lt;&gt;"",VLOOKUP(BI27,B4:H40,7,FALSE),"")</f>
        <v/>
      </c>
      <c r="BR27" s="21" t="str">
        <f>IF(BI27&lt;&gt;"",VLOOKUP(BI27,B4:H40,5,FALSE),"")</f>
        <v/>
      </c>
      <c r="BS27" s="21" t="str">
        <f>IF(BI27&lt;&gt;"",VLOOKUP(BI27,B4:J40,9,FALSE),"")</f>
        <v/>
      </c>
      <c r="BT27" s="21" t="str">
        <f t="shared" ref="BT27:BT28" si="44">BP27</f>
        <v/>
      </c>
      <c r="BU27" s="21" t="str">
        <f>IF(BI27&lt;&gt;"",RANK(BT27,BT25:BT29),"")</f>
        <v/>
      </c>
      <c r="BV27" s="21" t="str">
        <f>IF(BI27&lt;&gt;"",SUMPRODUCT((BT25:BT29=BT27)*(BO25:BO29&gt;BO27)),"")</f>
        <v/>
      </c>
      <c r="BW27" s="21" t="str">
        <f>IF(BI27&lt;&gt;"",SUMPRODUCT((BT25:BT29=BT27)*(BO25:BO29=BO27)*(BM25:BM29&gt;BM27)),"")</f>
        <v/>
      </c>
      <c r="BX27" s="21" t="str">
        <f>IF(BI27&lt;&gt;"",SUMPRODUCT((BT25:BT29=BT27)*(BO25:BO29=BO27)*(BM25:BM29=BM27)*(BQ25:BQ29&gt;BQ27)),"")</f>
        <v/>
      </c>
      <c r="BY27" s="21" t="str">
        <f>IF(BI27&lt;&gt;"",SUMPRODUCT((BT25:BT29=BT27)*(BO25:BO29=BO27)*(BM25:BM29=BM27)*(BQ25:BQ29=BQ27)*(BR25:BR29&gt;BR27)),"")</f>
        <v/>
      </c>
      <c r="BZ27" s="21" t="str">
        <f>IF(BI27&lt;&gt;"",SUMPRODUCT((BT25:BT29=BT27)*(BO25:BO29=BO27)*(BM25:BM29=BM27)*(BQ25:BQ29=BQ27)*(BR25:BR29=BR27)*(BS25:BS29&gt;BS27)),"")</f>
        <v/>
      </c>
      <c r="CA27" s="21" t="str">
        <f>IF(BI27&lt;&gt;"",SUM(BU27:BZ27)+2,"")</f>
        <v/>
      </c>
      <c r="CB27" s="21" t="str">
        <f>IF(BI27&lt;&gt;"",INDEX(BI27:BI29,MATCH(3,CA27:CA29,0),0),"")</f>
        <v/>
      </c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 t="str">
        <f>IF(CB27&lt;&gt;"",CB27,IF(BH27&lt;&gt;"",BH27,IF(AN27&lt;&gt;"",AN27,N27)))</f>
        <v>Czech Republic</v>
      </c>
      <c r="CX27" s="21">
        <v>3</v>
      </c>
      <c r="CY27" s="21">
        <v>25</v>
      </c>
      <c r="CZ27" s="21" t="str">
        <f>Matches!E35</f>
        <v>Switzerland</v>
      </c>
      <c r="DA27" s="21">
        <f>IF(AND(Matches!F35&lt;&gt;"",Matches!G35&lt;&gt;""),Matches!F35,0)</f>
        <v>3</v>
      </c>
      <c r="DB27" s="21">
        <f>IF(AND(Matches!G35&lt;&gt;"",Matches!F35&lt;&gt;""),Matches!G35,0)</f>
        <v>1</v>
      </c>
      <c r="DC27" s="21" t="str">
        <f>Matches!H35</f>
        <v>Turkey</v>
      </c>
      <c r="DD27" s="21" t="str">
        <f>IF(AND(Matches!F35&lt;&gt;"",Matches!G35&lt;&gt;""),IF(DA27&gt;DB27,"W",IF(DA27=DB27,"D","L")),"")</f>
        <v>W</v>
      </c>
      <c r="DE27" s="21" t="str">
        <f t="shared" si="0"/>
        <v>L</v>
      </c>
      <c r="DF27" s="21"/>
      <c r="DG27" s="21"/>
      <c r="DH27" s="216" t="s">
        <v>48</v>
      </c>
      <c r="DI27" s="217" t="s">
        <v>39</v>
      </c>
      <c r="DJ27" s="217" t="s">
        <v>49</v>
      </c>
      <c r="DK27" s="217" t="s">
        <v>41</v>
      </c>
      <c r="DL27" s="216" t="s">
        <v>41</v>
      </c>
      <c r="DM27" s="216" t="s">
        <v>49</v>
      </c>
      <c r="DN27" s="216" t="s">
        <v>39</v>
      </c>
      <c r="DO27" s="216" t="s">
        <v>48</v>
      </c>
      <c r="DP27" s="217"/>
      <c r="DQ27" s="218">
        <f>IFERROR(MATCH(DQ12,DH27:DK27,0),0)</f>
        <v>4</v>
      </c>
      <c r="DR27" s="218">
        <f>IFERROR(MATCH(DR12,DH27:DK27,0),0)</f>
        <v>2</v>
      </c>
      <c r="DS27" s="218">
        <f>IFERROR(MATCH(DS12,DH27:DK27,0),0)</f>
        <v>0</v>
      </c>
      <c r="DT27" s="218">
        <f>IFERROR(MATCH(DT12,DH27:DK27,0),0)</f>
        <v>1</v>
      </c>
      <c r="DU27" s="218">
        <f t="shared" si="22"/>
        <v>7</v>
      </c>
      <c r="DV27" s="21"/>
      <c r="DW27" s="21" t="str">
        <f>VLOOKUP(2,A18:B21,2,FALSE)</f>
        <v>Austria</v>
      </c>
      <c r="DX27" s="217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  <c r="GI27" s="21"/>
      <c r="GJ27" s="21"/>
      <c r="GK27" s="21"/>
      <c r="GL27" s="21"/>
      <c r="GM27" s="21"/>
      <c r="GN27" s="21"/>
      <c r="GO27" s="21"/>
      <c r="GP27" s="21"/>
      <c r="GQ27" s="21"/>
      <c r="GR27" s="21"/>
      <c r="GS27" s="21"/>
      <c r="GT27" s="21"/>
      <c r="GU27" s="21"/>
      <c r="GV27" s="21"/>
      <c r="GW27" s="21"/>
      <c r="GX27" s="21"/>
      <c r="GY27" s="21"/>
      <c r="GZ27" s="21"/>
      <c r="HA27" s="21"/>
      <c r="HB27" s="21"/>
      <c r="HC27" s="21"/>
      <c r="HD27" s="21"/>
      <c r="HE27" s="21"/>
      <c r="HF27" s="21"/>
      <c r="HG27" s="21"/>
      <c r="HH27" s="21"/>
      <c r="HI27" s="21"/>
      <c r="HJ27" s="21"/>
      <c r="HK27" s="21"/>
      <c r="HL27" s="21"/>
      <c r="HM27" s="21"/>
      <c r="HN27" s="21"/>
      <c r="HO27" s="21"/>
      <c r="HP27" s="21"/>
      <c r="HQ27" s="21"/>
      <c r="HR27" s="21"/>
      <c r="HS27" s="21"/>
      <c r="HT27" s="21"/>
      <c r="HU27" s="21"/>
      <c r="HV27" s="21"/>
      <c r="HW27" s="21"/>
      <c r="HX27" s="21"/>
      <c r="HY27" s="214"/>
      <c r="HZ27" s="214"/>
      <c r="IA27" s="21"/>
      <c r="IB27" s="21"/>
      <c r="IC27" s="21"/>
      <c r="ID27" s="21"/>
      <c r="IE27" s="21"/>
      <c r="IF27" s="216"/>
      <c r="IG27" s="217"/>
      <c r="IH27" s="217"/>
      <c r="II27" s="217"/>
      <c r="IJ27" s="216"/>
      <c r="IK27" s="216"/>
      <c r="IL27" s="216"/>
      <c r="IM27" s="216"/>
      <c r="IN27" s="217"/>
      <c r="IO27" s="218"/>
      <c r="IP27" s="218"/>
      <c r="IQ27" s="218"/>
      <c r="IR27" s="218"/>
      <c r="IS27" s="218"/>
      <c r="IT27" s="21"/>
      <c r="IU27" s="21"/>
      <c r="IV27" s="217"/>
    </row>
    <row r="28" spans="1:256" ht="14" x14ac:dyDescent="0.2">
      <c r="A28" s="21">
        <f>VLOOKUP(B28,CW25:CX29,2,FALSE)</f>
        <v>2</v>
      </c>
      <c r="B28" s="21" t="str">
        <f>Matches!AH25</f>
        <v>Croatia</v>
      </c>
      <c r="C28" s="21">
        <f>SUMPRODUCT((CZ3:CZ42=B28)*(DD3:DD42="W"))+SUMPRODUCT((DC3:DC42=B28)*(DE3:DE42="W"))</f>
        <v>1</v>
      </c>
      <c r="D28" s="21">
        <f>SUMPRODUCT((CZ3:CZ42=B28)*(DD3:DD42="D"))+SUMPRODUCT((DC3:DC42=B28)*(DE3:DE42="D"))</f>
        <v>1</v>
      </c>
      <c r="E28" s="21">
        <f>SUMPRODUCT((CZ3:CZ42=B28)*(DD3:DD42="L"))+SUMPRODUCT((DC3:DC42=B28)*(DE3:DE42="L"))</f>
        <v>1</v>
      </c>
      <c r="F28" s="21">
        <f>SUMIF(CZ3:CZ60,B28,DA3:DA60)+SUMIF(DC3:DC60,B28,DB3:DB60)</f>
        <v>4</v>
      </c>
      <c r="G28" s="21">
        <f>SUMIF(DC3:DC60,B28,DA3:DA60)+SUMIF(CZ3:CZ60,B28,DB3:DB60)</f>
        <v>3</v>
      </c>
      <c r="H28" s="21">
        <f t="shared" si="36"/>
        <v>1001</v>
      </c>
      <c r="I28" s="21">
        <f t="shared" si="37"/>
        <v>4</v>
      </c>
      <c r="J28" s="21">
        <v>46</v>
      </c>
      <c r="K28" s="21">
        <f>IF(COUNTIF(I25:I29,4)&lt;&gt;4,RANK(I28,I25:I29),I68)</f>
        <v>2</v>
      </c>
      <c r="L28" s="21"/>
      <c r="M28" s="21">
        <f>SUMPRODUCT((K25:K28=K28)*(J25:J28&lt;J28))+K28</f>
        <v>3</v>
      </c>
      <c r="N28" s="21" t="str">
        <f>INDEX(B25:B29,MATCH(4,M25:M29,0),0)</f>
        <v>Scotland</v>
      </c>
      <c r="O28" s="21">
        <f>INDEX(K25:K29,MATCH(N28,B25:B29,0),0)</f>
        <v>4</v>
      </c>
      <c r="P28" s="21" t="str">
        <f>IF(AND(P27&lt;&gt;"",O28=1),N28,"")</f>
        <v/>
      </c>
      <c r="Q28" s="21" t="str">
        <f>IF(AND(Q27&lt;&gt;"",O29=2),N29,"")</f>
        <v/>
      </c>
      <c r="R28" s="21"/>
      <c r="S28" s="21"/>
      <c r="T28" s="21"/>
      <c r="U28" s="21" t="str">
        <f t="shared" si="40"/>
        <v/>
      </c>
      <c r="V28" s="21">
        <f>SUMPRODUCT((CZ3:CZ42=U28)*(DC3:DC42=U29)*(DD3:DD42="W"))+SUMPRODUCT((CZ3:CZ42=U28)*(DC3:DC42=U25)*(DD3:DD42="W"))+SUMPRODUCT((CZ3:CZ42=U28)*(DC3:DC42=U26)*(DD3:DD42="W"))+SUMPRODUCT((CZ3:CZ42=U28)*(DC3:DC42=U27)*(DD3:DD42="W"))+SUMPRODUCT((CZ3:CZ42=U29)*(DC3:DC42=U28)*(DE3:DE42="W"))+SUMPRODUCT((CZ3:CZ42=U25)*(DC3:DC42=U28)*(DE3:DE42="W"))+SUMPRODUCT((CZ3:CZ42=U26)*(DC3:DC42=U28)*(DE3:DE42="W"))+SUMPRODUCT((CZ3:CZ42=U27)*(DC3:DC42=U28)*(DE3:DE42="W"))</f>
        <v>0</v>
      </c>
      <c r="W28" s="21">
        <f>SUMPRODUCT((CZ3:CZ42=U28)*(DC3:DC42=U29)*(DD3:DD42="D"))+SUMPRODUCT((CZ3:CZ42=U28)*(DC3:DC42=U25)*(DD3:DD42="D"))+SUMPRODUCT((CZ3:CZ42=U28)*(DC3:DC42=U26)*(DD3:DD42="D"))+SUMPRODUCT((CZ3:CZ42=U28)*(DC3:DC42=U27)*(DD3:DD42="D"))+SUMPRODUCT((CZ3:CZ42=U29)*(DC3:DC42=U28)*(DD3:DD42="D"))+SUMPRODUCT((CZ3:CZ42=U25)*(DC3:DC42=U28)*(DD3:DD42="D"))+SUMPRODUCT((CZ3:CZ42=U26)*(DC3:DC42=U28)*(DD3:DD42="D"))+SUMPRODUCT((CZ3:CZ42=U27)*(DC3:DC42=U28)*(DD3:DD42="D"))</f>
        <v>0</v>
      </c>
      <c r="X28" s="21">
        <f>SUMPRODUCT((CZ3:CZ42=U28)*(DC3:DC42=U29)*(DD3:DD42="L"))+SUMPRODUCT((CZ3:CZ42=U28)*(DC3:DC42=U25)*(DD3:DD42="L"))+SUMPRODUCT((CZ3:CZ42=U28)*(DC3:DC42=U26)*(DD3:DD42="L"))+SUMPRODUCT((CZ3:CZ42=U28)*(DC3:DC42=U27)*(DD3:DD42="L"))+SUMPRODUCT((CZ3:CZ42=U29)*(DC3:DC42=U28)*(DE3:DE42="L"))+SUMPRODUCT((CZ3:CZ42=U25)*(DC3:DC42=U28)*(DE3:DE42="L"))+SUMPRODUCT((CZ3:CZ42=U26)*(DC3:DC42=U28)*(DE3:DE42="L"))+SUMPRODUCT((CZ3:CZ42=U27)*(DC3:DC42=U28)*(DE3:DE42="L"))</f>
        <v>0</v>
      </c>
      <c r="Y28" s="21">
        <f>SUMPRODUCT((CZ3:CZ42=U28)*(DC3:DC42=U29)*DA3:DA42)+SUMPRODUCT((CZ3:CZ42=U28)*(DC3:DC42=U25)*DA3:DA42)+SUMPRODUCT((CZ3:CZ42=U28)*(DC3:DC42=U26)*DA3:DA42)+SUMPRODUCT((CZ3:CZ42=U28)*(DC3:DC42=U27)*DA3:DA42)+SUMPRODUCT((CZ3:CZ42=U29)*(DC3:DC42=U28)*DB3:DB42)+SUMPRODUCT((CZ3:CZ42=U25)*(DC3:DC42=U28)*DB3:DB42)+SUMPRODUCT((CZ3:CZ42=U26)*(DC3:DC42=U28)*DB3:DB42)+SUMPRODUCT((CZ3:CZ42=U27)*(DC3:DC42=U28)*DB3:DB42)</f>
        <v>0</v>
      </c>
      <c r="Z28" s="21">
        <f>SUMPRODUCT((CZ3:CZ42=U28)*(DC3:DC42=U29)*DB3:DB42)+SUMPRODUCT((CZ3:CZ42=U28)*(DC3:DC42=U25)*DB3:DB42)+SUMPRODUCT((CZ3:CZ42=U28)*(DC3:DC42=U26)*DB3:DB42)+SUMPRODUCT((CZ3:CZ42=U28)*(DC3:DC42=U27)*DB3:DB42)+SUMPRODUCT((CZ3:CZ42=U29)*(DC3:DC42=U28)*DA3:DA42)+SUMPRODUCT((CZ3:CZ42=U25)*(DC3:DC42=U28)*DA3:DA42)+SUMPRODUCT((CZ3:CZ42=U26)*(DC3:DC42=U28)*DA3:DA42)+SUMPRODUCT((CZ3:CZ42=U27)*(DC3:DC42=U28)*DA3:DA42)</f>
        <v>0</v>
      </c>
      <c r="AA28" s="21">
        <f>Y28-Z28+1000</f>
        <v>1000</v>
      </c>
      <c r="AB28" s="21" t="str">
        <f t="shared" si="38"/>
        <v/>
      </c>
      <c r="AC28" s="21" t="str">
        <f>IF(U28&lt;&gt;"",VLOOKUP(U28,B4:H40,7,FALSE),"")</f>
        <v/>
      </c>
      <c r="AD28" s="21" t="str">
        <f>IF(U28&lt;&gt;"",VLOOKUP(U28,B4:H40,5,FALSE),"")</f>
        <v/>
      </c>
      <c r="AE28" s="21" t="str">
        <f>IF(U28&lt;&gt;"",VLOOKUP(U28,B4:J40,9,FALSE),"")</f>
        <v/>
      </c>
      <c r="AF28" s="21" t="str">
        <f t="shared" si="39"/>
        <v/>
      </c>
      <c r="AG28" s="21" t="str">
        <f>IF(U28&lt;&gt;"",RANK(AF28,AF25:AF29),"")</f>
        <v/>
      </c>
      <c r="AH28" s="21" t="str">
        <f>IF(U28&lt;&gt;"",SUMPRODUCT((AF25:AF29=AF28)*(AA25:AA29&gt;AA28)),"")</f>
        <v/>
      </c>
      <c r="AI28" s="21" t="str">
        <f>IF(U28&lt;&gt;"",SUMPRODUCT((AF25:AF29=AF28)*(AA25:AA29=AA28)*(Y25:Y29&gt;Y28)),"")</f>
        <v/>
      </c>
      <c r="AJ28" s="21" t="str">
        <f>IF(U28&lt;&gt;"",SUMPRODUCT((AF25:AF29=AF28)*(AA25:AA29=AA28)*(Y25:Y29=Y28)*(AC25:AC29&gt;AC28)),"")</f>
        <v/>
      </c>
      <c r="AK28" s="21" t="str">
        <f>IF(U28&lt;&gt;"",SUMPRODUCT((AF25:AF29=AF28)*(AA25:AA29=AA28)*(Y25:Y29=Y28)*(AC25:AC29=AC28)*(AD25:AD29&gt;AD28)),"")</f>
        <v/>
      </c>
      <c r="AL28" s="21" t="str">
        <f>IF(U28&lt;&gt;"",SUMPRODUCT((AF25:AF29=AF28)*(AA25:AA29=AA28)*(Y25:Y29=Y28)*(AC25:AC29=AC28)*(AD25:AD29=AD28)*(AE25:AE29&gt;AE28)),"")</f>
        <v/>
      </c>
      <c r="AM28" s="21" t="str">
        <f>IF(U28&lt;&gt;"",IF(AM68&lt;&gt;"",IF(T64=3,AM68,AM68+T64),SUM(AG28:AL28)),"")</f>
        <v/>
      </c>
      <c r="AN28" s="21" t="str">
        <f>IF(U28&lt;&gt;"",INDEX(U25:U29,MATCH(4,AM25:AM29,0),0),"")</f>
        <v/>
      </c>
      <c r="AO28" s="21" t="str">
        <f>IF(Q27&lt;&gt;"",Q27,"")</f>
        <v/>
      </c>
      <c r="AP28" s="21" t="str">
        <f>IF(AO28&lt;&gt;"",SUMPRODUCT((CZ3:CZ42=AO28)*(DC3:DC42=AO29)*(DD3:DD42="W"))+SUMPRODUCT((CZ3:CZ42=AO28)*(DC3:DC42=AO26)*(DD3:DD42="W"))+SUMPRODUCT((CZ3:CZ42=AO28)*(DC3:DC42=AO27)*(DD3:DD42="W"))+SUMPRODUCT((CZ3:CZ42=AO29)*(DC3:DC42=AO28)*(DE3:DE42="W"))+SUMPRODUCT((CZ3:CZ42=AO26)*(DC3:DC42=AO28)*(DE3:DE42="W"))+SUMPRODUCT((CZ3:CZ42=AO27)*(DC3:DC42=AO28)*(DE3:DE42="W")),"")</f>
        <v/>
      </c>
      <c r="AQ28" s="21" t="str">
        <f>IF(AO28&lt;&gt;"",SUMPRODUCT((CZ3:CZ42=AO28)*(DC3:DC42=AO29)*(DD3:DD42="D"))+SUMPRODUCT((CZ3:CZ42=AO28)*(DC3:DC42=AO26)*(DD3:DD42="D"))+SUMPRODUCT((CZ3:CZ42=AO28)*(DC3:DC42=AO27)*(DD3:DD42="D"))+SUMPRODUCT((CZ3:CZ42=AO29)*(DC3:DC42=AO28)*(DD3:DD42="D"))+SUMPRODUCT((CZ3:CZ42=AO26)*(DC3:DC42=AO28)*(DD3:DD42="D"))+SUMPRODUCT((CZ3:CZ42=AO27)*(DC3:DC42=AO28)*(DD3:DD42="D")),"")</f>
        <v/>
      </c>
      <c r="AR28" s="21" t="str">
        <f>IF(AO28&lt;&gt;"",SUMPRODUCT((CZ3:CZ42=AO28)*(DC3:DC42=AO29)*(DD3:DD42="L"))+SUMPRODUCT((CZ3:CZ42=AO28)*(DC3:DC42=AO26)*(DD3:DD42="L"))+SUMPRODUCT((CZ3:CZ42=AO28)*(DC3:DC42=AO27)*(DD3:DD42="L"))+SUMPRODUCT((CZ3:CZ42=AO29)*(DC3:DC42=AO28)*(DE3:DE42="L"))+SUMPRODUCT((CZ3:CZ42=AO26)*(DC3:DC42=AO28)*(DE3:DE42="L"))+SUMPRODUCT((CZ3:CZ42=AO27)*(DC3:DC42=AO28)*(DE3:DE42="L")),"")</f>
        <v/>
      </c>
      <c r="AS28" s="21">
        <f>SUMPRODUCT((CZ3:CZ42=AO28)*(DC3:DC42=AO29)*DA3:DA42)+SUMPRODUCT((CZ3:CZ42=AO28)*(DC3:DC42=AO25)*DA3:DA42)+SUMPRODUCT((CZ3:CZ42=AO28)*(DC3:DC42=AO26)*DA3:DA42)+SUMPRODUCT((CZ3:CZ42=AO28)*(DC3:DC42=AO27)*DA3:DA42)+SUMPRODUCT((CZ3:CZ42=AO29)*(DC3:DC42=AO28)*DB3:DB42)+SUMPRODUCT((CZ3:CZ42=AO25)*(DC3:DC42=AO28)*DB3:DB42)+SUMPRODUCT((CZ3:CZ42=AO26)*(DC3:DC42=AO28)*DB3:DB42)+SUMPRODUCT((CZ3:CZ42=AO27)*(DC3:DC42=AO28)*DB3:DB42)</f>
        <v>0</v>
      </c>
      <c r="AT28" s="21">
        <f>SUMPRODUCT((CZ3:CZ42=AO28)*(DC3:DC42=AO29)*DB3:DB42)+SUMPRODUCT((CZ3:CZ42=AO28)*(DC3:DC42=AO25)*DB3:DB42)+SUMPRODUCT((CZ3:CZ42=AO28)*(DC3:DC42=AO26)*DB3:DB42)+SUMPRODUCT((CZ3:CZ42=AO28)*(DC3:DC42=AO27)*DB3:DB42)+SUMPRODUCT((CZ3:CZ42=AO29)*(DC3:DC42=AO28)*DA3:DA42)+SUMPRODUCT((CZ3:CZ42=AO25)*(DC3:DC42=AO28)*DA3:DA42)+SUMPRODUCT((CZ3:CZ42=AO26)*(DC3:DC42=AO28)*DA3:DA42)+SUMPRODUCT((CZ3:CZ42=AO27)*(DC3:DC42=AO28)*DA3:DA42)</f>
        <v>0</v>
      </c>
      <c r="AU28" s="21">
        <f>AS28-AT28+1000</f>
        <v>1000</v>
      </c>
      <c r="AV28" s="21" t="str">
        <f t="shared" si="41"/>
        <v/>
      </c>
      <c r="AW28" s="21" t="str">
        <f>IF(AO28&lt;&gt;"",VLOOKUP(AO28,B4:H40,7,FALSE),"")</f>
        <v/>
      </c>
      <c r="AX28" s="21" t="str">
        <f>IF(AO28&lt;&gt;"",VLOOKUP(AO28,B4:H40,5,FALSE),"")</f>
        <v/>
      </c>
      <c r="AY28" s="21" t="str">
        <f>IF(AO28&lt;&gt;"",VLOOKUP(AO28,B4:J40,9,FALSE),"")</f>
        <v/>
      </c>
      <c r="AZ28" s="21" t="str">
        <f t="shared" si="42"/>
        <v/>
      </c>
      <c r="BA28" s="21" t="str">
        <f>IF(AO28&lt;&gt;"",RANK(AZ28,AZ25:AZ29),"")</f>
        <v/>
      </c>
      <c r="BB28" s="21" t="str">
        <f>IF(AO28&lt;&gt;"",SUMPRODUCT((AZ25:AZ29=AZ28)*(AU25:AU29&gt;AU28)),"")</f>
        <v/>
      </c>
      <c r="BC28" s="21" t="str">
        <f>IF(AO28&lt;&gt;"",SUMPRODUCT((AZ25:AZ29=AZ28)*(AU25:AU29=AU28)*(AS25:AS29&gt;AS28)),"")</f>
        <v/>
      </c>
      <c r="BD28" s="21" t="str">
        <f>IF(AO28&lt;&gt;"",SUMPRODUCT((AZ25:AZ29=AZ28)*(AU25:AU29=AU28)*(AS25:AS29=AS28)*(AW25:AW29&gt;AW28)),"")</f>
        <v/>
      </c>
      <c r="BE28" s="21" t="str">
        <f>IF(AO28&lt;&gt;"",SUMPRODUCT((AZ25:AZ29=AZ28)*(AU25:AU29=AU28)*(AS25:AS29=AS28)*(AW25:AW29=AW28)*(AX25:AX29&gt;AX28)),"")</f>
        <v/>
      </c>
      <c r="BF28" s="21" t="str">
        <f>IF(AO28&lt;&gt;"",SUMPRODUCT((AZ25:AZ29=AZ28)*(AU25:AU29=AU28)*(AS25:AS29=AS28)*(AW25:AW29=AW28)*(AX25:AX29=AX28)*(AY25:AY29&gt;AY28)),"")</f>
        <v/>
      </c>
      <c r="BG28" s="21" t="str">
        <f>IF(AO28&lt;&gt;"",IF(BG68&lt;&gt;"",IF(AN64=3,BG68,BG68+AN64),SUM(BA28:BF28)+1),"")</f>
        <v/>
      </c>
      <c r="BH28" s="21" t="str">
        <f>IF(AO28&lt;&gt;"",INDEX(AO26:AO29,MATCH(4,BG26:BG29,0),0),"")</f>
        <v/>
      </c>
      <c r="BI28" s="21" t="str">
        <f>IF(R26&lt;&gt;"",R26,"")</f>
        <v/>
      </c>
      <c r="BJ28" s="21">
        <f>SUMPRODUCT((CZ3:CZ42=BI28)*(DC3:DC42=BI29)*(DD3:DD42="W"))+SUMPRODUCT((CZ3:CZ42=BI28)*(DC3:DC42=BI30)*(DD3:DD42="W"))+SUMPRODUCT((CZ3:CZ42=BI28)*(DC3:DC42=BI27)*(DD3:DD42="W"))+SUMPRODUCT((CZ3:CZ42=BI29)*(DC3:DC42=BI28)*(DE3:DE42="W"))+SUMPRODUCT((CZ3:CZ42=BI30)*(DC3:DC42=BI28)*(DE3:DE42="W"))+SUMPRODUCT((CZ3:CZ42=BI27)*(DC3:DC42=BI28)*(DE3:DE42="W"))</f>
        <v>0</v>
      </c>
      <c r="BK28" s="21">
        <f>SUMPRODUCT((CZ3:CZ42=BI28)*(DC3:DC42=BI29)*(DD3:DD42="D"))+SUMPRODUCT((CZ3:CZ42=BI28)*(DC3:DC42=BI30)*(DD3:DD42="D"))+SUMPRODUCT((CZ3:CZ42=BI28)*(DC3:DC42=BI27)*(DD3:DD42="D"))+SUMPRODUCT((CZ3:CZ42=BI29)*(DC3:DC42=BI28)*(DD3:DD42="D"))+SUMPRODUCT((CZ3:CZ42=BI30)*(DC3:DC42=BI28)*(DD3:DD42="D"))+SUMPRODUCT((CZ3:CZ42=BI27)*(DC3:DC42=BI28)*(DD3:DD42="D"))</f>
        <v>0</v>
      </c>
      <c r="BL28" s="21">
        <f>SUMPRODUCT((CZ3:CZ42=BI28)*(DC3:DC42=BI29)*(DD3:DD42="L"))+SUMPRODUCT((CZ3:CZ42=BI28)*(DC3:DC42=BI30)*(DD3:DD42="L"))+SUMPRODUCT((CZ3:CZ42=BI28)*(DC3:DC42=BI27)*(DD3:DD42="L"))+SUMPRODUCT((CZ3:CZ42=BI29)*(DC3:DC42=BI28)*(DE3:DE42="L"))+SUMPRODUCT((CZ3:CZ42=BI30)*(DC3:DC42=BI28)*(DE3:DE42="L"))+SUMPRODUCT((CZ3:CZ42=BI27)*(DC3:DC42=BI28)*(DE3:DE42="L"))</f>
        <v>0</v>
      </c>
      <c r="BM28" s="21">
        <f>SUMPRODUCT((CZ3:CZ42=BI28)*(DC3:DC42=BI29)*DA3:DA42)+SUMPRODUCT((CZ3:CZ42=BI28)*(DC3:DC42=BI25)*DA3:DA42)+SUMPRODUCT((CZ3:CZ42=BI28)*(DC3:DC42=BI26)*DA3:DA42)+SUMPRODUCT((CZ3:CZ42=BI28)*(DC3:DC42=BI27)*DA3:DA42)+SUMPRODUCT((CZ3:CZ42=BI29)*(DC3:DC42=BI28)*DB3:DB42)+SUMPRODUCT((CZ3:CZ42=BI25)*(DC3:DC42=BI28)*DB3:DB42)+SUMPRODUCT((CZ3:CZ42=BI26)*(DC3:DC42=BI28)*DB3:DB42)+SUMPRODUCT((CZ3:CZ42=BI27)*(DC3:DC42=BI28)*DB3:DB42)</f>
        <v>0</v>
      </c>
      <c r="BN28" s="21">
        <f>SUMPRODUCT((CZ3:CZ42=BI28)*(DC3:DC42=BI29)*DB3:DB42)+SUMPRODUCT((CZ3:CZ42=BI28)*(DC3:DC42=BI25)*DB3:DB42)+SUMPRODUCT((CZ3:CZ42=BI28)*(DC3:DC42=BI26)*DB3:DB42)+SUMPRODUCT((CZ3:CZ42=BI28)*(DC3:DC42=BI27)*DB3:DB42)+SUMPRODUCT((CZ3:CZ42=BI29)*(DC3:DC42=BI28)*DA3:DA42)+SUMPRODUCT((CZ3:CZ42=BI25)*(DC3:DC42=BI28)*DA3:DA42)+SUMPRODUCT((CZ3:CZ42=BI26)*(DC3:DC42=BI28)*DA3:DA42)+SUMPRODUCT((CZ3:CZ42=BI27)*(DC3:DC42=BI28)*DA3:DA42)</f>
        <v>0</v>
      </c>
      <c r="BO28" s="21">
        <f>BM28-BN28+1000</f>
        <v>1000</v>
      </c>
      <c r="BP28" s="21" t="str">
        <f t="shared" si="43"/>
        <v/>
      </c>
      <c r="BQ28" s="21" t="str">
        <f>IF(BI28&lt;&gt;"",VLOOKUP(BI28,B4:H40,7,FALSE),"")</f>
        <v/>
      </c>
      <c r="BR28" s="21" t="str">
        <f>IF(BI28&lt;&gt;"",VLOOKUP(BI28,B4:H40,5,FALSE),"")</f>
        <v/>
      </c>
      <c r="BS28" s="21" t="str">
        <f>IF(BI28&lt;&gt;"",VLOOKUP(BI28,B4:J40,9,FALSE),"")</f>
        <v/>
      </c>
      <c r="BT28" s="21" t="str">
        <f t="shared" si="44"/>
        <v/>
      </c>
      <c r="BU28" s="21" t="str">
        <f>IF(BI28&lt;&gt;"",RANK(BT28,BT25:BT29),"")</f>
        <v/>
      </c>
      <c r="BV28" s="21" t="str">
        <f>IF(BI28&lt;&gt;"",SUMPRODUCT((BT25:BT29=BT28)*(BO25:BO29&gt;BO28)),"")</f>
        <v/>
      </c>
      <c r="BW28" s="21" t="str">
        <f>IF(BI28&lt;&gt;"",SUMPRODUCT((BT25:BT29=BT28)*(BO25:BO29=BO28)*(BM25:BM29&gt;BM28)),"")</f>
        <v/>
      </c>
      <c r="BX28" s="21" t="str">
        <f>IF(BI28&lt;&gt;"",SUMPRODUCT((BT25:BT29=BT28)*(BO25:BO29=BO28)*(BM25:BM29=BM28)*(BQ25:BQ29&gt;BQ28)),"")</f>
        <v/>
      </c>
      <c r="BY28" s="21" t="str">
        <f>IF(BI28&lt;&gt;"",SUMPRODUCT((BT25:BT29=BT28)*(BO25:BO29=BO28)*(BM25:BM29=BM28)*(BQ25:BQ29=BQ28)*(BR25:BR29&gt;BR28)),"")</f>
        <v/>
      </c>
      <c r="BZ28" s="21" t="str">
        <f>IF(BI28&lt;&gt;"",SUMPRODUCT((BT25:BT29=BT28)*(BO25:BO29=BO28)*(BM25:BM29=BM28)*(BQ25:BQ29=BQ28)*(BR25:BR29=BR28)*(BS25:BS29&gt;BS28)),"")</f>
        <v/>
      </c>
      <c r="CA28" s="21" t="str">
        <f>IF(BI28&lt;&gt;"",SUM(BU28:BZ28)+2,"")</f>
        <v/>
      </c>
      <c r="CB28" s="21" t="str">
        <f>IF(BI28&lt;&gt;"",INDEX(BI27:BI29,MATCH(4,CA27:CA29,0),0),"")</f>
        <v/>
      </c>
      <c r="CC28" s="21" t="str">
        <f>IF(S25&lt;&gt;"",S25,"")</f>
        <v/>
      </c>
      <c r="CD28" s="21">
        <f>SUMPRODUCT((CZ3:CZ42=CC28)*(DC3:DC42=CC29)*(DD3:DD42="W"))+SUMPRODUCT((CZ3:CZ42=CC28)*(DC3:DC42=CC30)*(DD3:DD42="W"))+SUMPRODUCT((CZ3:CZ42=CC28)*(DC3:DC42=CC31)*(DD3:DD42="W"))+SUMPRODUCT((CZ3:CZ42=CC29)*(DC3:DC42=CC28)*(DE3:DE42="W"))+SUMPRODUCT((CZ3:CZ42=CC30)*(DC3:DC42=CC28)*(DE3:DE42="W"))+SUMPRODUCT((CZ3:CZ42=CC31)*(DC3:DC42=CC28)*(DE3:DE42="W"))</f>
        <v>0</v>
      </c>
      <c r="CE28" s="21">
        <f>SUMPRODUCT((CZ3:CZ42=CC28)*(DC3:DC42=CC29)*(DD3:DD42="D"))+SUMPRODUCT((CZ3:CZ42=CC28)*(DC3:DC42=CC30)*(DD3:DD42="D"))+SUMPRODUCT((CZ3:CZ42=CC28)*(DC3:DC42=CC31)*(DD3:DD42="D"))+SUMPRODUCT((CZ3:CZ42=CC29)*(DC3:DC42=CC28)*(DD3:DD42="D"))+SUMPRODUCT((CZ3:CZ42=CC30)*(DC3:DC42=CC28)*(DD3:DD42="D"))+SUMPRODUCT((CZ3:CZ42=CC31)*(DC3:DC42=CC28)*(DD3:DD42="D"))</f>
        <v>0</v>
      </c>
      <c r="CF28" s="21">
        <f>SUMPRODUCT((CZ3:CZ42=CC28)*(DC3:DC42=CC29)*(DD3:DD42="L"))+SUMPRODUCT((CZ3:CZ42=CC28)*(DC3:DC42=CC30)*(DD3:DD42="L"))+SUMPRODUCT((CZ3:CZ42=CC28)*(DC3:DC42=CC31)*(DD3:DD42="L"))+SUMPRODUCT((CZ3:CZ42=CC29)*(DC3:DC42=CC28)*(DE3:DE42="L"))+SUMPRODUCT((CZ3:CZ42=CC30)*(DC3:DC42=CC28)*(DE3:DE42="L"))+SUMPRODUCT((CZ3:CZ42=CC31)*(DC3:DC42=CC28)*(DE3:DE42="L"))</f>
        <v>0</v>
      </c>
      <c r="CG28" s="21">
        <f>SUMPRODUCT((CZ3:CZ42=CC28)*(DC3:DC42=CC29)*DA3:DA42)+SUMPRODUCT((CZ3:CZ42=CC28)*(DC3:DC42=CC25)*DA3:DA42)+SUMPRODUCT((CZ3:CZ42=CC28)*(DC3:DC42=CC26)*DA3:DA42)+SUMPRODUCT((CZ3:CZ42=CC28)*(DC3:DC42=CC27)*DA3:DA42)+SUMPRODUCT((CZ3:CZ42=CC29)*(DC3:DC42=CC28)*DB3:DB42)+SUMPRODUCT((CZ3:CZ42=CC25)*(DC3:DC42=CC28)*DB3:DB42)+SUMPRODUCT((CZ3:CZ42=CC26)*(DC3:DC42=CC28)*DB3:DB42)+SUMPRODUCT((CZ3:CZ42=CC27)*(DC3:DC42=CC28)*DB3:DB42)</f>
        <v>0</v>
      </c>
      <c r="CH28" s="21">
        <f>SUMPRODUCT((CZ3:CZ42=CC28)*(DC3:DC42=CC29)*DB3:DB42)+SUMPRODUCT((CZ3:CZ42=CC28)*(DC3:DC42=CC25)*DB3:DB42)+SUMPRODUCT((CZ3:CZ42=CC28)*(DC3:DC42=CC26)*DB3:DB42)+SUMPRODUCT((CZ3:CZ42=CC28)*(DC3:DC42=CC27)*DB3:DB42)+SUMPRODUCT((CZ3:CZ42=CC29)*(DC3:DC42=CC28)*DA3:DA42)+SUMPRODUCT((CZ3:CZ42=CC25)*(DC3:DC42=CC28)*DA3:DA42)+SUMPRODUCT((CZ3:CZ42=CC26)*(DC3:DC42=CC28)*DA3:DA42)+SUMPRODUCT((CZ3:CZ42=CC27)*(DC3:DC42=CC28)*DA3:DA42)</f>
        <v>0</v>
      </c>
      <c r="CI28" s="21">
        <f>CG28-CH28+1000</f>
        <v>1000</v>
      </c>
      <c r="CJ28" s="21" t="str">
        <f t="shared" ref="CJ28" si="45">IF(CC28&lt;&gt;"",CD28*3+CE28*1,"")</f>
        <v/>
      </c>
      <c r="CK28" s="21" t="str">
        <f>IF(CC28&lt;&gt;"",VLOOKUP(CC28,B4:H40,7,FALSE),"")</f>
        <v/>
      </c>
      <c r="CL28" s="21" t="str">
        <f>IF(CC28&lt;&gt;"",VLOOKUP(CC28,B4:H40,5,FALSE),"")</f>
        <v/>
      </c>
      <c r="CM28" s="21" t="str">
        <f>IF(CC28&lt;&gt;"",VLOOKUP(CC28,B4:J40,9,FALSE),"")</f>
        <v/>
      </c>
      <c r="CN28" s="21" t="str">
        <f t="shared" ref="CN28" si="46">CJ28</f>
        <v/>
      </c>
      <c r="CO28" s="21" t="str">
        <f>IF(CC28&lt;&gt;"",RANK(CN28,AF25:AF29),"")</f>
        <v/>
      </c>
      <c r="CP28" s="21" t="str">
        <f>IF(CC28&lt;&gt;"",SUMPRODUCT((CN25:CN29=CN28)*(CI25:CI29&gt;CI28)),"")</f>
        <v/>
      </c>
      <c r="CQ28" s="21" t="str">
        <f>IF(CC28&lt;&gt;"",SUMPRODUCT((CN25:CN29=CN28)*(CI25:CI29=CI28)*(CG25:CG29&gt;CG28)),"")</f>
        <v/>
      </c>
      <c r="CR28" s="21" t="str">
        <f>IF(CC28&lt;&gt;"",SUMPRODUCT((CN25:CN29=CN28)*(CI25:CI29=CI28)*(CG25:CG29=CG28)*(CK25:CK29&gt;CK28)),"")</f>
        <v/>
      </c>
      <c r="CS28" s="21" t="str">
        <f>IF(CC28&lt;&gt;"",SUMPRODUCT((CN25:CN29=CN28)*(CI25:CI29=CI28)*(CG25:CG29=CG28)*(CK25:CK29=CK28)*(CL25:CL29&gt;CL28)),"")</f>
        <v/>
      </c>
      <c r="CT28" s="21" t="str">
        <f>IF(CC28&lt;&gt;"",SUMPRODUCT((CN25:CN29=CN28)*(CI25:CI29=CI28)*(CG25:CG29=CG28)*(CK25:CK29=CK28)*(CL25:CL29=CL28)*(CM25:CM29&gt;CM28)),"")</f>
        <v/>
      </c>
      <c r="CU28" s="21" t="str">
        <f>IF(CC28&lt;&gt;"",SUM(CO28:CT28)+3,"")</f>
        <v/>
      </c>
      <c r="CV28" s="21" t="str">
        <f>IF(CC28&lt;&gt;"",IF(CU28=4,CC28,CC29),"")</f>
        <v/>
      </c>
      <c r="CW28" s="21" t="str">
        <f>IF(CV28&lt;&gt;"",CV28,IF(CB28&lt;&gt;"",CB28,IF(BH28&lt;&gt;"",BH28,IF(AN28&lt;&gt;"",AN28,N28))))</f>
        <v>Scotland</v>
      </c>
      <c r="CX28" s="21">
        <v>4</v>
      </c>
      <c r="CY28" s="21">
        <v>26</v>
      </c>
      <c r="CZ28" s="21" t="str">
        <f>Matches!E36</f>
        <v>Italy</v>
      </c>
      <c r="DA28" s="21">
        <f>IF(AND(Matches!F36&lt;&gt;"",Matches!G36&lt;&gt;""),Matches!F36,0)</f>
        <v>1</v>
      </c>
      <c r="DB28" s="21">
        <f>IF(AND(Matches!G36&lt;&gt;"",Matches!F36&lt;&gt;""),Matches!G36,0)</f>
        <v>0</v>
      </c>
      <c r="DC28" s="21" t="str">
        <f>Matches!H36</f>
        <v>Wales</v>
      </c>
      <c r="DD28" s="21" t="str">
        <f>IF(AND(Matches!F36&lt;&gt;"",Matches!G36&lt;&gt;""),IF(DA28&gt;DB28,"W",IF(DA28=DB28,"D","L")),"")</f>
        <v>W</v>
      </c>
      <c r="DE28" s="21" t="str">
        <f t="shared" si="0"/>
        <v>L</v>
      </c>
      <c r="DF28" s="21"/>
      <c r="DG28" s="21"/>
      <c r="DH28" s="21"/>
      <c r="DI28" s="212"/>
      <c r="DJ28" s="212"/>
      <c r="DK28" s="212"/>
      <c r="DL28" s="212"/>
      <c r="DM28" s="212"/>
      <c r="DN28" s="212"/>
      <c r="DO28" s="212"/>
      <c r="DP28" s="21"/>
      <c r="DQ28" s="21"/>
      <c r="DR28" s="21"/>
      <c r="DS28" s="21"/>
      <c r="DT28" s="21"/>
      <c r="DU28" s="21"/>
      <c r="DV28" s="21" t="s">
        <v>39</v>
      </c>
      <c r="DW28" s="21" t="str">
        <f>VLOOKUP(1,A25:B28,2,FALSE)</f>
        <v>England</v>
      </c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  <c r="GI28" s="21"/>
      <c r="GJ28" s="21"/>
      <c r="GK28" s="21"/>
      <c r="GL28" s="21"/>
      <c r="GM28" s="21"/>
      <c r="GN28" s="21"/>
      <c r="GO28" s="21"/>
      <c r="GP28" s="21"/>
      <c r="GQ28" s="21"/>
      <c r="GR28" s="21"/>
      <c r="GS28" s="21"/>
      <c r="GT28" s="21"/>
      <c r="GU28" s="21"/>
      <c r="GV28" s="21"/>
      <c r="GW28" s="21"/>
      <c r="GX28" s="21"/>
      <c r="GY28" s="21"/>
      <c r="GZ28" s="21"/>
      <c r="HA28" s="21"/>
      <c r="HB28" s="21"/>
      <c r="HC28" s="21"/>
      <c r="HD28" s="21"/>
      <c r="HE28" s="21"/>
      <c r="HF28" s="21"/>
      <c r="HG28" s="21"/>
      <c r="HH28" s="21"/>
      <c r="HI28" s="21"/>
      <c r="HJ28" s="21"/>
      <c r="HK28" s="21"/>
      <c r="HL28" s="21"/>
      <c r="HM28" s="21"/>
      <c r="HN28" s="21"/>
      <c r="HO28" s="21"/>
      <c r="HP28" s="21"/>
      <c r="HQ28" s="21"/>
      <c r="HR28" s="21"/>
      <c r="HS28" s="21"/>
      <c r="HT28" s="21"/>
      <c r="HU28" s="21"/>
      <c r="HV28" s="21"/>
      <c r="HW28" s="21"/>
      <c r="HX28" s="21"/>
      <c r="HY28" s="214"/>
      <c r="HZ28" s="214"/>
      <c r="IA28" s="21"/>
      <c r="IB28" s="21"/>
      <c r="IC28" s="21"/>
      <c r="ID28" s="21"/>
      <c r="IE28" s="21"/>
      <c r="IF28" s="21"/>
      <c r="IG28" s="212"/>
      <c r="IH28" s="212"/>
      <c r="II28" s="212"/>
      <c r="IJ28" s="212"/>
      <c r="IK28" s="212"/>
      <c r="IL28" s="212"/>
      <c r="IM28" s="212"/>
      <c r="IN28" s="21"/>
      <c r="IO28" s="21"/>
      <c r="IP28" s="21"/>
      <c r="IQ28" s="21"/>
      <c r="IR28" s="21"/>
      <c r="IS28" s="21"/>
      <c r="IT28" s="21"/>
      <c r="IU28" s="21"/>
      <c r="IV28" s="217"/>
    </row>
    <row r="29" spans="1:256" ht="14" x14ac:dyDescent="0.2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 t="str">
        <f>IF(CC28&lt;&gt;"",IF(CC28=CV28,CC29,CC28),"")</f>
        <v/>
      </c>
      <c r="CW29" s="21"/>
      <c r="CX29" s="21"/>
      <c r="CY29" s="21">
        <v>27</v>
      </c>
      <c r="CZ29" s="21" t="str">
        <f>Matches!E37</f>
        <v>North Macedonia</v>
      </c>
      <c r="DA29" s="21">
        <f>IF(AND(Matches!F37&lt;&gt;"",Matches!G37&lt;&gt;""),Matches!F37,0)</f>
        <v>0</v>
      </c>
      <c r="DB29" s="21">
        <f>IF(AND(Matches!G37&lt;&gt;"",Matches!F37&lt;&gt;""),Matches!G37,0)</f>
        <v>3</v>
      </c>
      <c r="DC29" s="21" t="str">
        <f>Matches!H37</f>
        <v>Netherlands</v>
      </c>
      <c r="DD29" s="21" t="str">
        <f>IF(AND(Matches!F37&lt;&gt;"",Matches!G37&lt;&gt;""),IF(DA29&gt;DB29,"W",IF(DA29=DB29,"D","L")),"")</f>
        <v>L</v>
      </c>
      <c r="DE29" s="21" t="str">
        <f t="shared" si="0"/>
        <v>W</v>
      </c>
      <c r="DF29" s="21"/>
      <c r="DG29" s="21"/>
      <c r="DH29" s="21"/>
      <c r="DI29" s="212"/>
      <c r="DJ29" s="212"/>
      <c r="DK29" s="212"/>
      <c r="DL29" s="212"/>
      <c r="DM29" s="212"/>
      <c r="DN29" s="212"/>
      <c r="DO29" s="212"/>
      <c r="DP29" s="21"/>
      <c r="DQ29" s="21"/>
      <c r="DR29" s="21"/>
      <c r="DS29" s="21"/>
      <c r="DT29" s="21"/>
      <c r="DU29" s="21"/>
      <c r="DV29" s="21"/>
      <c r="DW29" s="21" t="str">
        <f>VLOOKUP(2,A25:B28,2,FALSE)</f>
        <v>Croatia</v>
      </c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  <c r="GI29" s="21"/>
      <c r="GJ29" s="21"/>
      <c r="GK29" s="21"/>
      <c r="GL29" s="21"/>
      <c r="GM29" s="21"/>
      <c r="GN29" s="21"/>
      <c r="GO29" s="21"/>
      <c r="GP29" s="21"/>
      <c r="GQ29" s="21"/>
      <c r="GR29" s="21"/>
      <c r="GS29" s="21"/>
      <c r="GT29" s="21"/>
      <c r="GU29" s="21"/>
      <c r="GV29" s="21"/>
      <c r="GW29" s="21"/>
      <c r="GX29" s="21"/>
      <c r="GY29" s="21"/>
      <c r="GZ29" s="21"/>
      <c r="HA29" s="21"/>
      <c r="HB29" s="21"/>
      <c r="HC29" s="21"/>
      <c r="HD29" s="21"/>
      <c r="HE29" s="21"/>
      <c r="HF29" s="21"/>
      <c r="HG29" s="21"/>
      <c r="HH29" s="21"/>
      <c r="HI29" s="21"/>
      <c r="HJ29" s="21"/>
      <c r="HK29" s="21"/>
      <c r="HL29" s="21"/>
      <c r="HM29" s="21"/>
      <c r="HN29" s="21"/>
      <c r="HO29" s="21"/>
      <c r="HP29" s="21"/>
      <c r="HQ29" s="21"/>
      <c r="HR29" s="21"/>
      <c r="HS29" s="21"/>
      <c r="HT29" s="21"/>
      <c r="HU29" s="21"/>
      <c r="HV29" s="21"/>
      <c r="HW29" s="21"/>
      <c r="HX29" s="21"/>
      <c r="HY29" s="214"/>
      <c r="HZ29" s="214"/>
      <c r="IA29" s="21"/>
      <c r="IB29" s="21"/>
      <c r="IC29" s="21"/>
      <c r="ID29" s="21"/>
      <c r="IE29" s="21"/>
      <c r="IF29" s="21"/>
      <c r="IG29" s="212"/>
      <c r="IH29" s="212"/>
      <c r="II29" s="212"/>
      <c r="IJ29" s="212"/>
      <c r="IK29" s="212"/>
      <c r="IL29" s="212"/>
      <c r="IM29" s="212"/>
      <c r="IN29" s="21"/>
      <c r="IO29" s="21"/>
      <c r="IP29" s="21"/>
      <c r="IQ29" s="21"/>
      <c r="IR29" s="21"/>
      <c r="IS29" s="21"/>
      <c r="IT29" s="21"/>
      <c r="IU29" s="21"/>
      <c r="IV29" s="217"/>
    </row>
    <row r="30" spans="1:256" ht="14" x14ac:dyDescent="0.2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 t="s">
        <v>94</v>
      </c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 t="str">
        <f>IF(BN29&lt;&gt;"",BN29,"")</f>
        <v/>
      </c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>
        <v>28</v>
      </c>
      <c r="CZ30" s="21" t="str">
        <f>Matches!E38</f>
        <v>Ukraine</v>
      </c>
      <c r="DA30" s="21">
        <f>IF(AND(Matches!F38&lt;&gt;"",Matches!G38&lt;&gt;""),Matches!F38,0)</f>
        <v>0</v>
      </c>
      <c r="DB30" s="21">
        <f>IF(AND(Matches!G38&lt;&gt;"",Matches!F38&lt;&gt;""),Matches!G38,0)</f>
        <v>1</v>
      </c>
      <c r="DC30" s="21" t="str">
        <f>Matches!H38</f>
        <v>Austria</v>
      </c>
      <c r="DD30" s="21" t="str">
        <f>IF(AND(Matches!F38&lt;&gt;"",Matches!G38&lt;&gt;""),IF(DA30&gt;DB30,"W",IF(DA30=DB30,"D","L")),"")</f>
        <v>L</v>
      </c>
      <c r="DE30" s="21" t="str">
        <f t="shared" si="0"/>
        <v>W</v>
      </c>
      <c r="DF30" s="21"/>
      <c r="DG30" s="21"/>
      <c r="DH30" s="21"/>
      <c r="DI30" s="212"/>
      <c r="DJ30" s="212"/>
      <c r="DK30" s="212"/>
      <c r="DL30" s="212"/>
      <c r="DM30" s="212"/>
      <c r="DN30" s="212"/>
      <c r="DO30" s="212"/>
      <c r="DP30" s="21"/>
      <c r="DQ30" s="21"/>
      <c r="DR30" s="21"/>
      <c r="DS30" s="21"/>
      <c r="DT30" s="21"/>
      <c r="DU30" s="21"/>
      <c r="DV30" s="21" t="s">
        <v>49</v>
      </c>
      <c r="DW30" s="21" t="str">
        <f>VLOOKUP(1,A31:B34,2,FALSE)</f>
        <v>Sweden</v>
      </c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  <c r="GI30" s="21"/>
      <c r="GJ30" s="21"/>
      <c r="GK30" s="21"/>
      <c r="GL30" s="21"/>
      <c r="GM30" s="21"/>
      <c r="GN30" s="21"/>
      <c r="GO30" s="21"/>
      <c r="GP30" s="21"/>
      <c r="GQ30" s="21"/>
      <c r="GR30" s="21"/>
      <c r="GS30" s="21"/>
      <c r="GT30" s="21"/>
      <c r="GU30" s="21"/>
      <c r="GV30" s="21"/>
      <c r="GW30" s="21"/>
      <c r="GX30" s="21"/>
      <c r="GY30" s="21"/>
      <c r="GZ30" s="21"/>
      <c r="HA30" s="21"/>
      <c r="HB30" s="21"/>
      <c r="HC30" s="21"/>
      <c r="HD30" s="21"/>
      <c r="HE30" s="21"/>
      <c r="HF30" s="21"/>
      <c r="HG30" s="21"/>
      <c r="HH30" s="21"/>
      <c r="HI30" s="21"/>
      <c r="HJ30" s="21"/>
      <c r="HK30" s="21"/>
      <c r="HL30" s="21"/>
      <c r="HM30" s="21"/>
      <c r="HN30" s="21"/>
      <c r="HO30" s="21"/>
      <c r="HP30" s="21"/>
      <c r="HQ30" s="21"/>
      <c r="HR30" s="21"/>
      <c r="HS30" s="21"/>
      <c r="HT30" s="21"/>
      <c r="HU30" s="21"/>
      <c r="HV30" s="21"/>
      <c r="HW30" s="21"/>
      <c r="HX30" s="21"/>
      <c r="HY30" s="214"/>
      <c r="HZ30" s="214"/>
      <c r="IA30" s="21"/>
      <c r="IB30" s="21"/>
      <c r="IC30" s="21"/>
      <c r="ID30" s="21"/>
      <c r="IE30" s="21"/>
      <c r="IF30" s="21"/>
      <c r="IG30" s="212"/>
      <c r="IH30" s="212"/>
      <c r="II30" s="212"/>
      <c r="IJ30" s="212"/>
      <c r="IK30" s="212"/>
      <c r="IL30" s="212"/>
      <c r="IM30" s="212"/>
      <c r="IN30" s="21"/>
      <c r="IO30" s="21"/>
      <c r="IP30" s="21"/>
      <c r="IQ30" s="21"/>
      <c r="IR30" s="21"/>
      <c r="IS30" s="21"/>
      <c r="IT30" s="21"/>
      <c r="IU30" s="21"/>
      <c r="IV30" s="217"/>
    </row>
    <row r="31" spans="1:256" ht="14" x14ac:dyDescent="0.2">
      <c r="A31" s="21">
        <f>VLOOKUP(B31,CW31:CX35,2,FALSE)</f>
        <v>2</v>
      </c>
      <c r="B31" s="21" t="str">
        <f>Matches!AH26</f>
        <v>Spain</v>
      </c>
      <c r="C31" s="21">
        <f>SUMPRODUCT((CZ3:CZ42=B31)*(DD3:DD42="W"))+SUMPRODUCT((DC3:DC42=B31)*(DE3:DE42="W"))</f>
        <v>1</v>
      </c>
      <c r="D31" s="21">
        <f>SUMPRODUCT((CZ3:CZ42=B31)*(DD3:DD42="D"))+SUMPRODUCT((DC3:DC42=B31)*(DE3:DE42="D"))</f>
        <v>2</v>
      </c>
      <c r="E31" s="21">
        <f>SUMPRODUCT((CZ3:CZ42=B31)*(DD3:DD42="L"))+SUMPRODUCT((DC3:DC42=B31)*(DE3:DE42="L"))</f>
        <v>0</v>
      </c>
      <c r="F31" s="21">
        <f>SUMIF(CZ3:CZ60,B31,DA3:DA60)+SUMIF(DC3:DC60,B31,DB3:DB60)</f>
        <v>6</v>
      </c>
      <c r="G31" s="21">
        <f>SUMIF(DC3:DC60,B31,DA3:DA60)+SUMIF(CZ3:CZ60,B31,DB3:DB60)</f>
        <v>1</v>
      </c>
      <c r="H31" s="21">
        <f t="shared" ref="H31:H34" si="47">F31-G31+1000</f>
        <v>1005</v>
      </c>
      <c r="I31" s="21">
        <f t="shared" ref="I31:I34" si="48">C31*3+D31*1</f>
        <v>5</v>
      </c>
      <c r="J31" s="21">
        <v>51</v>
      </c>
      <c r="K31" s="21">
        <f>IF(COUNTIF(I31:I35,4)&lt;&gt;4,RANK(I31,I31:I35),I71)</f>
        <v>2</v>
      </c>
      <c r="L31" s="21"/>
      <c r="M31" s="21">
        <f>SUMPRODUCT((K31:K34=K31)*(J31:J34&lt;J31))+K31</f>
        <v>2</v>
      </c>
      <c r="N31" s="21" t="str">
        <f>INDEX(B31:B35,MATCH(1,M31:M35,0),0)</f>
        <v>Sweden</v>
      </c>
      <c r="O31" s="21">
        <f>INDEX(K31:K35,MATCH(N31,B31:B35,0),0)</f>
        <v>1</v>
      </c>
      <c r="P31" s="21" t="str">
        <f>IF(O32=1,N31,"")</f>
        <v/>
      </c>
      <c r="Q31" s="21" t="str">
        <f>IF(O33=2,N32,"")</f>
        <v/>
      </c>
      <c r="R31" s="21" t="str">
        <f>IF(O34=3,N33,"")</f>
        <v/>
      </c>
      <c r="S31" s="21" t="str">
        <f>IF(O35=4,N34,"")</f>
        <v/>
      </c>
      <c r="T31" s="21"/>
      <c r="U31" s="21" t="str">
        <f>IF(P31&lt;&gt;"",P31,"")</f>
        <v/>
      </c>
      <c r="V31" s="21">
        <f>SUMPRODUCT((CZ3:CZ42=U31)*(DC3:DC42=U32)*(DD3:DD42="W"))+SUMPRODUCT((CZ3:CZ42=U31)*(DC3:DC42=U33)*(DD3:DD42="W"))+SUMPRODUCT((CZ3:CZ42=U31)*(DC3:DC42=U34)*(DD3:DD42="W"))+SUMPRODUCT((CZ3:CZ42=U31)*(DC3:DC42=U35)*(DD3:DD42="W"))+SUMPRODUCT((CZ3:CZ42=U32)*(DC3:DC42=U31)*(DE3:DE42="W"))+SUMPRODUCT((CZ3:CZ42=U33)*(DC3:DC42=U31)*(DE3:DE42="W"))+SUMPRODUCT((CZ3:CZ42=U34)*(DC3:DC42=U31)*(DE3:DE42="W"))+SUMPRODUCT((CZ3:CZ42=U35)*(DC3:DC42=U31)*(DE3:DE42="W"))</f>
        <v>0</v>
      </c>
      <c r="W31" s="21">
        <f>SUMPRODUCT((CZ3:CZ42=U31)*(DC3:DC42=U32)*(DD3:DD42="D"))+SUMPRODUCT((CZ3:CZ42=U31)*(DC3:DC42=U33)*(DD3:DD42="D"))+SUMPRODUCT((CZ3:CZ42=U31)*(DC3:DC42=U34)*(DD3:DD42="D"))+SUMPRODUCT((CZ3:CZ42=U31)*(DC3:DC42=U35)*(DD3:DD42="D"))+SUMPRODUCT((CZ3:CZ42=U32)*(DC3:DC42=U31)*(DD3:DD42="D"))+SUMPRODUCT((CZ3:CZ42=U33)*(DC3:DC42=U31)*(DD3:DD42="D"))+SUMPRODUCT((CZ3:CZ42=U34)*(DC3:DC42=U31)*(DD3:DD42="D"))+SUMPRODUCT((CZ3:CZ42=U35)*(DC3:DC42=U31)*(DD3:DD42="D"))</f>
        <v>0</v>
      </c>
      <c r="X31" s="21">
        <f>SUMPRODUCT((CZ3:CZ42=U31)*(DC3:DC42=U32)*(DD3:DD42="L"))+SUMPRODUCT((CZ3:CZ42=U31)*(DC3:DC42=U33)*(DD3:DD42="L"))+SUMPRODUCT((CZ3:CZ42=U31)*(DC3:DC42=U34)*(DD3:DD42="L"))+SUMPRODUCT((CZ3:CZ42=U31)*(DC3:DC42=U35)*(DD3:DD42="L"))+SUMPRODUCT((CZ3:CZ42=U32)*(DC3:DC42=U31)*(DE3:DE42="L"))+SUMPRODUCT((CZ3:CZ42=U33)*(DC3:DC42=U31)*(DE3:DE42="L"))+SUMPRODUCT((CZ3:CZ42=U34)*(DC3:DC42=U31)*(DE3:DE42="L"))+SUMPRODUCT((CZ3:CZ42=U35)*(DC3:DC42=U31)*(DE3:DE42="L"))</f>
        <v>0</v>
      </c>
      <c r="Y31" s="21">
        <f>SUMPRODUCT((CZ3:CZ42=U31)*(DC3:DC42=U32)*DA3:DA42)+SUMPRODUCT((CZ3:CZ42=U31)*(DC3:DC42=U33)*DA3:DA42)+SUMPRODUCT((CZ3:CZ42=U31)*(DC3:DC42=U34)*DA3:DA42)+SUMPRODUCT((CZ3:CZ42=U31)*(DC3:DC42=U35)*DA3:DA42)+SUMPRODUCT((CZ3:CZ42=U32)*(DC3:DC42=U31)*DB3:DB42)+SUMPRODUCT((CZ3:CZ42=U33)*(DC3:DC42=U31)*DB3:DB42)+SUMPRODUCT((CZ3:CZ42=U34)*(DC3:DC42=U31)*DB3:DB42)+SUMPRODUCT((CZ3:CZ42=U35)*(DC3:DC42=U31)*DB3:DB42)</f>
        <v>0</v>
      </c>
      <c r="Z31" s="21">
        <f>SUMPRODUCT((CZ3:CZ42=U31)*(DC3:DC42=U32)*DB3:DB42)+SUMPRODUCT((CZ3:CZ42=U31)*(DC3:DC42=U33)*DB3:DB42)+SUMPRODUCT((CZ3:CZ42=U31)*(DC3:DC42=U34)*DB3:DB42)+SUMPRODUCT((CZ3:CZ42=U31)*(DC3:DC42=U35)*DB3:DB42)+SUMPRODUCT((CZ3:CZ42=U32)*(DC3:DC42=U31)*DA3:DA42)+SUMPRODUCT((CZ3:CZ42=U33)*(DC3:DC42=U31)*DA3:DA42)+SUMPRODUCT((CZ3:CZ42=U34)*(DC3:DC42=U31)*DA3:DA42)+SUMPRODUCT((CZ3:CZ42=U35)*(DC3:DC42=U31)*DA3:DA42)</f>
        <v>0</v>
      </c>
      <c r="AA31" s="21">
        <f>Y31-Z31+1000</f>
        <v>1000</v>
      </c>
      <c r="AB31" s="21" t="str">
        <f t="shared" ref="AB31:AB34" si="49">IF(U31&lt;&gt;"",V31*3+W31*1,"")</f>
        <v/>
      </c>
      <c r="AC31" s="21" t="str">
        <f>IF(U31&lt;&gt;"",VLOOKUP(U31,B4:H40,7,FALSE),"")</f>
        <v/>
      </c>
      <c r="AD31" s="21" t="str">
        <f>IF(U31&lt;&gt;"",VLOOKUP(U31,B4:H40,5,FALSE),"")</f>
        <v/>
      </c>
      <c r="AE31" s="21" t="str">
        <f>IF(U31&lt;&gt;"",VLOOKUP(U31,B4:J40,9,FALSE),"")</f>
        <v/>
      </c>
      <c r="AF31" s="21" t="str">
        <f t="shared" ref="AF31:AF34" si="50">AB31</f>
        <v/>
      </c>
      <c r="AG31" s="21" t="str">
        <f>IF(U31&lt;&gt;"",RANK(AF31,AF31:AF35),"")</f>
        <v/>
      </c>
      <c r="AH31" s="21" t="str">
        <f>IF(U31&lt;&gt;"",SUMPRODUCT((AF31:AF35=AF31)*(AA31:AA35&gt;AA31)),"")</f>
        <v/>
      </c>
      <c r="AI31" s="21" t="str">
        <f>IF(U31&lt;&gt;"",SUMPRODUCT((AF31:AF35=AF31)*(AA31:AA35=AA31)*(Y31:Y35&gt;Y31)),"")</f>
        <v/>
      </c>
      <c r="AJ31" s="21" t="str">
        <f>IF(U31&lt;&gt;"",SUMPRODUCT((AF31:AF35=AF31)*(AA31:AA35=AA31)*(Y31:Y35=Y31)*(AC31:AC35&gt;AC31)),"")</f>
        <v/>
      </c>
      <c r="AK31" s="21" t="str">
        <f>IF(U31&lt;&gt;"",SUMPRODUCT((AF31:AF35=AF31)*(AA31:AA35=AA31)*(Y31:Y35=Y31)*(AC31:AC35=AC31)*(AD31:AD35&gt;AD31)),"")</f>
        <v/>
      </c>
      <c r="AL31" s="21" t="str">
        <f>IF(U31&lt;&gt;"",SUMPRODUCT((AF31:AF35=AF31)*(AA31:AA35=AA31)*(Y31:Y35=Y31)*(AC31:AC35=AC31)*(AD31:AD35=AD31)*(AE31:AE35&gt;AE31)),"")</f>
        <v/>
      </c>
      <c r="AM31" s="21" t="str">
        <f>IF(U31&lt;&gt;"",IF(AM71&lt;&gt;"",IF(T70=3,AM71,AM71+T70),SUM(AG31:AL31)),"")</f>
        <v/>
      </c>
      <c r="AN31" s="21" t="str">
        <f>IF(U31&lt;&gt;"",INDEX(U31:U35,MATCH(1,AM31:AM35,0),0),"")</f>
        <v/>
      </c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 t="str">
        <f>IF(AN31&lt;&gt;"",AN31,N31)</f>
        <v>Sweden</v>
      </c>
      <c r="CX31" s="21">
        <v>1</v>
      </c>
      <c r="CY31" s="21">
        <v>29</v>
      </c>
      <c r="CZ31" s="21" t="str">
        <f>Matches!E39</f>
        <v>Russia</v>
      </c>
      <c r="DA31" s="21">
        <f>IF(AND(Matches!F39&lt;&gt;"",Matches!G39&lt;&gt;""),Matches!F39,0)</f>
        <v>1</v>
      </c>
      <c r="DB31" s="21">
        <f>IF(AND(Matches!G39&lt;&gt;"",Matches!F39&lt;&gt;""),Matches!G39,0)</f>
        <v>4</v>
      </c>
      <c r="DC31" s="21" t="str">
        <f>Matches!H39</f>
        <v>Denmark</v>
      </c>
      <c r="DD31" s="21" t="str">
        <f>IF(AND(Matches!F39&lt;&gt;"",Matches!G39&lt;&gt;""),IF(DA31&gt;DB31,"W",IF(DA31=DB31,"D","L")),"")</f>
        <v>L</v>
      </c>
      <c r="DE31" s="21" t="str">
        <f t="shared" si="0"/>
        <v>W</v>
      </c>
      <c r="DF31" s="21"/>
      <c r="DG31" s="21"/>
      <c r="DH31" s="21"/>
      <c r="DI31" s="212"/>
      <c r="DJ31" s="212"/>
      <c r="DK31" s="212"/>
      <c r="DL31" s="212"/>
      <c r="DM31" s="212"/>
      <c r="DN31" s="212"/>
      <c r="DO31" s="212"/>
      <c r="DP31" s="21"/>
      <c r="DQ31" s="21"/>
      <c r="DR31" s="21"/>
      <c r="DS31" s="21"/>
      <c r="DT31" s="21"/>
      <c r="DU31" s="21"/>
      <c r="DV31" s="21"/>
      <c r="DW31" s="21" t="str">
        <f>VLOOKUP(2,A31:B34,2,FALSE)</f>
        <v>Spain</v>
      </c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  <c r="GI31" s="21"/>
      <c r="GJ31" s="21"/>
      <c r="GK31" s="21"/>
      <c r="GL31" s="21"/>
      <c r="GM31" s="21"/>
      <c r="GN31" s="21"/>
      <c r="GO31" s="21"/>
      <c r="GP31" s="21"/>
      <c r="GQ31" s="21"/>
      <c r="GR31" s="21"/>
      <c r="GS31" s="21"/>
      <c r="GT31" s="21"/>
      <c r="GU31" s="21"/>
      <c r="GV31" s="21"/>
      <c r="GW31" s="21"/>
      <c r="GX31" s="21"/>
      <c r="GY31" s="21"/>
      <c r="GZ31" s="21"/>
      <c r="HA31" s="21"/>
      <c r="HB31" s="21"/>
      <c r="HC31" s="21"/>
      <c r="HD31" s="21"/>
      <c r="HE31" s="21"/>
      <c r="HF31" s="21"/>
      <c r="HG31" s="21"/>
      <c r="HH31" s="21"/>
      <c r="HI31" s="21"/>
      <c r="HJ31" s="21"/>
      <c r="HK31" s="21"/>
      <c r="HL31" s="21"/>
      <c r="HM31" s="21"/>
      <c r="HN31" s="21"/>
      <c r="HO31" s="21"/>
      <c r="HP31" s="21"/>
      <c r="HQ31" s="21"/>
      <c r="HR31" s="21"/>
      <c r="HS31" s="21"/>
      <c r="HT31" s="21"/>
      <c r="HU31" s="21"/>
      <c r="HV31" s="21"/>
      <c r="HW31" s="21"/>
      <c r="HX31" s="21"/>
      <c r="HY31" s="214"/>
      <c r="HZ31" s="214"/>
      <c r="IA31" s="21"/>
      <c r="IB31" s="21"/>
      <c r="IC31" s="21"/>
      <c r="ID31" s="21"/>
      <c r="IE31" s="21"/>
      <c r="IF31" s="21"/>
      <c r="IG31" s="212"/>
      <c r="IH31" s="212"/>
      <c r="II31" s="212"/>
      <c r="IJ31" s="212"/>
      <c r="IK31" s="212"/>
      <c r="IL31" s="212"/>
      <c r="IM31" s="212"/>
      <c r="IN31" s="21"/>
      <c r="IO31" s="21"/>
      <c r="IP31" s="21"/>
      <c r="IQ31" s="21"/>
      <c r="IR31" s="21"/>
      <c r="IS31" s="21"/>
      <c r="IT31" s="21"/>
      <c r="IU31" s="21"/>
      <c r="IV31" s="217"/>
    </row>
    <row r="32" spans="1:256" ht="14" x14ac:dyDescent="0.2">
      <c r="A32" s="21">
        <f>VLOOKUP(B32,CW31:CX35,2,FALSE)</f>
        <v>1</v>
      </c>
      <c r="B32" s="21" t="str">
        <f>Matches!AH27</f>
        <v>Sweden</v>
      </c>
      <c r="C32" s="21">
        <f>SUMPRODUCT((CZ3:CZ42=B32)*(DD3:DD42="W"))+SUMPRODUCT((DC3:DC42=B32)*(DE3:DE42="W"))</f>
        <v>2</v>
      </c>
      <c r="D32" s="21">
        <f>SUMPRODUCT((CZ3:CZ42=B32)*(DD3:DD42="D"))+SUMPRODUCT((DC3:DC42=B32)*(DE3:DE42="D"))</f>
        <v>1</v>
      </c>
      <c r="E32" s="21">
        <f>SUMPRODUCT((CZ3:CZ42=B32)*(DD3:DD42="L"))+SUMPRODUCT((DC3:DC42=B32)*(DE3:DE42="L"))</f>
        <v>0</v>
      </c>
      <c r="F32" s="21">
        <f>SUMIF(CZ3:CZ60,B32,DA3:DA60)+SUMIF(DC3:DC60,B32,DB3:DB60)</f>
        <v>4</v>
      </c>
      <c r="G32" s="21">
        <f>SUMIF(DC3:DC60,B32,DA3:DA60)+SUMIF(CZ3:CZ60,B32,DB3:DB60)</f>
        <v>2</v>
      </c>
      <c r="H32" s="21">
        <f t="shared" si="47"/>
        <v>1002</v>
      </c>
      <c r="I32" s="21">
        <f t="shared" si="48"/>
        <v>7</v>
      </c>
      <c r="J32" s="21">
        <v>39</v>
      </c>
      <c r="K32" s="21">
        <f>IF(COUNTIF(I31:I35,4)&lt;&gt;4,RANK(I32,I31:I35),I72)</f>
        <v>1</v>
      </c>
      <c r="L32" s="21"/>
      <c r="M32" s="21">
        <f>SUMPRODUCT((K31:K34=K32)*(J31:J34&lt;J32))+K32</f>
        <v>1</v>
      </c>
      <c r="N32" s="21" t="str">
        <f>INDEX(B31:B35,MATCH(2,M31:M35,0),0)</f>
        <v>Spain</v>
      </c>
      <c r="O32" s="21">
        <f>INDEX(K31:K35,MATCH(N32,B31:B35,0),0)</f>
        <v>2</v>
      </c>
      <c r="P32" s="21" t="str">
        <f>IF(P31&lt;&gt;"",N32,"")</f>
        <v/>
      </c>
      <c r="Q32" s="21" t="str">
        <f>IF(Q31&lt;&gt;"",N33,"")</f>
        <v/>
      </c>
      <c r="R32" s="21" t="str">
        <f>IF(R31&lt;&gt;"",N34,"")</f>
        <v/>
      </c>
      <c r="S32" s="21" t="str">
        <f>IF(S31&lt;&gt;"",N35,"")</f>
        <v/>
      </c>
      <c r="T32" s="21"/>
      <c r="U32" s="21" t="str">
        <f t="shared" ref="U32:U34" si="51">IF(P32&lt;&gt;"",P32,"")</f>
        <v/>
      </c>
      <c r="V32" s="21">
        <f>SUMPRODUCT((CZ3:CZ42=U32)*(DC3:DC42=U33)*(DD3:DD42="W"))+SUMPRODUCT((CZ3:CZ42=U32)*(DC3:DC42=U34)*(DD3:DD42="W"))+SUMPRODUCT((CZ3:CZ42=U32)*(DC3:DC42=U35)*(DD3:DD42="W"))+SUMPRODUCT((CZ3:CZ42=U32)*(DC3:DC42=U31)*(DD3:DD42="W"))+SUMPRODUCT((CZ3:CZ42=U33)*(DC3:DC42=U32)*(DE3:DE42="W"))+SUMPRODUCT((CZ3:CZ42=U34)*(DC3:DC42=U32)*(DE3:DE42="W"))+SUMPRODUCT((CZ3:CZ42=U35)*(DC3:DC42=U32)*(DE3:DE42="W"))+SUMPRODUCT((CZ3:CZ42=U31)*(DC3:DC42=U32)*(DE3:DE42="W"))</f>
        <v>0</v>
      </c>
      <c r="W32" s="21">
        <f>SUMPRODUCT((CZ3:CZ42=U32)*(DC3:DC42=U33)*(DD3:DD42="D"))+SUMPRODUCT((CZ3:CZ42=U32)*(DC3:DC42=U34)*(DD3:DD42="D"))+SUMPRODUCT((CZ3:CZ42=U32)*(DC3:DC42=U35)*(DD3:DD42="D"))+SUMPRODUCT((CZ3:CZ42=U32)*(DC3:DC42=U31)*(DD3:DD42="D"))+SUMPRODUCT((CZ3:CZ42=U33)*(DC3:DC42=U32)*(DD3:DD42="D"))+SUMPRODUCT((CZ3:CZ42=U34)*(DC3:DC42=U32)*(DD3:DD42="D"))+SUMPRODUCT((CZ3:CZ42=U35)*(DC3:DC42=U32)*(DD3:DD42="D"))+SUMPRODUCT((CZ3:CZ42=U31)*(DC3:DC42=U32)*(DD3:DD42="D"))</f>
        <v>0</v>
      </c>
      <c r="X32" s="21">
        <f>SUMPRODUCT((CZ3:CZ42=U32)*(DC3:DC42=U33)*(DD3:DD42="L"))+SUMPRODUCT((CZ3:CZ42=U32)*(DC3:DC42=U34)*(DD3:DD42="L"))+SUMPRODUCT((CZ3:CZ42=U32)*(DC3:DC42=U35)*(DD3:DD42="L"))+SUMPRODUCT((CZ3:CZ42=U32)*(DC3:DC42=U31)*(DD3:DD42="L"))+SUMPRODUCT((CZ3:CZ42=U33)*(DC3:DC42=U32)*(DE3:DE42="L"))+SUMPRODUCT((CZ3:CZ42=U34)*(DC3:DC42=U32)*(DE3:DE42="L"))+SUMPRODUCT((CZ3:CZ42=U35)*(DC3:DC42=U32)*(DE3:DE42="L"))+SUMPRODUCT((CZ3:CZ42=U31)*(DC3:DC42=U32)*(DE3:DE42="L"))</f>
        <v>0</v>
      </c>
      <c r="Y32" s="21">
        <f>SUMPRODUCT((CZ3:CZ42=U32)*(DC3:DC42=U33)*DA3:DA42)+SUMPRODUCT((CZ3:CZ42=U32)*(DC3:DC42=U34)*DA3:DA42)+SUMPRODUCT((CZ3:CZ42=U32)*(DC3:DC42=U35)*DA3:DA42)+SUMPRODUCT((CZ3:CZ42=U32)*(DC3:DC42=U31)*DA3:DA42)+SUMPRODUCT((CZ3:CZ42=U33)*(DC3:DC42=U32)*DB3:DB42)+SUMPRODUCT((CZ3:CZ42=U34)*(DC3:DC42=U32)*DB3:DB42)+SUMPRODUCT((CZ3:CZ42=U35)*(DC3:DC42=U32)*DB3:DB42)+SUMPRODUCT((CZ3:CZ42=U31)*(DC3:DC42=U32)*DB3:DB42)</f>
        <v>0</v>
      </c>
      <c r="Z32" s="21">
        <f>SUMPRODUCT((CZ3:CZ42=U32)*(DC3:DC42=U33)*DB3:DB42)+SUMPRODUCT((CZ3:CZ42=U32)*(DC3:DC42=U34)*DB3:DB42)+SUMPRODUCT((CZ3:CZ42=U32)*(DC3:DC42=U35)*DB3:DB42)+SUMPRODUCT((CZ3:CZ42=U32)*(DC3:DC42=U31)*DB3:DB42)+SUMPRODUCT((CZ3:CZ42=U33)*(DC3:DC42=U32)*DA3:DA42)+SUMPRODUCT((CZ3:CZ42=U34)*(DC3:DC42=U32)*DA3:DA42)+SUMPRODUCT((CZ3:CZ42=U35)*(DC3:DC42=U32)*DA3:DA42)+SUMPRODUCT((CZ3:CZ42=U31)*(DC3:DC42=U32)*DA3:DA42)</f>
        <v>0</v>
      </c>
      <c r="AA32" s="21">
        <f>Y32-Z32+1000</f>
        <v>1000</v>
      </c>
      <c r="AB32" s="21" t="str">
        <f t="shared" si="49"/>
        <v/>
      </c>
      <c r="AC32" s="21" t="str">
        <f>IF(U32&lt;&gt;"",VLOOKUP(U32,B4:H40,7,FALSE),"")</f>
        <v/>
      </c>
      <c r="AD32" s="21" t="str">
        <f>IF(U32&lt;&gt;"",VLOOKUP(U32,B4:H40,5,FALSE),"")</f>
        <v/>
      </c>
      <c r="AE32" s="21" t="str">
        <f>IF(U32&lt;&gt;"",VLOOKUP(U32,B4:J40,9,FALSE),"")</f>
        <v/>
      </c>
      <c r="AF32" s="21" t="str">
        <f t="shared" si="50"/>
        <v/>
      </c>
      <c r="AG32" s="21" t="str">
        <f>IF(U32&lt;&gt;"",RANK(AF32,AF31:AF35),"")</f>
        <v/>
      </c>
      <c r="AH32" s="21" t="str">
        <f>IF(U32&lt;&gt;"",SUMPRODUCT((AF31:AF35=AF32)*(AA31:AA35&gt;AA32)),"")</f>
        <v/>
      </c>
      <c r="AI32" s="21" t="str">
        <f>IF(U32&lt;&gt;"",SUMPRODUCT((AF31:AF35=AF32)*(AA31:AA35=AA32)*(Y31:Y35&gt;Y32)),"")</f>
        <v/>
      </c>
      <c r="AJ32" s="21" t="str">
        <f>IF(U32&lt;&gt;"",SUMPRODUCT((AF31:AF35=AF32)*(AA31:AA35=AA32)*(Y31:Y35=Y32)*(AC31:AC35&gt;AC32)),"")</f>
        <v/>
      </c>
      <c r="AK32" s="21" t="str">
        <f>IF(U32&lt;&gt;"",SUMPRODUCT((AF31:AF35=AF32)*(AA31:AA35=AA32)*(Y31:Y35=Y32)*(AC31:AC35=AC32)*(AD31:AD35&gt;AD32)),"")</f>
        <v/>
      </c>
      <c r="AL32" s="21" t="str">
        <f>IF(U32&lt;&gt;"",SUMPRODUCT((AF31:AF35=AF32)*(AA31:AA35=AA32)*(Y31:Y35=Y32)*(AC31:AC35=AC32)*(AD31:AD35=AD32)*(AE31:AE35&gt;AE32)),"")</f>
        <v/>
      </c>
      <c r="AM32" s="21" t="str">
        <f>IF(U32&lt;&gt;"",IF(AM72&lt;&gt;"",IF(T70=3,AM72,AM72+T70),SUM(AG32:AL32)),"")</f>
        <v/>
      </c>
      <c r="AN32" s="21" t="str">
        <f>IF(U32&lt;&gt;"",INDEX(U31:U35,MATCH(2,AM31:AM35,0),0),"")</f>
        <v/>
      </c>
      <c r="AO32" s="21" t="str">
        <f>IF(Q31&lt;&gt;"",Q31,"")</f>
        <v/>
      </c>
      <c r="AP32" s="21">
        <f>SUMPRODUCT((CZ3:CZ42=AO32)*(DC3:DC42=AO33)*(DD3:DD42="W"))+SUMPRODUCT((CZ3:CZ42=AO32)*(DC3:DC42=AO34)*(DD3:DD42="W"))+SUMPRODUCT((CZ3:CZ42=AO32)*(DC3:DC42=AO35)*(DD3:DD42="W"))+SUMPRODUCT((CZ3:CZ42=AO33)*(DC3:DC42=AO32)*(DE3:DE42="W"))+SUMPRODUCT((CZ3:CZ42=AO34)*(DC3:DC42=AO32)*(DE3:DE42="W"))+SUMPRODUCT((CZ3:CZ42=AO35)*(DC3:DC42=AO32)*(DE3:DE42="W"))</f>
        <v>0</v>
      </c>
      <c r="AQ32" s="21">
        <f>SUMPRODUCT((CZ3:CZ42=AO32)*(DC3:DC42=AO33)*(DD3:DD42="D"))+SUMPRODUCT((CZ3:CZ42=AO32)*(DC3:DC42=AO34)*(DD3:DD42="D"))+SUMPRODUCT((CZ3:CZ42=AO32)*(DC3:DC42=AO35)*(DD3:DD42="D"))+SUMPRODUCT((CZ3:CZ42=AO33)*(DC3:DC42=AO32)*(DD3:DD42="D"))+SUMPRODUCT((CZ3:CZ42=AO34)*(DC3:DC42=AO32)*(DD3:DD42="D"))+SUMPRODUCT((CZ3:CZ42=AO35)*(DC3:DC42=AO32)*(DD3:DD42="D"))</f>
        <v>0</v>
      </c>
      <c r="AR32" s="21">
        <f>SUMPRODUCT((CZ3:CZ42=AO32)*(DC3:DC42=AO33)*(DD3:DD42="L"))+SUMPRODUCT((CZ3:CZ42=AO32)*(DC3:DC42=AO34)*(DD3:DD42="L"))+SUMPRODUCT((CZ3:CZ42=AO32)*(DC3:DC42=AO35)*(DD3:DD42="L"))+SUMPRODUCT((CZ3:CZ42=AO33)*(DC3:DC42=AO32)*(DE3:DE42="L"))+SUMPRODUCT((CZ3:CZ42=AO34)*(DC3:DC42=AO32)*(DE3:DE42="L"))+SUMPRODUCT((CZ3:CZ42=AO35)*(DC3:DC42=AO32)*(DE3:DE42="L"))</f>
        <v>0</v>
      </c>
      <c r="AS32" s="21">
        <f>SUMPRODUCT((CZ3:CZ42=AO32)*(DC3:DC42=AO33)*DA3:DA42)+SUMPRODUCT((CZ3:CZ42=AO32)*(DC3:DC42=AO34)*DA3:DA42)+SUMPRODUCT((CZ3:CZ42=AO32)*(DC3:DC42=AO35)*DA3:DA42)+SUMPRODUCT((CZ3:CZ42=AO32)*(DC3:DC42=AO31)*DA3:DA42)+SUMPRODUCT((CZ3:CZ42=AO33)*(DC3:DC42=AO32)*DB3:DB42)+SUMPRODUCT((CZ3:CZ42=AO34)*(DC3:DC42=AO32)*DB3:DB42)+SUMPRODUCT((CZ3:CZ42=AO35)*(DC3:DC42=AO32)*DB3:DB42)+SUMPRODUCT((CZ3:CZ42=AO31)*(DC3:DC42=AO32)*DB3:DB42)</f>
        <v>0</v>
      </c>
      <c r="AT32" s="21">
        <f>SUMPRODUCT((CZ3:CZ42=AO32)*(DC3:DC42=AO33)*DB3:DB42)+SUMPRODUCT((CZ3:CZ42=AO32)*(DC3:DC42=AO34)*DB3:DB42)+SUMPRODUCT((CZ3:CZ42=AO32)*(DC3:DC42=AO35)*DB3:DB42)+SUMPRODUCT((CZ3:CZ42=AO32)*(DC3:DC42=AO31)*DB3:DB42)+SUMPRODUCT((CZ3:CZ42=AO33)*(DC3:DC42=AO32)*DA3:DA42)+SUMPRODUCT((CZ3:CZ42=AO34)*(DC3:DC42=AO32)*DA3:DA42)+SUMPRODUCT((CZ3:CZ42=AO35)*(DC3:DC42=AO32)*DA3:DA42)+SUMPRODUCT((CZ3:CZ42=AO31)*(DC3:DC42=AO32)*DA3:DA42)</f>
        <v>0</v>
      </c>
      <c r="AU32" s="21">
        <f>AS32-AT32+1000</f>
        <v>1000</v>
      </c>
      <c r="AV32" s="21" t="str">
        <f t="shared" ref="AV32:AV34" si="52">IF(AO32&lt;&gt;"",AP32*3+AQ32*1,"")</f>
        <v/>
      </c>
      <c r="AW32" s="21" t="str">
        <f>IF(AO32&lt;&gt;"",VLOOKUP(AO32,B4:H40,7,FALSE),"")</f>
        <v/>
      </c>
      <c r="AX32" s="21" t="str">
        <f>IF(AO32&lt;&gt;"",VLOOKUP(AO32,B4:H40,5,FALSE),"")</f>
        <v/>
      </c>
      <c r="AY32" s="21" t="str">
        <f>IF(AO32&lt;&gt;"",VLOOKUP(AO32,B4:J40,9,FALSE),"")</f>
        <v/>
      </c>
      <c r="AZ32" s="21" t="str">
        <f t="shared" ref="AZ32:AZ34" si="53">AV32</f>
        <v/>
      </c>
      <c r="BA32" s="21" t="str">
        <f>IF(AO32&lt;&gt;"",RANK(AZ32,AZ31:AZ35),"")</f>
        <v/>
      </c>
      <c r="BB32" s="21" t="str">
        <f>IF(AO32&lt;&gt;"",SUMPRODUCT((AZ31:AZ35=AZ32)*(AU31:AU35&gt;AU32)),"")</f>
        <v/>
      </c>
      <c r="BC32" s="21" t="str">
        <f>IF(AO32&lt;&gt;"",SUMPRODUCT((AZ31:AZ35=AZ32)*(AU31:AU35=AU32)*(AS31:AS35&gt;AS32)),"")</f>
        <v/>
      </c>
      <c r="BD32" s="21" t="str">
        <f>IF(AO32&lt;&gt;"",SUMPRODUCT((AZ31:AZ35=AZ32)*(AU31:AU35=AU32)*(AS31:AS35=AS32)*(AW31:AW35&gt;AW32)),"")</f>
        <v/>
      </c>
      <c r="BE32" s="21" t="str">
        <f>IF(AO32&lt;&gt;"",SUMPRODUCT((AZ31:AZ35=AZ32)*(AU31:AU35=AU32)*(AS31:AS35=AS32)*(AW31:AW35=AW32)*(AX31:AX35&gt;AX32)),"")</f>
        <v/>
      </c>
      <c r="BF32" s="21" t="str">
        <f>IF(AO32&lt;&gt;"",SUMPRODUCT((AZ31:AZ35=AZ32)*(AU31:AU35=AU32)*(AS31:AS35=AS32)*(AW31:AW35=AW32)*(AX31:AX35=AX32)*(AY31:AY35&gt;AY32)),"")</f>
        <v/>
      </c>
      <c r="BG32" s="21" t="str">
        <f>IF(AO32&lt;&gt;"",IF(BG72&lt;&gt;"",IF(AN70=3,BG72,BG72+AN70),SUM(BA32:BF32)+1),"")</f>
        <v/>
      </c>
      <c r="BH32" s="21" t="str">
        <f>IF(AO32&lt;&gt;"",INDEX(AO32:AO35,MATCH(2,BG32:BG35,0),0),"")</f>
        <v/>
      </c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 t="str">
        <f>IF(BH32&lt;&gt;"",BH32,IF(AN32&lt;&gt;"",AN32,N32))</f>
        <v>Spain</v>
      </c>
      <c r="CX32" s="21">
        <v>2</v>
      </c>
      <c r="CY32" s="21">
        <v>30</v>
      </c>
      <c r="CZ32" s="21" t="str">
        <f>Matches!E40</f>
        <v>Finland</v>
      </c>
      <c r="DA32" s="21">
        <f>IF(AND(Matches!F40&lt;&gt;"",Matches!G40&lt;&gt;""),Matches!F40,0)</f>
        <v>0</v>
      </c>
      <c r="DB32" s="21">
        <f>IF(AND(Matches!G40&lt;&gt;"",Matches!F40&lt;&gt;""),Matches!G40,0)</f>
        <v>2</v>
      </c>
      <c r="DC32" s="21" t="str">
        <f>Matches!H40</f>
        <v>Belgium</v>
      </c>
      <c r="DD32" s="21" t="str">
        <f>IF(AND(Matches!F40&lt;&gt;"",Matches!G40&lt;&gt;""),IF(DA32&gt;DB32,"W",IF(DA32=DB32,"D","L")),"")</f>
        <v>L</v>
      </c>
      <c r="DE32" s="21" t="str">
        <f t="shared" si="0"/>
        <v>W</v>
      </c>
      <c r="DF32" s="21"/>
      <c r="DG32" s="21"/>
      <c r="DH32" s="21"/>
      <c r="DI32" s="212"/>
      <c r="DJ32" s="212"/>
      <c r="DK32" s="212"/>
      <c r="DL32" s="212"/>
      <c r="DM32" s="212"/>
      <c r="DN32" s="212"/>
      <c r="DO32" s="212"/>
      <c r="DP32" s="21"/>
      <c r="DQ32" s="21"/>
      <c r="DR32" s="21"/>
      <c r="DS32" s="21"/>
      <c r="DT32" s="21"/>
      <c r="DU32" s="21"/>
      <c r="DV32" s="21" t="s">
        <v>41</v>
      </c>
      <c r="DW32" s="21" t="str">
        <f>VLOOKUP(1,A37:B40,2,FALSE)</f>
        <v>France</v>
      </c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1"/>
      <c r="GA32" s="21"/>
      <c r="GB32" s="21"/>
      <c r="GC32" s="21"/>
      <c r="GD32" s="21"/>
      <c r="GE32" s="21"/>
      <c r="GF32" s="21"/>
      <c r="GG32" s="21"/>
      <c r="GH32" s="21"/>
      <c r="GI32" s="21"/>
      <c r="GJ32" s="21"/>
      <c r="GK32" s="21"/>
      <c r="GL32" s="21"/>
      <c r="GM32" s="21"/>
      <c r="GN32" s="21"/>
      <c r="GO32" s="21"/>
      <c r="GP32" s="21"/>
      <c r="GQ32" s="21"/>
      <c r="GR32" s="21"/>
      <c r="GS32" s="21"/>
      <c r="GT32" s="21"/>
      <c r="GU32" s="21"/>
      <c r="GV32" s="21"/>
      <c r="GW32" s="21"/>
      <c r="GX32" s="21"/>
      <c r="GY32" s="21"/>
      <c r="GZ32" s="21"/>
      <c r="HA32" s="21"/>
      <c r="HB32" s="21"/>
      <c r="HC32" s="21"/>
      <c r="HD32" s="21"/>
      <c r="HE32" s="21"/>
      <c r="HF32" s="21"/>
      <c r="HG32" s="21"/>
      <c r="HH32" s="21"/>
      <c r="HI32" s="21"/>
      <c r="HJ32" s="21"/>
      <c r="HK32" s="21"/>
      <c r="HL32" s="21"/>
      <c r="HM32" s="21"/>
      <c r="HN32" s="21"/>
      <c r="HO32" s="21"/>
      <c r="HP32" s="21"/>
      <c r="HQ32" s="21"/>
      <c r="HR32" s="21"/>
      <c r="HS32" s="21"/>
      <c r="HT32" s="21"/>
      <c r="HU32" s="21"/>
      <c r="HV32" s="21"/>
      <c r="HW32" s="21"/>
      <c r="HX32" s="21"/>
      <c r="HY32" s="214"/>
      <c r="HZ32" s="214"/>
      <c r="IA32" s="21"/>
      <c r="IB32" s="21"/>
      <c r="IC32" s="21"/>
      <c r="ID32" s="21"/>
      <c r="IE32" s="21"/>
      <c r="IF32" s="21"/>
      <c r="IG32" s="212"/>
      <c r="IH32" s="212"/>
      <c r="II32" s="212"/>
      <c r="IJ32" s="212"/>
      <c r="IK32" s="212"/>
      <c r="IL32" s="212"/>
      <c r="IM32" s="212"/>
      <c r="IN32" s="21"/>
      <c r="IO32" s="21"/>
      <c r="IP32" s="21"/>
      <c r="IQ32" s="21"/>
      <c r="IR32" s="21"/>
      <c r="IS32" s="21"/>
      <c r="IT32" s="21"/>
      <c r="IU32" s="21"/>
      <c r="IV32" s="217"/>
    </row>
    <row r="33" spans="1:256" ht="14" x14ac:dyDescent="0.2">
      <c r="A33" s="21">
        <f>VLOOKUP(B33,CW31:CX35,2,FALSE)</f>
        <v>4</v>
      </c>
      <c r="B33" s="21" t="str">
        <f>Matches!AH28</f>
        <v>Poland</v>
      </c>
      <c r="C33" s="21">
        <f>SUMPRODUCT((CZ3:CZ42=B33)*(DD3:DD42="W"))+SUMPRODUCT((DC3:DC42=B33)*(DE3:DE42="W"))</f>
        <v>0</v>
      </c>
      <c r="D33" s="21">
        <f>SUMPRODUCT((CZ3:CZ42=B33)*(DD3:DD42="D"))+SUMPRODUCT((DC3:DC42=B33)*(DE3:DE42="D"))</f>
        <v>1</v>
      </c>
      <c r="E33" s="21">
        <f>SUMPRODUCT((CZ3:CZ42=B33)*(DD3:DD42="L"))+SUMPRODUCT((DC3:DC42=B33)*(DE3:DE42="L"))</f>
        <v>2</v>
      </c>
      <c r="F33" s="21">
        <f>SUMIF(CZ3:CZ60,B33,DA3:DA60)+SUMIF(DC3:DC60,B33,DB3:DB60)</f>
        <v>4</v>
      </c>
      <c r="G33" s="21">
        <f>SUMIF(DC3:DC60,B33,DA3:DA60)+SUMIF(CZ3:CZ60,B33,DB3:DB60)</f>
        <v>6</v>
      </c>
      <c r="H33" s="21">
        <f t="shared" si="47"/>
        <v>998</v>
      </c>
      <c r="I33" s="21">
        <f t="shared" si="48"/>
        <v>1</v>
      </c>
      <c r="J33" s="21">
        <v>48</v>
      </c>
      <c r="K33" s="21">
        <f>IF(COUNTIF(I31:I35,4)&lt;&gt;4,RANK(I33,I31:I35),I73)</f>
        <v>4</v>
      </c>
      <c r="L33" s="21"/>
      <c r="M33" s="21">
        <f>SUMPRODUCT((K31:K34=K33)*(J31:J34&lt;J33))+K33</f>
        <v>4</v>
      </c>
      <c r="N33" s="21" t="str">
        <f>INDEX(B31:B35,MATCH(3,M31:M35,0),0)</f>
        <v>Slovakia</v>
      </c>
      <c r="O33" s="21">
        <f>INDEX(K31:K35,MATCH(N33,B31:B35,0),0)</f>
        <v>3</v>
      </c>
      <c r="P33" s="21" t="str">
        <f>IF(AND(P32&lt;&gt;"",O33=1),N33,"")</f>
        <v/>
      </c>
      <c r="Q33" s="21" t="str">
        <f>IF(AND(Q32&lt;&gt;"",O34=2),N34,"")</f>
        <v/>
      </c>
      <c r="R33" s="21" t="str">
        <f>IF(AND(R32&lt;&gt;"",O35=3),N35,"")</f>
        <v/>
      </c>
      <c r="S33" s="21"/>
      <c r="T33" s="21"/>
      <c r="U33" s="21" t="str">
        <f t="shared" si="51"/>
        <v/>
      </c>
      <c r="V33" s="21">
        <f>SUMPRODUCT((CZ3:CZ42=U33)*(DC3:DC42=U34)*(DD3:DD42="W"))+SUMPRODUCT((CZ3:CZ42=U33)*(DC3:DC42=U35)*(DD3:DD42="W"))+SUMPRODUCT((CZ3:CZ42=U33)*(DC3:DC42=U31)*(DD3:DD42="W"))+SUMPRODUCT((CZ3:CZ42=U33)*(DC3:DC42=U32)*(DD3:DD42="W"))+SUMPRODUCT((CZ3:CZ42=U34)*(DC3:DC42=U33)*(DE3:DE42="W"))+SUMPRODUCT((CZ3:CZ42=U35)*(DC3:DC42=U33)*(DE3:DE42="W"))+SUMPRODUCT((CZ3:CZ42=U31)*(DC3:DC42=U33)*(DE3:DE42="W"))+SUMPRODUCT((CZ3:CZ42=U32)*(DC3:DC42=U33)*(DE3:DE42="W"))</f>
        <v>0</v>
      </c>
      <c r="W33" s="21">
        <f>SUMPRODUCT((CZ3:CZ42=U33)*(DC3:DC42=U34)*(DD3:DD42="D"))+SUMPRODUCT((CZ3:CZ42=U33)*(DC3:DC42=U35)*(DD3:DD42="D"))+SUMPRODUCT((CZ3:CZ42=U33)*(DC3:DC42=U31)*(DD3:DD42="D"))+SUMPRODUCT((CZ3:CZ42=U33)*(DC3:DC42=U32)*(DD3:DD42="D"))+SUMPRODUCT((CZ3:CZ42=U34)*(DC3:DC42=U33)*(DD3:DD42="D"))+SUMPRODUCT((CZ3:CZ42=U35)*(DC3:DC42=U33)*(DD3:DD42="D"))+SUMPRODUCT((CZ3:CZ42=U31)*(DC3:DC42=U33)*(DD3:DD42="D"))+SUMPRODUCT((CZ3:CZ42=U32)*(DC3:DC42=U33)*(DD3:DD42="D"))</f>
        <v>0</v>
      </c>
      <c r="X33" s="21">
        <f>SUMPRODUCT((CZ3:CZ42=U33)*(DC3:DC42=U34)*(DD3:DD42="L"))+SUMPRODUCT((CZ3:CZ42=U33)*(DC3:DC42=U35)*(DD3:DD42="L"))+SUMPRODUCT((CZ3:CZ42=U33)*(DC3:DC42=U31)*(DD3:DD42="L"))+SUMPRODUCT((CZ3:CZ42=U33)*(DC3:DC42=U32)*(DD3:DD42="L"))+SUMPRODUCT((CZ3:CZ42=U34)*(DC3:DC42=U33)*(DE3:DE42="L"))+SUMPRODUCT((CZ3:CZ42=U35)*(DC3:DC42=U33)*(DE3:DE42="L"))+SUMPRODUCT((CZ3:CZ42=U31)*(DC3:DC42=U33)*(DE3:DE42="L"))+SUMPRODUCT((CZ3:CZ42=U32)*(DC3:DC42=U33)*(DE3:DE42="L"))</f>
        <v>0</v>
      </c>
      <c r="Y33" s="21">
        <f>SUMPRODUCT((CZ3:CZ42=U33)*(DC3:DC42=U34)*DA3:DA42)+SUMPRODUCT((CZ3:CZ42=U33)*(DC3:DC42=U35)*DA3:DA42)+SUMPRODUCT((CZ3:CZ42=U33)*(DC3:DC42=U31)*DA3:DA42)+SUMPRODUCT((CZ3:CZ42=U33)*(DC3:DC42=U32)*DA3:DA42)+SUMPRODUCT((CZ3:CZ42=U34)*(DC3:DC42=U33)*DB3:DB42)+SUMPRODUCT((CZ3:CZ42=U35)*(DC3:DC42=U33)*DB3:DB42)+SUMPRODUCT((CZ3:CZ42=U31)*(DC3:DC42=U33)*DB3:DB42)+SUMPRODUCT((CZ3:CZ42=U32)*(DC3:DC42=U33)*DB3:DB42)</f>
        <v>0</v>
      </c>
      <c r="Z33" s="21">
        <f>SUMPRODUCT((CZ3:CZ42=U33)*(DC3:DC42=U34)*DB3:DB42)+SUMPRODUCT((CZ3:CZ42=U33)*(DC3:DC42=U35)*DB3:DB42)+SUMPRODUCT((CZ3:CZ42=U33)*(DC3:DC42=U31)*DB3:DB42)+SUMPRODUCT((CZ3:CZ42=U33)*(DC3:DC42=U32)*DB3:DB42)+SUMPRODUCT((CZ3:CZ42=U34)*(DC3:DC42=U33)*DA3:DA42)+SUMPRODUCT((CZ3:CZ42=U35)*(DC3:DC42=U33)*DA3:DA42)+SUMPRODUCT((CZ3:CZ42=U31)*(DC3:DC42=U33)*DA3:DA42)+SUMPRODUCT((CZ3:CZ42=U32)*(DC3:DC42=U33)*DA3:DA42)</f>
        <v>0</v>
      </c>
      <c r="AA33" s="21">
        <f>Y33-Z33+1000</f>
        <v>1000</v>
      </c>
      <c r="AB33" s="21" t="str">
        <f t="shared" si="49"/>
        <v/>
      </c>
      <c r="AC33" s="21" t="str">
        <f>IF(U33&lt;&gt;"",VLOOKUP(U33,B4:H40,7,FALSE),"")</f>
        <v/>
      </c>
      <c r="AD33" s="21" t="str">
        <f>IF(U33&lt;&gt;"",VLOOKUP(U33,B4:H40,5,FALSE),"")</f>
        <v/>
      </c>
      <c r="AE33" s="21" t="str">
        <f>IF(U33&lt;&gt;"",VLOOKUP(U33,B4:J40,9,FALSE),"")</f>
        <v/>
      </c>
      <c r="AF33" s="21" t="str">
        <f t="shared" si="50"/>
        <v/>
      </c>
      <c r="AG33" s="21" t="str">
        <f>IF(U33&lt;&gt;"",RANK(AF33,AF31:AF35),"")</f>
        <v/>
      </c>
      <c r="AH33" s="21" t="str">
        <f>IF(U33&lt;&gt;"",SUMPRODUCT((AF31:AF35=AF33)*(AA31:AA35&gt;AA33)),"")</f>
        <v/>
      </c>
      <c r="AI33" s="21" t="str">
        <f>IF(U33&lt;&gt;"",SUMPRODUCT((AF31:AF35=AF33)*(AA31:AA35=AA33)*(Y31:Y35&gt;Y33)),"")</f>
        <v/>
      </c>
      <c r="AJ33" s="21" t="str">
        <f>IF(U33&lt;&gt;"",SUMPRODUCT((AF31:AF35=AF33)*(AA31:AA35=AA33)*(Y31:Y35=Y33)*(AC31:AC35&gt;AC33)),"")</f>
        <v/>
      </c>
      <c r="AK33" s="21" t="str">
        <f>IF(U33&lt;&gt;"",SUMPRODUCT((AF31:AF35=AF33)*(AA31:AA35=AA33)*(Y31:Y35=Y33)*(AC31:AC35=AC33)*(AD31:AD35&gt;AD33)),"")</f>
        <v/>
      </c>
      <c r="AL33" s="21" t="str">
        <f>IF(U33&lt;&gt;"",SUMPRODUCT((AF31:AF35=AF33)*(AA31:AA35=AA33)*(Y31:Y35=Y33)*(AC31:AC35=AC33)*(AD31:AD35=AD33)*(AE31:AE35&gt;AE33)),"")</f>
        <v/>
      </c>
      <c r="AM33" s="21" t="str">
        <f>IF(U33&lt;&gt;"",IF(AM73&lt;&gt;"",IF(T70=3,AM73,AM73+T70),SUM(AG33:AL33)),"")</f>
        <v/>
      </c>
      <c r="AN33" s="21" t="str">
        <f>IF(U33&lt;&gt;"",INDEX(U31:U35,MATCH(3,AM31:AM35,0),0),"")</f>
        <v/>
      </c>
      <c r="AO33" s="21" t="str">
        <f>IF(Q32&lt;&gt;"",Q32,"")</f>
        <v/>
      </c>
      <c r="AP33" s="21">
        <f>SUMPRODUCT((CZ3:CZ42=AO33)*(DC3:DC42=AO34)*(DD3:DD42="W"))+SUMPRODUCT((CZ3:CZ42=AO33)*(DC3:DC42=AO35)*(DD3:DD42="W"))+SUMPRODUCT((CZ3:CZ42=AO33)*(DC3:DC42=AO32)*(DD3:DD42="W"))+SUMPRODUCT((CZ3:CZ42=AO34)*(DC3:DC42=AO33)*(DE3:DE42="W"))+SUMPRODUCT((CZ3:CZ42=AO35)*(DC3:DC42=AO33)*(DE3:DE42="W"))+SUMPRODUCT((CZ3:CZ42=AO32)*(DC3:DC42=AO33)*(DE3:DE42="W"))</f>
        <v>0</v>
      </c>
      <c r="AQ33" s="21">
        <f>SUMPRODUCT((CZ3:CZ42=AO33)*(DC3:DC42=AO34)*(DD3:DD42="D"))+SUMPRODUCT((CZ3:CZ42=AO33)*(DC3:DC42=AO35)*(DD3:DD42="D"))+SUMPRODUCT((CZ3:CZ42=AO33)*(DC3:DC42=AO32)*(DD3:DD42="D"))+SUMPRODUCT((CZ3:CZ42=AO34)*(DC3:DC42=AO33)*(DD3:DD42="D"))+SUMPRODUCT((CZ3:CZ42=AO35)*(DC3:DC42=AO33)*(DD3:DD42="D"))+SUMPRODUCT((CZ3:CZ42=AO32)*(DC3:DC42=AO33)*(DD3:DD42="D"))</f>
        <v>0</v>
      </c>
      <c r="AR33" s="21">
        <f>SUMPRODUCT((CZ3:CZ42=AO33)*(DC3:DC42=AO34)*(DD3:DD42="L"))+SUMPRODUCT((CZ3:CZ42=AO33)*(DC3:DC42=AO35)*(DD3:DD42="L"))+SUMPRODUCT((CZ3:CZ42=AO33)*(DC3:DC42=AO32)*(DD3:DD42="L"))+SUMPRODUCT((CZ3:CZ42=AO34)*(DC3:DC42=AO33)*(DE3:DE42="L"))+SUMPRODUCT((CZ3:CZ42=AO35)*(DC3:DC42=AO33)*(DE3:DE42="L"))+SUMPRODUCT((CZ3:CZ42=AO32)*(DC3:DC42=AO33)*(DE3:DE42="L"))</f>
        <v>0</v>
      </c>
      <c r="AS33" s="21">
        <f>SUMPRODUCT((CZ3:CZ42=AO33)*(DC3:DC42=AO34)*DA3:DA42)+SUMPRODUCT((CZ3:CZ42=AO33)*(DC3:DC42=AO35)*DA3:DA42)+SUMPRODUCT((CZ3:CZ42=AO33)*(DC3:DC42=AO31)*DA3:DA42)+SUMPRODUCT((CZ3:CZ42=AO33)*(DC3:DC42=AO32)*DA3:DA42)+SUMPRODUCT((CZ3:CZ42=AO34)*(DC3:DC42=AO33)*DB3:DB42)+SUMPRODUCT((CZ3:CZ42=AO35)*(DC3:DC42=AO33)*DB3:DB42)+SUMPRODUCT((CZ3:CZ42=AO31)*(DC3:DC42=AO33)*DB3:DB42)+SUMPRODUCT((CZ3:CZ42=AO32)*(DC3:DC42=AO33)*DB3:DB42)</f>
        <v>0</v>
      </c>
      <c r="AT33" s="21">
        <f>SUMPRODUCT((CZ3:CZ42=AO33)*(DC3:DC42=AO34)*DB3:DB42)+SUMPRODUCT((CZ3:CZ42=AO33)*(DC3:DC42=AO35)*DB3:DB42)+SUMPRODUCT((CZ3:CZ42=AO33)*(DC3:DC42=AO31)*DB3:DB42)+SUMPRODUCT((CZ3:CZ42=AO33)*(DC3:DC42=AO32)*DB3:DB42)+SUMPRODUCT((CZ3:CZ42=AO34)*(DC3:DC42=AO33)*DA3:DA42)+SUMPRODUCT((CZ3:CZ42=AO35)*(DC3:DC42=AO33)*DA3:DA42)+SUMPRODUCT((CZ3:CZ42=AO31)*(DC3:DC42=AO33)*DA3:DA42)+SUMPRODUCT((CZ3:CZ42=AO32)*(DC3:DC42=AO33)*DA3:DA42)</f>
        <v>0</v>
      </c>
      <c r="AU33" s="21">
        <f>AS33-AT33+1000</f>
        <v>1000</v>
      </c>
      <c r="AV33" s="21" t="str">
        <f t="shared" si="52"/>
        <v/>
      </c>
      <c r="AW33" s="21" t="str">
        <f>IF(AO33&lt;&gt;"",VLOOKUP(AO33,B4:H40,7,FALSE),"")</f>
        <v/>
      </c>
      <c r="AX33" s="21" t="str">
        <f>IF(AO33&lt;&gt;"",VLOOKUP(AO33,B4:H40,5,FALSE),"")</f>
        <v/>
      </c>
      <c r="AY33" s="21" t="str">
        <f>IF(AO33&lt;&gt;"",VLOOKUP(AO33,B4:J40,9,FALSE),"")</f>
        <v/>
      </c>
      <c r="AZ33" s="21" t="str">
        <f t="shared" si="53"/>
        <v/>
      </c>
      <c r="BA33" s="21" t="str">
        <f>IF(AO33&lt;&gt;"",RANK(AZ33,AZ31:AZ35),"")</f>
        <v/>
      </c>
      <c r="BB33" s="21" t="str">
        <f>IF(AO33&lt;&gt;"",SUMPRODUCT((AZ31:AZ35=AZ33)*(AU31:AU35&gt;AU33)),"")</f>
        <v/>
      </c>
      <c r="BC33" s="21" t="str">
        <f>IF(AO33&lt;&gt;"",SUMPRODUCT((AZ31:AZ35=AZ33)*(AU31:AU35=AU33)*(AS31:AS35&gt;AS33)),"")</f>
        <v/>
      </c>
      <c r="BD33" s="21" t="str">
        <f>IF(AO33&lt;&gt;"",SUMPRODUCT((AZ31:AZ35=AZ33)*(AU31:AU35=AU33)*(AS31:AS35=AS33)*(AW31:AW35&gt;AW33)),"")</f>
        <v/>
      </c>
      <c r="BE33" s="21" t="str">
        <f>IF(AO33&lt;&gt;"",SUMPRODUCT((AZ31:AZ35=AZ33)*(AU31:AU35=AU33)*(AS31:AS35=AS33)*(AW31:AW35=AW33)*(AX31:AX35&gt;AX33)),"")</f>
        <v/>
      </c>
      <c r="BF33" s="21" t="str">
        <f>IF(AO33&lt;&gt;"",SUMPRODUCT((AZ31:AZ35=AZ33)*(AU31:AU35=AU33)*(AS31:AS35=AS33)*(AW31:AW35=AW33)*(AX31:AX35=AX33)*(AY31:AY35&gt;AY33)),"")</f>
        <v/>
      </c>
      <c r="BG33" s="21" t="str">
        <f>IF(AO33&lt;&gt;"",IF(BG73&lt;&gt;"",IF(AN70=3,BG73,BG73+AN70),SUM(BA33:BF33)+1),"")</f>
        <v/>
      </c>
      <c r="BH33" s="21" t="str">
        <f>IF(AO33&lt;&gt;"",INDEX(AO32:AO35,MATCH(3,BG32:BG35,0),0),"")</f>
        <v/>
      </c>
      <c r="BI33" s="21" t="str">
        <f>IF(R31&lt;&gt;"",R31,"")</f>
        <v/>
      </c>
      <c r="BJ33" s="21">
        <f>SUMPRODUCT((CZ3:CZ42=BI33)*(DC3:DC42=BI34)*(DD3:DD42="W"))+SUMPRODUCT((CZ3:CZ42=BI33)*(DC3:DC42=BI35)*(DD3:DD42="W"))+SUMPRODUCT((CZ3:CZ42=BI33)*(DC3:DC42=BI36)*(DD3:DD42="W"))+SUMPRODUCT((CZ3:CZ42=BI34)*(DC3:DC42=BI33)*(DE3:DE42="W"))+SUMPRODUCT((CZ3:CZ42=BI35)*(DC3:DC42=BI33)*(DE3:DE42="W"))+SUMPRODUCT((CZ3:CZ42=BI36)*(DC3:DC42=BI33)*(DE3:DE42="W"))</f>
        <v>0</v>
      </c>
      <c r="BK33" s="21">
        <f>SUMPRODUCT((CZ3:CZ42=BI33)*(DC3:DC42=BI34)*(DD3:DD42="D"))+SUMPRODUCT((CZ3:CZ42=BI33)*(DC3:DC42=BI35)*(DD3:DD42="D"))+SUMPRODUCT((CZ3:CZ42=BI33)*(DC3:DC42=BI36)*(DD3:DD42="D"))+SUMPRODUCT((CZ3:CZ42=BI34)*(DC3:DC42=BI33)*(DD3:DD42="D"))+SUMPRODUCT((CZ3:CZ42=BI35)*(DC3:DC42=BI33)*(DD3:DD42="D"))+SUMPRODUCT((CZ3:CZ42=BI36)*(DC3:DC42=BI33)*(DD3:DD42="D"))</f>
        <v>0</v>
      </c>
      <c r="BL33" s="21">
        <f>SUMPRODUCT((CZ3:CZ42=BI33)*(DC3:DC42=BI34)*(DD3:DD42="L"))+SUMPRODUCT((CZ3:CZ42=BI33)*(DC3:DC42=BI35)*(DD3:DD42="L"))+SUMPRODUCT((CZ3:CZ42=BI33)*(DC3:DC42=BI36)*(DD3:DD42="L"))+SUMPRODUCT((CZ3:CZ42=BI34)*(DC3:DC42=BI33)*(DE3:DE42="L"))+SUMPRODUCT((CZ3:CZ42=BI35)*(DC3:DC42=BI33)*(DE3:DE42="L"))+SUMPRODUCT((CZ3:CZ42=BI36)*(DC3:DC42=BI33)*(DE3:DE42="L"))</f>
        <v>0</v>
      </c>
      <c r="BM33" s="21">
        <f>SUMPRODUCT((CZ3:CZ42=BI33)*(DC3:DC42=BI34)*DA3:DA42)+SUMPRODUCT((CZ3:CZ42=BI33)*(DC3:DC42=BI35)*DA3:DA42)+SUMPRODUCT((CZ3:CZ42=BI33)*(DC3:DC42=BI31)*DA3:DA42)+SUMPRODUCT((CZ3:CZ42=BI33)*(DC3:DC42=BI32)*DA3:DA42)+SUMPRODUCT((CZ3:CZ42=BI34)*(DC3:DC42=BI33)*DB3:DB42)+SUMPRODUCT((CZ3:CZ42=BI35)*(DC3:DC42=BI33)*DB3:DB42)+SUMPRODUCT((CZ3:CZ42=BI31)*(DC3:DC42=BI33)*DB3:DB42)+SUMPRODUCT((CZ3:CZ42=BI32)*(DC3:DC42=BI33)*DB3:DB42)</f>
        <v>0</v>
      </c>
      <c r="BN33" s="21">
        <f>SUMPRODUCT((CZ3:CZ42=BI33)*(DC3:DC42=BI34)*DB3:DB42)+SUMPRODUCT((CZ3:CZ42=BI33)*(DC3:DC42=BI35)*DB3:DB42)+SUMPRODUCT((CZ3:CZ42=BI33)*(DC3:DC42=BI31)*DB3:DB42)+SUMPRODUCT((CZ3:CZ42=BI33)*(DC3:DC42=BI32)*DB3:DB42)+SUMPRODUCT((CZ3:CZ42=BI34)*(DC3:DC42=BI33)*DA3:DA42)+SUMPRODUCT((CZ3:CZ42=BI35)*(DC3:DC42=BI33)*DA3:DA42)+SUMPRODUCT((CZ3:CZ42=BI31)*(DC3:DC42=BI33)*DA3:DA42)+SUMPRODUCT((CZ3:CZ42=BI32)*(DC3:DC42=BI33)*DA3:DA42)</f>
        <v>0</v>
      </c>
      <c r="BO33" s="21">
        <f>BM33-BN33+1000</f>
        <v>1000</v>
      </c>
      <c r="BP33" s="21" t="str">
        <f t="shared" ref="BP33:BP34" si="54">IF(BI33&lt;&gt;"",BJ33*3+BK33*1,"")</f>
        <v/>
      </c>
      <c r="BQ33" s="21" t="str">
        <f>IF(BI33&lt;&gt;"",VLOOKUP(BI33,B4:H40,7,FALSE),"")</f>
        <v/>
      </c>
      <c r="BR33" s="21" t="str">
        <f>IF(BI33&lt;&gt;"",VLOOKUP(BI33,B4:H40,5,FALSE),"")</f>
        <v/>
      </c>
      <c r="BS33" s="21" t="str">
        <f>IF(BI33&lt;&gt;"",VLOOKUP(BI33,B4:J40,9,FALSE),"")</f>
        <v/>
      </c>
      <c r="BT33" s="21" t="str">
        <f t="shared" ref="BT33:BT34" si="55">BP33</f>
        <v/>
      </c>
      <c r="BU33" s="21" t="str">
        <f>IF(BI33&lt;&gt;"",RANK(BT33,BT32:BT35),"")</f>
        <v/>
      </c>
      <c r="BV33" s="21" t="str">
        <f>IF(BI33&lt;&gt;"",SUMPRODUCT((BT31:BT35=BT33)*(BO31:BO35&gt;BO33)),"")</f>
        <v/>
      </c>
      <c r="BW33" s="21" t="str">
        <f>IF(BI33&lt;&gt;"",SUMPRODUCT((BT31:BT35=BT33)*(BO31:BO35=BO33)*(BM31:BM35&gt;BM33)),"")</f>
        <v/>
      </c>
      <c r="BX33" s="21" t="str">
        <f>IF(BI33&lt;&gt;"",SUMPRODUCT((BT31:BT35=BT33)*(BO31:BO35=BO33)*(BM31:BM35=BM33)*(BQ31:BQ35&gt;BQ33)),"")</f>
        <v/>
      </c>
      <c r="BY33" s="21" t="str">
        <f>IF(BI33&lt;&gt;"",SUMPRODUCT((BT31:BT35=BT33)*(BO31:BO35=BO33)*(BM31:BM35=BM33)*(BQ31:BQ35=BQ33)*(BR31:BR35&gt;BR33)),"")</f>
        <v/>
      </c>
      <c r="BZ33" s="21" t="str">
        <f>IF(BI33&lt;&gt;"",SUMPRODUCT((BT31:BT35=BT33)*(BO31:BO35=BO33)*(BM31:BM35=BM33)*(BQ31:BQ35=BQ33)*(BR31:BR35=BR33)*(BS31:BS35&gt;BS33)),"")</f>
        <v/>
      </c>
      <c r="CA33" s="21" t="str">
        <f>IF(BI33&lt;&gt;"",SUM(BU33:BZ33)+2,"")</f>
        <v/>
      </c>
      <c r="CB33" s="21" t="str">
        <f>IF(BI33&lt;&gt;"",INDEX(BI33:BI35,MATCH(3,CA33:CA35,0),0),"")</f>
        <v/>
      </c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 t="str">
        <f>IF(CB33&lt;&gt;"",CB33,IF(BH33&lt;&gt;"",BH33,IF(AN33&lt;&gt;"",AN33,N33)))</f>
        <v>Slovakia</v>
      </c>
      <c r="CX33" s="21">
        <v>3</v>
      </c>
      <c r="CY33" s="21">
        <v>31</v>
      </c>
      <c r="CZ33" s="21" t="str">
        <f>Matches!E41</f>
        <v>Croatia</v>
      </c>
      <c r="DA33" s="21">
        <f>IF(AND(Matches!F41&lt;&gt;"",Matches!G41&lt;&gt;""),Matches!F41,0)</f>
        <v>3</v>
      </c>
      <c r="DB33" s="21">
        <f>IF(AND(Matches!G41&lt;&gt;"",Matches!F41&lt;&gt;""),Matches!G41,0)</f>
        <v>1</v>
      </c>
      <c r="DC33" s="21" t="str">
        <f>Matches!H41</f>
        <v>Scotland</v>
      </c>
      <c r="DD33" s="21" t="str">
        <f>IF(AND(Matches!F41&lt;&gt;"",Matches!G41&lt;&gt;""),IF(DA33&gt;DB33,"W",IF(DA33=DB33,"D","L")),"")</f>
        <v>W</v>
      </c>
      <c r="DE33" s="21" t="str">
        <f t="shared" si="0"/>
        <v>L</v>
      </c>
      <c r="DF33" s="21"/>
      <c r="DG33" s="21"/>
      <c r="DH33" s="21"/>
      <c r="DI33" s="212"/>
      <c r="DJ33" s="212"/>
      <c r="DK33" s="212"/>
      <c r="DL33" s="212"/>
      <c r="DM33" s="212"/>
      <c r="DN33" s="212"/>
      <c r="DO33" s="212"/>
      <c r="DP33" s="21"/>
      <c r="DQ33" s="21"/>
      <c r="DR33" s="21"/>
      <c r="DS33" s="21"/>
      <c r="DT33" s="21"/>
      <c r="DU33" s="21"/>
      <c r="DV33" s="21"/>
      <c r="DW33" s="21" t="str">
        <f>VLOOKUP(2,A37:B40,2,FALSE)</f>
        <v>Germany</v>
      </c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  <c r="FV33" s="21"/>
      <c r="FW33" s="21"/>
      <c r="FX33" s="21"/>
      <c r="FY33" s="21"/>
      <c r="FZ33" s="21"/>
      <c r="GA33" s="21"/>
      <c r="GB33" s="21"/>
      <c r="GC33" s="21"/>
      <c r="GD33" s="21"/>
      <c r="GE33" s="21"/>
      <c r="GF33" s="21"/>
      <c r="GG33" s="21"/>
      <c r="GH33" s="21"/>
      <c r="GI33" s="21"/>
      <c r="GJ33" s="21"/>
      <c r="GK33" s="21"/>
      <c r="GL33" s="21"/>
      <c r="GM33" s="21"/>
      <c r="GN33" s="21"/>
      <c r="GO33" s="21"/>
      <c r="GP33" s="21"/>
      <c r="GQ33" s="21"/>
      <c r="GR33" s="21"/>
      <c r="GS33" s="21"/>
      <c r="GT33" s="21"/>
      <c r="GU33" s="21"/>
      <c r="GV33" s="21"/>
      <c r="GW33" s="21"/>
      <c r="GX33" s="21"/>
      <c r="GY33" s="21"/>
      <c r="GZ33" s="21"/>
      <c r="HA33" s="21"/>
      <c r="HB33" s="21"/>
      <c r="HC33" s="21"/>
      <c r="HD33" s="21"/>
      <c r="HE33" s="21"/>
      <c r="HF33" s="21"/>
      <c r="HG33" s="21"/>
      <c r="HH33" s="21"/>
      <c r="HI33" s="21"/>
      <c r="HJ33" s="21"/>
      <c r="HK33" s="21"/>
      <c r="HL33" s="21"/>
      <c r="HM33" s="21"/>
      <c r="HN33" s="21"/>
      <c r="HO33" s="21"/>
      <c r="HP33" s="21"/>
      <c r="HQ33" s="21"/>
      <c r="HR33" s="21"/>
      <c r="HS33" s="21"/>
      <c r="HT33" s="21"/>
      <c r="HU33" s="21"/>
      <c r="HV33" s="21"/>
      <c r="HW33" s="21"/>
      <c r="HX33" s="21"/>
      <c r="HY33" s="214"/>
      <c r="HZ33" s="214"/>
      <c r="IA33" s="21"/>
      <c r="IB33" s="21"/>
      <c r="IC33" s="21"/>
      <c r="ID33" s="21"/>
      <c r="IE33" s="21"/>
      <c r="IF33" s="21"/>
      <c r="IG33" s="212"/>
      <c r="IH33" s="212"/>
      <c r="II33" s="212"/>
      <c r="IJ33" s="212"/>
      <c r="IK33" s="212"/>
      <c r="IL33" s="212"/>
      <c r="IM33" s="212"/>
      <c r="IN33" s="21"/>
      <c r="IO33" s="21"/>
      <c r="IP33" s="21"/>
      <c r="IQ33" s="21"/>
      <c r="IR33" s="21"/>
      <c r="IS33" s="21"/>
      <c r="IT33" s="21"/>
      <c r="IU33" s="21"/>
      <c r="IV33" s="217"/>
    </row>
    <row r="34" spans="1:256" ht="14" x14ac:dyDescent="0.2">
      <c r="A34" s="21">
        <f>VLOOKUP(B34,CW31:CX35,2,FALSE)</f>
        <v>3</v>
      </c>
      <c r="B34" s="21" t="str">
        <f>Matches!AH29</f>
        <v>Slovakia</v>
      </c>
      <c r="C34" s="21">
        <f>SUMPRODUCT((CZ3:CZ42=B34)*(DD3:DD42="W"))+SUMPRODUCT((DC3:DC42=B34)*(DE3:DE42="W"))</f>
        <v>1</v>
      </c>
      <c r="D34" s="21">
        <f>SUMPRODUCT((CZ3:CZ42=B34)*(DD3:DD42="D"))+SUMPRODUCT((DC3:DC42=B34)*(DE3:DE42="D"))</f>
        <v>0</v>
      </c>
      <c r="E34" s="21">
        <f>SUMPRODUCT((CZ3:CZ42=B34)*(DD3:DD42="L"))+SUMPRODUCT((DC3:DC42=B34)*(DE3:DE42="L"))</f>
        <v>2</v>
      </c>
      <c r="F34" s="21">
        <f>SUMIF(CZ3:CZ60,B34,DA3:DA60)+SUMIF(DC3:DC60,B34,DB3:DB60)</f>
        <v>2</v>
      </c>
      <c r="G34" s="21">
        <f>SUMIF(DC3:DC60,B34,DA3:DA60)+SUMIF(CZ3:CZ60,B34,DB3:DB60)</f>
        <v>7</v>
      </c>
      <c r="H34" s="21">
        <f t="shared" si="47"/>
        <v>995</v>
      </c>
      <c r="I34" s="21">
        <f t="shared" si="48"/>
        <v>3</v>
      </c>
      <c r="J34" s="21">
        <v>34</v>
      </c>
      <c r="K34" s="21">
        <f>IF(COUNTIF(I31:I35,4)&lt;&gt;4,RANK(I34,I31:I35),I74)</f>
        <v>3</v>
      </c>
      <c r="L34" s="21"/>
      <c r="M34" s="21">
        <f>SUMPRODUCT((K31:K34=K34)*(J31:J34&lt;J34))+K34</f>
        <v>3</v>
      </c>
      <c r="N34" s="21" t="str">
        <f>INDEX(B31:B35,MATCH(4,M31:M35,0),0)</f>
        <v>Poland</v>
      </c>
      <c r="O34" s="21">
        <f>INDEX(K31:K35,MATCH(N34,B31:B35,0),0)</f>
        <v>4</v>
      </c>
      <c r="P34" s="21" t="str">
        <f>IF(AND(P33&lt;&gt;"",O34=1),N34,"")</f>
        <v/>
      </c>
      <c r="Q34" s="21" t="str">
        <f>IF(AND(Q33&lt;&gt;"",O35=2),N35,"")</f>
        <v/>
      </c>
      <c r="R34" s="21"/>
      <c r="S34" s="21"/>
      <c r="T34" s="21"/>
      <c r="U34" s="21" t="str">
        <f t="shared" si="51"/>
        <v/>
      </c>
      <c r="V34" s="21">
        <f>SUMPRODUCT((CZ3:CZ42=U34)*(DC3:DC42=U35)*(DD3:DD42="W"))+SUMPRODUCT((CZ3:CZ42=U34)*(DC3:DC42=U31)*(DD3:DD42="W"))+SUMPRODUCT((CZ3:CZ42=U34)*(DC3:DC42=U32)*(DD3:DD42="W"))+SUMPRODUCT((CZ3:CZ42=U34)*(DC3:DC42=U33)*(DD3:DD42="W"))+SUMPRODUCT((CZ3:CZ42=U35)*(DC3:DC42=U34)*(DE3:DE42="W"))+SUMPRODUCT((CZ3:CZ42=U31)*(DC3:DC42=U34)*(DE3:DE42="W"))+SUMPRODUCT((CZ3:CZ42=U32)*(DC3:DC42=U34)*(DE3:DE42="W"))+SUMPRODUCT((CZ3:CZ42=U33)*(DC3:DC42=U34)*(DE3:DE42="W"))</f>
        <v>0</v>
      </c>
      <c r="W34" s="21">
        <f>SUMPRODUCT((CZ3:CZ42=U34)*(DC3:DC42=U35)*(DD3:DD42="D"))+SUMPRODUCT((CZ3:CZ42=U34)*(DC3:DC42=U31)*(DD3:DD42="D"))+SUMPRODUCT((CZ3:CZ42=U34)*(DC3:DC42=U32)*(DD3:DD42="D"))+SUMPRODUCT((CZ3:CZ42=U34)*(DC3:DC42=U33)*(DD3:DD42="D"))+SUMPRODUCT((CZ3:CZ42=U35)*(DC3:DC42=U34)*(DD3:DD42="D"))+SUMPRODUCT((CZ3:CZ42=U31)*(DC3:DC42=U34)*(DD3:DD42="D"))+SUMPRODUCT((CZ3:CZ42=U32)*(DC3:DC42=U34)*(DD3:DD42="D"))+SUMPRODUCT((CZ3:CZ42=U33)*(DC3:DC42=U34)*(DD3:DD42="D"))</f>
        <v>0</v>
      </c>
      <c r="X34" s="21">
        <f>SUMPRODUCT((CZ3:CZ42=U34)*(DC3:DC42=U35)*(DD3:DD42="L"))+SUMPRODUCT((CZ3:CZ42=U34)*(DC3:DC42=U31)*(DD3:DD42="L"))+SUMPRODUCT((CZ3:CZ42=U34)*(DC3:DC42=U32)*(DD3:DD42="L"))+SUMPRODUCT((CZ3:CZ42=U34)*(DC3:DC42=U33)*(DD3:DD42="L"))+SUMPRODUCT((CZ3:CZ42=U35)*(DC3:DC42=U34)*(DE3:DE42="L"))+SUMPRODUCT((CZ3:CZ42=U31)*(DC3:DC42=U34)*(DE3:DE42="L"))+SUMPRODUCT((CZ3:CZ42=U32)*(DC3:DC42=U34)*(DE3:DE42="L"))+SUMPRODUCT((CZ3:CZ42=U33)*(DC3:DC42=U34)*(DE3:DE42="L"))</f>
        <v>0</v>
      </c>
      <c r="Y34" s="21">
        <f>SUMPRODUCT((CZ3:CZ42=U34)*(DC3:DC42=U35)*DA3:DA42)+SUMPRODUCT((CZ3:CZ42=U34)*(DC3:DC42=U31)*DA3:DA42)+SUMPRODUCT((CZ3:CZ42=U34)*(DC3:DC42=U32)*DA3:DA42)+SUMPRODUCT((CZ3:CZ42=U34)*(DC3:DC42=U33)*DA3:DA42)+SUMPRODUCT((CZ3:CZ42=U35)*(DC3:DC42=U34)*DB3:DB42)+SUMPRODUCT((CZ3:CZ42=U31)*(DC3:DC42=U34)*DB3:DB42)+SUMPRODUCT((CZ3:CZ42=U32)*(DC3:DC42=U34)*DB3:DB42)+SUMPRODUCT((CZ3:CZ42=U33)*(DC3:DC42=U34)*DB3:DB42)</f>
        <v>0</v>
      </c>
      <c r="Z34" s="21">
        <f>SUMPRODUCT((CZ3:CZ42=U34)*(DC3:DC42=U35)*DB3:DB42)+SUMPRODUCT((CZ3:CZ42=U34)*(DC3:DC42=U31)*DB3:DB42)+SUMPRODUCT((CZ3:CZ42=U34)*(DC3:DC42=U32)*DB3:DB42)+SUMPRODUCT((CZ3:CZ42=U34)*(DC3:DC42=U33)*DB3:DB42)+SUMPRODUCT((CZ3:CZ42=U35)*(DC3:DC42=U34)*DA3:DA42)+SUMPRODUCT((CZ3:CZ42=U31)*(DC3:DC42=U34)*DA3:DA42)+SUMPRODUCT((CZ3:CZ42=U32)*(DC3:DC42=U34)*DA3:DA42)+SUMPRODUCT((CZ3:CZ42=U33)*(DC3:DC42=U34)*DA3:DA42)</f>
        <v>0</v>
      </c>
      <c r="AA34" s="21">
        <f>Y34-Z34+1000</f>
        <v>1000</v>
      </c>
      <c r="AB34" s="21" t="str">
        <f t="shared" si="49"/>
        <v/>
      </c>
      <c r="AC34" s="21" t="str">
        <f>IF(U34&lt;&gt;"",VLOOKUP(U34,B4:H40,7,FALSE),"")</f>
        <v/>
      </c>
      <c r="AD34" s="21" t="str">
        <f>IF(U34&lt;&gt;"",VLOOKUP(U34,B4:H40,5,FALSE),"")</f>
        <v/>
      </c>
      <c r="AE34" s="21" t="str">
        <f>IF(U34&lt;&gt;"",VLOOKUP(U34,B4:J40,9,FALSE),"")</f>
        <v/>
      </c>
      <c r="AF34" s="21" t="str">
        <f t="shared" si="50"/>
        <v/>
      </c>
      <c r="AG34" s="21" t="str">
        <f>IF(U34&lt;&gt;"",RANK(AF34,AF31:AF35),"")</f>
        <v/>
      </c>
      <c r="AH34" s="21" t="str">
        <f>IF(U34&lt;&gt;"",SUMPRODUCT((AF31:AF35=AF34)*(AA31:AA35&gt;AA34)),"")</f>
        <v/>
      </c>
      <c r="AI34" s="21" t="str">
        <f>IF(U34&lt;&gt;"",SUMPRODUCT((AF31:AF35=AF34)*(AA31:AA35=AA34)*(Y31:Y35&gt;Y34)),"")</f>
        <v/>
      </c>
      <c r="AJ34" s="21" t="str">
        <f>IF(U34&lt;&gt;"",SUMPRODUCT((AF31:AF35=AF34)*(AA31:AA35=AA34)*(Y31:Y35=Y34)*(AC31:AC35&gt;AC34)),"")</f>
        <v/>
      </c>
      <c r="AK34" s="21" t="str">
        <f>IF(U34&lt;&gt;"",SUMPRODUCT((AF31:AF35=AF34)*(AA31:AA35=AA34)*(Y31:Y35=Y34)*(AC31:AC35=AC34)*(AD31:AD35&gt;AD34)),"")</f>
        <v/>
      </c>
      <c r="AL34" s="21" t="str">
        <f>IF(U34&lt;&gt;"",SUMPRODUCT((AF31:AF35=AF34)*(AA31:AA35=AA34)*(Y31:Y35=Y34)*(AC31:AC35=AC34)*(AD31:AD35=AD34)*(AE31:AE35&gt;AE34)),"")</f>
        <v/>
      </c>
      <c r="AM34" s="21" t="str">
        <f>IF(U34&lt;&gt;"",IF(AM74&lt;&gt;"",IF(T70=3,AM74,AM74+T70),SUM(AG34:AL34)),"")</f>
        <v/>
      </c>
      <c r="AN34" s="21" t="str">
        <f>IF(U34&lt;&gt;"",INDEX(U31:U35,MATCH(4,AM31:AM35,0),0),"")</f>
        <v/>
      </c>
      <c r="AO34" s="21" t="str">
        <f>IF(Q33&lt;&gt;"",Q33,"")</f>
        <v/>
      </c>
      <c r="AP34" s="21" t="str">
        <f>IF(AO34&lt;&gt;"",SUMPRODUCT((CZ3:CZ42=AO34)*(DC3:DC42=AO35)*(DD3:DD42="W"))+SUMPRODUCT((CZ3:CZ42=AO34)*(DC3:DC42=AO32)*(DD3:DD42="W"))+SUMPRODUCT((CZ3:CZ42=AO34)*(DC3:DC42=AO33)*(DD3:DD42="W"))+SUMPRODUCT((CZ3:CZ42=AO35)*(DC3:DC42=AO34)*(DE3:DE42="W"))+SUMPRODUCT((CZ3:CZ42=AO32)*(DC3:DC42=AO34)*(DE3:DE42="W"))+SUMPRODUCT((CZ3:CZ42=AO33)*(DC3:DC42=AO34)*(DE3:DE42="W")),"")</f>
        <v/>
      </c>
      <c r="AQ34" s="21" t="str">
        <f>IF(AO34&lt;&gt;"",SUMPRODUCT((CZ3:CZ42=AO34)*(DC3:DC42=AO35)*(DD3:DD42="D"))+SUMPRODUCT((CZ3:CZ42=AO34)*(DC3:DC42=AO32)*(DD3:DD42="D"))+SUMPRODUCT((CZ3:CZ42=AO34)*(DC3:DC42=AO33)*(DD3:DD42="D"))+SUMPRODUCT((CZ3:CZ42=AO35)*(DC3:DC42=AO34)*(DD3:DD42="D"))+SUMPRODUCT((CZ3:CZ42=AO32)*(DC3:DC42=AO34)*(DD3:DD42="D"))+SUMPRODUCT((CZ3:CZ42=AO33)*(DC3:DC42=AO34)*(DD3:DD42="D")),"")</f>
        <v/>
      </c>
      <c r="AR34" s="21" t="str">
        <f>IF(AO34&lt;&gt;"",SUMPRODUCT((CZ3:CZ42=AO34)*(DC3:DC42=AO35)*(DD3:DD42="L"))+SUMPRODUCT((CZ3:CZ42=AO34)*(DC3:DC42=AO32)*(DD3:DD42="L"))+SUMPRODUCT((CZ3:CZ42=AO34)*(DC3:DC42=AO33)*(DD3:DD42="L"))+SUMPRODUCT((CZ3:CZ42=AO35)*(DC3:DC42=AO34)*(DE3:DE42="L"))+SUMPRODUCT((CZ3:CZ42=AO32)*(DC3:DC42=AO34)*(DE3:DE42="L"))+SUMPRODUCT((CZ3:CZ42=AO33)*(DC3:DC42=AO34)*(DE3:DE42="L")),"")</f>
        <v/>
      </c>
      <c r="AS34" s="21">
        <f>SUMPRODUCT((CZ3:CZ42=AO34)*(DC3:DC42=AO35)*DA3:DA42)+SUMPRODUCT((CZ3:CZ42=AO34)*(DC3:DC42=AO31)*DA3:DA42)+SUMPRODUCT((CZ3:CZ42=AO34)*(DC3:DC42=AO32)*DA3:DA42)+SUMPRODUCT((CZ3:CZ42=AO34)*(DC3:DC42=AO33)*DA3:DA42)+SUMPRODUCT((CZ3:CZ42=AO35)*(DC3:DC42=AO34)*DB3:DB42)+SUMPRODUCT((CZ3:CZ42=AO31)*(DC3:DC42=AO34)*DB3:DB42)+SUMPRODUCT((CZ3:CZ42=AO32)*(DC3:DC42=AO34)*DB3:DB42)+SUMPRODUCT((CZ3:CZ42=AO33)*(DC3:DC42=AO34)*DB3:DB42)</f>
        <v>0</v>
      </c>
      <c r="AT34" s="21">
        <f>SUMPRODUCT((CZ3:CZ42=AO34)*(DC3:DC42=AO35)*DB3:DB42)+SUMPRODUCT((CZ3:CZ42=AO34)*(DC3:DC42=AO31)*DB3:DB42)+SUMPRODUCT((CZ3:CZ42=AO34)*(DC3:DC42=AO32)*DB3:DB42)+SUMPRODUCT((CZ3:CZ42=AO34)*(DC3:DC42=AO33)*DB3:DB42)+SUMPRODUCT((CZ3:CZ42=AO35)*(DC3:DC42=AO34)*DA3:DA42)+SUMPRODUCT((CZ3:CZ42=AO31)*(DC3:DC42=AO34)*DA3:DA42)+SUMPRODUCT((CZ3:CZ42=AO32)*(DC3:DC42=AO34)*DA3:DA42)+SUMPRODUCT((CZ3:CZ42=AO33)*(DC3:DC42=AO34)*DA3:DA42)</f>
        <v>0</v>
      </c>
      <c r="AU34" s="21">
        <f>AS34-AT34+1000</f>
        <v>1000</v>
      </c>
      <c r="AV34" s="21" t="str">
        <f t="shared" si="52"/>
        <v/>
      </c>
      <c r="AW34" s="21" t="str">
        <f>IF(AO34&lt;&gt;"",VLOOKUP(AO34,B4:H40,7,FALSE),"")</f>
        <v/>
      </c>
      <c r="AX34" s="21" t="str">
        <f>IF(AO34&lt;&gt;"",VLOOKUP(AO34,B4:H40,5,FALSE),"")</f>
        <v/>
      </c>
      <c r="AY34" s="21" t="str">
        <f>IF(AO34&lt;&gt;"",VLOOKUP(AO34,B4:J40,9,FALSE),"")</f>
        <v/>
      </c>
      <c r="AZ34" s="21" t="str">
        <f t="shared" si="53"/>
        <v/>
      </c>
      <c r="BA34" s="21" t="str">
        <f>IF(AO34&lt;&gt;"",RANK(AZ34,AZ31:AZ35),"")</f>
        <v/>
      </c>
      <c r="BB34" s="21" t="str">
        <f>IF(AO34&lt;&gt;"",SUMPRODUCT((AZ31:AZ35=AZ34)*(AU31:AU35&gt;AU34)),"")</f>
        <v/>
      </c>
      <c r="BC34" s="21" t="str">
        <f>IF(AO34&lt;&gt;"",SUMPRODUCT((AZ31:AZ35=AZ34)*(AU31:AU35=AU34)*(AS31:AS35&gt;AS34)),"")</f>
        <v/>
      </c>
      <c r="BD34" s="21" t="str">
        <f>IF(AO34&lt;&gt;"",SUMPRODUCT((AZ31:AZ35=AZ34)*(AU31:AU35=AU34)*(AS31:AS35=AS34)*(AW31:AW35&gt;AW34)),"")</f>
        <v/>
      </c>
      <c r="BE34" s="21" t="str">
        <f>IF(AO34&lt;&gt;"",SUMPRODUCT((AZ31:AZ35=AZ34)*(AU31:AU35=AU34)*(AS31:AS35=AS34)*(AW31:AW35=AW34)*(AX31:AX35&gt;AX34)),"")</f>
        <v/>
      </c>
      <c r="BF34" s="21" t="str">
        <f>IF(AO34&lt;&gt;"",SUMPRODUCT((AZ31:AZ35=AZ34)*(AU31:AU35=AU34)*(AS31:AS35=AS34)*(AW31:AW35=AW34)*(AX31:AX35=AX34)*(AY31:AY35&gt;AY34)),"")</f>
        <v/>
      </c>
      <c r="BG34" s="21" t="str">
        <f>IF(AO34&lt;&gt;"",IF(BG74&lt;&gt;"",IF(AN70=3,BG74,BG74+AN70),SUM(BA34:BF34)+1),"")</f>
        <v/>
      </c>
      <c r="BH34" s="21" t="str">
        <f>IF(AO34&lt;&gt;"",INDEX(AO32:AO35,MATCH(4,BG32:BG35,0),0),"")</f>
        <v/>
      </c>
      <c r="BI34" s="21" t="str">
        <f>IF(R32&lt;&gt;"",R32,"")</f>
        <v/>
      </c>
      <c r="BJ34" s="21">
        <f>SUMPRODUCT((CZ3:CZ42=BI34)*(DC3:DC42=BI35)*(DD3:DD42="W"))+SUMPRODUCT((CZ3:CZ42=BI34)*(DC3:DC42=BI36)*(DD3:DD42="W"))+SUMPRODUCT((CZ3:CZ42=BI34)*(DC3:DC42=BI33)*(DD3:DD42="W"))+SUMPRODUCT((CZ3:CZ42=BI35)*(DC3:DC42=BI34)*(DE3:DE42="W"))+SUMPRODUCT((CZ3:CZ42=BI36)*(DC3:DC42=BI34)*(DE3:DE42="W"))+SUMPRODUCT((CZ3:CZ42=BI33)*(DC3:DC42=BI34)*(DE3:DE42="W"))</f>
        <v>0</v>
      </c>
      <c r="BK34" s="21">
        <f>SUMPRODUCT((CZ3:CZ42=BI34)*(DC3:DC42=BI35)*(DD3:DD42="D"))+SUMPRODUCT((CZ3:CZ42=BI34)*(DC3:DC42=BI36)*(DD3:DD42="D"))+SUMPRODUCT((CZ3:CZ42=BI34)*(DC3:DC42=BI33)*(DD3:DD42="D"))+SUMPRODUCT((CZ3:CZ42=BI35)*(DC3:DC42=BI34)*(DD3:DD42="D"))+SUMPRODUCT((CZ3:CZ42=BI36)*(DC3:DC42=BI34)*(DD3:DD42="D"))+SUMPRODUCT((CZ3:CZ42=BI33)*(DC3:DC42=BI34)*(DD3:DD42="D"))</f>
        <v>0</v>
      </c>
      <c r="BL34" s="21">
        <f>SUMPRODUCT((CZ3:CZ42=BI34)*(DC3:DC42=BI35)*(DD3:DD42="L"))+SUMPRODUCT((CZ3:CZ42=BI34)*(DC3:DC42=BI36)*(DD3:DD42="L"))+SUMPRODUCT((CZ3:CZ42=BI34)*(DC3:DC42=BI33)*(DD3:DD42="L"))+SUMPRODUCT((CZ3:CZ42=BI35)*(DC3:DC42=BI34)*(DE3:DE42="L"))+SUMPRODUCT((CZ3:CZ42=BI36)*(DC3:DC42=BI34)*(DE3:DE42="L"))+SUMPRODUCT((CZ3:CZ42=BI33)*(DC3:DC42=BI34)*(DE3:DE42="L"))</f>
        <v>0</v>
      </c>
      <c r="BM34" s="21">
        <f>SUMPRODUCT((CZ3:CZ42=BI34)*(DC3:DC42=BI35)*DA3:DA42)+SUMPRODUCT((CZ3:CZ42=BI34)*(DC3:DC42=BI31)*DA3:DA42)+SUMPRODUCT((CZ3:CZ42=BI34)*(DC3:DC42=BI32)*DA3:DA42)+SUMPRODUCT((CZ3:CZ42=BI34)*(DC3:DC42=BI33)*DA3:DA42)+SUMPRODUCT((CZ3:CZ42=BI35)*(DC3:DC42=BI34)*DB3:DB42)+SUMPRODUCT((CZ3:CZ42=BI31)*(DC3:DC42=BI34)*DB3:DB42)+SUMPRODUCT((CZ3:CZ42=BI32)*(DC3:DC42=BI34)*DB3:DB42)+SUMPRODUCT((CZ3:CZ42=BI33)*(DC3:DC42=BI34)*DB3:DB42)</f>
        <v>0</v>
      </c>
      <c r="BN34" s="21">
        <f>SUMPRODUCT((CZ3:CZ42=BI34)*(DC3:DC42=BI35)*DB3:DB42)+SUMPRODUCT((CZ3:CZ42=BI34)*(DC3:DC42=BI31)*DB3:DB42)+SUMPRODUCT((CZ3:CZ42=BI34)*(DC3:DC42=BI32)*DB3:DB42)+SUMPRODUCT((CZ3:CZ42=BI34)*(DC3:DC42=BI33)*DB3:DB42)+SUMPRODUCT((CZ3:CZ42=BI35)*(DC3:DC42=BI34)*DA3:DA42)+SUMPRODUCT((CZ3:CZ42=BI31)*(DC3:DC42=BI34)*DA3:DA42)+SUMPRODUCT((CZ3:CZ42=BI32)*(DC3:DC42=BI34)*DA3:DA42)+SUMPRODUCT((CZ3:CZ42=BI33)*(DC3:DC42=BI34)*DA3:DA42)</f>
        <v>0</v>
      </c>
      <c r="BO34" s="21">
        <f>BM34-BN34+1000</f>
        <v>1000</v>
      </c>
      <c r="BP34" s="21" t="str">
        <f t="shared" si="54"/>
        <v/>
      </c>
      <c r="BQ34" s="21" t="str">
        <f>IF(BI34&lt;&gt;"",VLOOKUP(BI34,B4:H40,7,FALSE),"")</f>
        <v/>
      </c>
      <c r="BR34" s="21" t="str">
        <f>IF(BI34&lt;&gt;"",VLOOKUP(BI34,B4:H40,5,FALSE),"")</f>
        <v/>
      </c>
      <c r="BS34" s="21" t="str">
        <f>IF(BI34&lt;&gt;"",VLOOKUP(BI34,B4:J40,9,FALSE),"")</f>
        <v/>
      </c>
      <c r="BT34" s="21" t="str">
        <f t="shared" si="55"/>
        <v/>
      </c>
      <c r="BU34" s="21" t="str">
        <f>IF(BI34&lt;&gt;"",RANK(BT34,BT32:BT35),"")</f>
        <v/>
      </c>
      <c r="BV34" s="21" t="str">
        <f>IF(BI34&lt;&gt;"",SUMPRODUCT((BT31:BT35=BT34)*(BO31:BO35&gt;BO34)),"")</f>
        <v/>
      </c>
      <c r="BW34" s="21" t="str">
        <f>IF(BI34&lt;&gt;"",SUMPRODUCT((BT31:BT35=BT34)*(BO31:BO35=BO34)*(BM31:BM35&gt;BM34)),"")</f>
        <v/>
      </c>
      <c r="BX34" s="21" t="str">
        <f>IF(BI34&lt;&gt;"",SUMPRODUCT((BT31:BT35=BT34)*(BO31:BO35=BO34)*(BM31:BM35=BM34)*(BQ31:BQ35&gt;BQ34)),"")</f>
        <v/>
      </c>
      <c r="BY34" s="21" t="str">
        <f>IF(BI34&lt;&gt;"",SUMPRODUCT((BT31:BT35=BT34)*(BO31:BO35=BO34)*(BM31:BM35=BM34)*(BQ31:BQ35=BQ34)*(BR31:BR35&gt;BR34)),"")</f>
        <v/>
      </c>
      <c r="BZ34" s="21" t="str">
        <f>IF(BI34&lt;&gt;"",SUMPRODUCT((BT31:BT35=BT34)*(BO31:BO35=BO34)*(BM31:BM35=BM34)*(BQ31:BQ35=BQ34)*(BR31:BR35=BR34)*(BS31:BS35&gt;BS34)),"")</f>
        <v/>
      </c>
      <c r="CA34" s="21" t="str">
        <f>IF(BI34&lt;&gt;"",SUM(BU34:BZ34)+2,"")</f>
        <v/>
      </c>
      <c r="CB34" s="21" t="str">
        <f>IF(BI34&lt;&gt;"",INDEX(BI33:BI35,MATCH(4,CA33:CA35,0),0),"")</f>
        <v/>
      </c>
      <c r="CC34" s="21" t="str">
        <f>IF(S31&lt;&gt;"",S31,"")</f>
        <v/>
      </c>
      <c r="CD34" s="21">
        <f>SUMPRODUCT((CZ3:CZ42=U34)*(DC3:DC42=U35)*(DD3:DD42="W"))+SUMPRODUCT((CZ3:CZ42=U34)*(DC3:DC42=U31)*(DD3:DD42="W"))+SUMPRODUCT((CZ3:CZ42=U34)*(DC3:DC42=U32)*(DD3:DD42="W"))+SUMPRODUCT((CZ3:CZ42=U34)*(DC3:DC42=U33)*(DD3:DD42="W"))+SUMPRODUCT((CZ3:CZ42=U35)*(DC3:DC42=U34)*(DE3:DE42="W"))+SUMPRODUCT((CZ3:CZ42=U31)*(DC3:DC42=U34)*(DE3:DE42="W"))+SUMPRODUCT((CZ3:CZ42=U32)*(DC3:DC42=U34)*(DE3:DE42="W"))+SUMPRODUCT((CZ3:CZ42=U33)*(DC3:DC42=U34)*(DE3:DE42="W"))</f>
        <v>0</v>
      </c>
      <c r="CE34" s="21">
        <f>SUMPRODUCT((CZ3:CZ42=U34)*(DC3:DC42=U35)*(DD3:DD42="D"))+SUMPRODUCT((CZ3:CZ42=U34)*(DC3:DC42=U31)*(DD3:DD42="D"))+SUMPRODUCT((CZ3:CZ42=U34)*(DC3:DC42=U32)*(DD3:DD42="D"))+SUMPRODUCT((CZ3:CZ42=U34)*(DC3:DC42=U33)*(DD3:DD42="D"))+SUMPRODUCT((CZ3:CZ42=U35)*(DC3:DC42=U34)*(DD3:DD42="D"))+SUMPRODUCT((CZ3:CZ42=U31)*(DC3:DC42=U34)*(DD3:DD42="D"))+SUMPRODUCT((CZ3:CZ42=U32)*(DC3:DC42=U34)*(DD3:DD42="D"))+SUMPRODUCT((CZ3:CZ42=U33)*(DC3:DC42=U34)*(DD3:DD42="D"))</f>
        <v>0</v>
      </c>
      <c r="CF34" s="21">
        <f>SUMPRODUCT((CZ3:CZ42=U34)*(DC3:DC42=U35)*(DD3:DD42="L"))+SUMPRODUCT((CZ3:CZ42=U34)*(DC3:DC42=U31)*(DD3:DD42="L"))+SUMPRODUCT((CZ3:CZ42=U34)*(DC3:DC42=U32)*(DD3:DD42="L"))+SUMPRODUCT((CZ3:CZ42=U34)*(DC3:DC42=U33)*(DD3:DD42="L"))+SUMPRODUCT((CZ3:CZ42=U35)*(DC3:DC42=U34)*(DE3:DE42="L"))+SUMPRODUCT((CZ3:CZ42=U31)*(DC3:DC42=U34)*(DE3:DE42="L"))+SUMPRODUCT((CZ3:CZ42=U32)*(DC3:DC42=U34)*(DE3:DE42="L"))+SUMPRODUCT((CZ3:CZ42=U33)*(DC3:DC42=U34)*(DE3:DE42="L"))</f>
        <v>0</v>
      </c>
      <c r="CG34" s="21">
        <f>SUMPRODUCT((CZ3:CZ42=CC34)*(DC3:DC42=CC35)*DA3:DA42)+SUMPRODUCT((CZ3:CZ42=CC34)*(DC3:DC42=CC31)*DA3:DA42)+SUMPRODUCT((CZ3:CZ42=CC34)*(DC3:DC42=CC32)*DA3:DA42)+SUMPRODUCT((CZ3:CZ42=CC34)*(DC3:DC42=CC33)*DA3:DA42)+SUMPRODUCT((CZ3:CZ42=CC35)*(DC3:DC42=CC34)*DB3:DB42)+SUMPRODUCT((CZ3:CZ42=CC31)*(DC3:DC42=CC34)*DB3:DB42)+SUMPRODUCT((CZ3:CZ42=CC32)*(DC3:DC42=CC34)*DB3:DB42)+SUMPRODUCT((CZ3:CZ42=CC33)*(DC3:DC42=CC34)*DB3:DB42)</f>
        <v>0</v>
      </c>
      <c r="CH34" s="21">
        <f>SUMPRODUCT((CZ3:CZ42=CC34)*(DC3:DC42=CC35)*DB3:DB42)+SUMPRODUCT((CZ3:CZ42=CC34)*(DC3:DC42=CC31)*DB3:DB42)+SUMPRODUCT((CZ3:CZ42=CC34)*(DC3:DC42=CC32)*DB3:DB42)+SUMPRODUCT((CZ3:CZ42=CC34)*(DC3:DC42=CC33)*DB3:DB42)+SUMPRODUCT((CZ3:CZ42=CC35)*(DC3:DC42=CC34)*DA3:DA42)+SUMPRODUCT((CZ3:CZ42=CC31)*(DC3:DC42=CC34)*DA3:DA42)+SUMPRODUCT((CZ3:CZ42=CC32)*(DC3:DC42=CC34)*DA3:DA42)+SUMPRODUCT((CZ3:CZ42=CC33)*(DC3:DC42=CC34)*DA3:DA42)</f>
        <v>0</v>
      </c>
      <c r="CI34" s="21">
        <f>CG34-CH34+1000</f>
        <v>1000</v>
      </c>
      <c r="CJ34" s="21" t="str">
        <f t="shared" ref="CJ34" si="56">IF(CC34&lt;&gt;"",CD34*3+CE34*1,"")</f>
        <v/>
      </c>
      <c r="CK34" s="21" t="str">
        <f>IF(CC34&lt;&gt;"",VLOOKUP(CC34,B4:H40,7,FALSE),"")</f>
        <v/>
      </c>
      <c r="CL34" s="21" t="str">
        <f>IF(CC34&lt;&gt;"",VLOOKUP(CC34,B4:H40,5,FALSE),"")</f>
        <v/>
      </c>
      <c r="CM34" s="21" t="str">
        <f>IF(CC34&lt;&gt;"",VLOOKUP(CC34,B4:J40,9,FALSE),"")</f>
        <v/>
      </c>
      <c r="CN34" s="21" t="str">
        <f t="shared" ref="CN34" si="57">CJ34</f>
        <v/>
      </c>
      <c r="CO34" s="21" t="str">
        <f>IF(CC34&lt;&gt;"",RANK(CN34,AF31:AF35),"")</f>
        <v/>
      </c>
      <c r="CP34" s="21" t="str">
        <f>IF(CC34&lt;&gt;"",SUMPRODUCT((CN31:CN35=CN34)*(CI31:CI35&gt;CI34)),"")</f>
        <v/>
      </c>
      <c r="CQ34" s="21" t="str">
        <f>IF(CC34&lt;&gt;"",SUMPRODUCT((CN31:CN35=CN34)*(CI31:CI35=CI34)*(CG31:CG35&gt;CG34)),"")</f>
        <v/>
      </c>
      <c r="CR34" s="21" t="str">
        <f>IF(CC34&lt;&gt;"",SUMPRODUCT((CN31:CN35=CN34)*(CI31:CI35=CI34)*(CG31:CG35=CG34)*(CK31:CK35&gt;CK34)),"")</f>
        <v/>
      </c>
      <c r="CS34" s="21" t="str">
        <f>IF(CC34&lt;&gt;"",SUMPRODUCT((CN31:CN35=CN34)*(CI31:CI35=CI34)*(CG31:CG35=CG34)*(CK31:CK35=CK34)*(CL31:CL35&gt;CL34)),"")</f>
        <v/>
      </c>
      <c r="CT34" s="21" t="str">
        <f>IF(CC34&lt;&gt;"",SUMPRODUCT((CN31:CN35=CN34)*(CI31:CI35=CI34)*(CG31:CG35=CG34)*(CK31:CK35=CK34)*(CL31:CL35=CL34)*(CM31:CM35&gt;CM34)),"")</f>
        <v/>
      </c>
      <c r="CU34" s="21" t="str">
        <f>IF(CC34&lt;&gt;"",SUM(CO34:CT34)+3,"")</f>
        <v/>
      </c>
      <c r="CV34" s="21" t="str">
        <f>IF(CC34&lt;&gt;"",INDEX(U31:U35,MATCH(1,AM31:AM35,0),0),"")</f>
        <v/>
      </c>
      <c r="CW34" s="21" t="str">
        <f>IF(CV34&lt;&gt;"",CV34,IF(CB34&lt;&gt;"",CB34,IF(BH34&lt;&gt;"",BH34,IF(AN34&lt;&gt;"",AN34,N34))))</f>
        <v>Poland</v>
      </c>
      <c r="CX34" s="21">
        <v>4</v>
      </c>
      <c r="CY34" s="21">
        <v>32</v>
      </c>
      <c r="CZ34" s="21" t="str">
        <f>Matches!E42</f>
        <v>Czech Republic</v>
      </c>
      <c r="DA34" s="21">
        <f>IF(AND(Matches!F42&lt;&gt;"",Matches!G42&lt;&gt;""),Matches!F42,0)</f>
        <v>0</v>
      </c>
      <c r="DB34" s="21">
        <f>IF(AND(Matches!G42&lt;&gt;"",Matches!F42&lt;&gt;""),Matches!G42,0)</f>
        <v>1</v>
      </c>
      <c r="DC34" s="21" t="str">
        <f>Matches!H42</f>
        <v>England</v>
      </c>
      <c r="DD34" s="21" t="str">
        <f>IF(AND(Matches!F42&lt;&gt;"",Matches!G42&lt;&gt;""),IF(DA34&gt;DB34,"W",IF(DA34=DB34,"D","L")),"")</f>
        <v>L</v>
      </c>
      <c r="DE34" s="21" t="str">
        <f t="shared" si="0"/>
        <v>W</v>
      </c>
      <c r="DF34" s="21"/>
      <c r="DG34" s="21"/>
      <c r="DH34" s="21"/>
      <c r="DI34" s="212"/>
      <c r="DJ34" s="212"/>
      <c r="DK34" s="212"/>
      <c r="DL34" s="212"/>
      <c r="DM34" s="212"/>
      <c r="DN34" s="212"/>
      <c r="DO34" s="212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  <c r="FV34" s="21"/>
      <c r="FW34" s="21"/>
      <c r="FX34" s="21"/>
      <c r="FY34" s="21"/>
      <c r="FZ34" s="21"/>
      <c r="GA34" s="21"/>
      <c r="GB34" s="21"/>
      <c r="GC34" s="21"/>
      <c r="GD34" s="21"/>
      <c r="GE34" s="21"/>
      <c r="GF34" s="21"/>
      <c r="GG34" s="21"/>
      <c r="GH34" s="21"/>
      <c r="GI34" s="21"/>
      <c r="GJ34" s="21"/>
      <c r="GK34" s="21"/>
      <c r="GL34" s="21"/>
      <c r="GM34" s="21"/>
      <c r="GN34" s="21"/>
      <c r="GO34" s="21"/>
      <c r="GP34" s="21"/>
      <c r="GQ34" s="21"/>
      <c r="GR34" s="21"/>
      <c r="GS34" s="21"/>
      <c r="GT34" s="21"/>
      <c r="GU34" s="21"/>
      <c r="GV34" s="21"/>
      <c r="GW34" s="21"/>
      <c r="GX34" s="21"/>
      <c r="GY34" s="21"/>
      <c r="GZ34" s="21"/>
      <c r="HA34" s="21"/>
      <c r="HB34" s="21"/>
      <c r="HC34" s="21"/>
      <c r="HD34" s="21"/>
      <c r="HE34" s="21"/>
      <c r="HF34" s="21"/>
      <c r="HG34" s="21"/>
      <c r="HH34" s="21"/>
      <c r="HI34" s="21"/>
      <c r="HJ34" s="21"/>
      <c r="HK34" s="21"/>
      <c r="HL34" s="21"/>
      <c r="HM34" s="21"/>
      <c r="HN34" s="21"/>
      <c r="HO34" s="21"/>
      <c r="HP34" s="21"/>
      <c r="HQ34" s="21"/>
      <c r="HR34" s="21"/>
      <c r="HS34" s="21"/>
      <c r="HT34" s="21"/>
      <c r="HU34" s="21"/>
      <c r="HV34" s="21"/>
      <c r="HW34" s="21"/>
      <c r="HX34" s="21"/>
      <c r="HY34" s="214"/>
      <c r="HZ34" s="214"/>
      <c r="IA34" s="21"/>
      <c r="IB34" s="21"/>
      <c r="IC34" s="21"/>
      <c r="ID34" s="21"/>
      <c r="IE34" s="21"/>
      <c r="IF34" s="21"/>
      <c r="IG34" s="212"/>
      <c r="IH34" s="212"/>
      <c r="II34" s="212"/>
      <c r="IJ34" s="212"/>
      <c r="IK34" s="212"/>
      <c r="IL34" s="212"/>
      <c r="IM34" s="212"/>
      <c r="IN34" s="21"/>
      <c r="IO34" s="21"/>
      <c r="IP34" s="21"/>
      <c r="IQ34" s="21"/>
      <c r="IR34" s="21"/>
      <c r="IS34" s="21"/>
      <c r="IT34" s="21"/>
      <c r="IU34" s="21"/>
      <c r="IV34" s="21"/>
    </row>
    <row r="35" spans="1:256" ht="14" x14ac:dyDescent="0.2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>
        <v>33</v>
      </c>
      <c r="CZ35" s="21" t="str">
        <f>Matches!E43</f>
        <v>Sweden</v>
      </c>
      <c r="DA35" s="21">
        <f>IF(AND(Matches!F43&lt;&gt;"",Matches!G43&lt;&gt;""),Matches!F43,0)</f>
        <v>3</v>
      </c>
      <c r="DB35" s="21">
        <f>IF(AND(Matches!G43&lt;&gt;"",Matches!F43&lt;&gt;""),Matches!G43,0)</f>
        <v>2</v>
      </c>
      <c r="DC35" s="21" t="str">
        <f>Matches!H43</f>
        <v>Poland</v>
      </c>
      <c r="DD35" s="21" t="str">
        <f>IF(AND(Matches!F43&lt;&gt;"",Matches!G43&lt;&gt;""),IF(DA35&gt;DB35,"W",IF(DA35=DB35,"D","L")),"")</f>
        <v>W</v>
      </c>
      <c r="DE35" s="21" t="str">
        <f t="shared" si="0"/>
        <v>L</v>
      </c>
      <c r="DF35" s="21"/>
      <c r="DG35" s="21"/>
      <c r="DH35" s="21"/>
      <c r="DI35" s="212"/>
      <c r="DJ35" s="212"/>
      <c r="DK35" s="212"/>
      <c r="DL35" s="212"/>
      <c r="DM35" s="212"/>
      <c r="DN35" s="212"/>
      <c r="DO35" s="212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21"/>
      <c r="FM35" s="21"/>
      <c r="FN35" s="21"/>
      <c r="FO35" s="21"/>
      <c r="FP35" s="21"/>
      <c r="FQ35" s="21"/>
      <c r="FR35" s="21"/>
      <c r="FS35" s="21"/>
      <c r="FT35" s="21"/>
      <c r="FU35" s="21"/>
      <c r="FV35" s="21"/>
      <c r="FW35" s="21"/>
      <c r="FX35" s="21"/>
      <c r="FY35" s="21"/>
      <c r="FZ35" s="21"/>
      <c r="GA35" s="21"/>
      <c r="GB35" s="21"/>
      <c r="GC35" s="21"/>
      <c r="GD35" s="21"/>
      <c r="GE35" s="21"/>
      <c r="GF35" s="21"/>
      <c r="GG35" s="21"/>
      <c r="GH35" s="21"/>
      <c r="GI35" s="21"/>
      <c r="GJ35" s="21"/>
      <c r="GK35" s="21"/>
      <c r="GL35" s="21"/>
      <c r="GM35" s="21"/>
      <c r="GN35" s="21"/>
      <c r="GO35" s="21"/>
      <c r="GP35" s="21"/>
      <c r="GQ35" s="21"/>
      <c r="GR35" s="21"/>
      <c r="GS35" s="21"/>
      <c r="GT35" s="21"/>
      <c r="GU35" s="21"/>
      <c r="GV35" s="21"/>
      <c r="GW35" s="21"/>
      <c r="GX35" s="21"/>
      <c r="GY35" s="21"/>
      <c r="GZ35" s="21"/>
      <c r="HA35" s="21"/>
      <c r="HB35" s="21"/>
      <c r="HC35" s="21"/>
      <c r="HD35" s="21"/>
      <c r="HE35" s="21"/>
      <c r="HF35" s="21"/>
      <c r="HG35" s="21"/>
      <c r="HH35" s="21"/>
      <c r="HI35" s="21"/>
      <c r="HJ35" s="21"/>
      <c r="HK35" s="21"/>
      <c r="HL35" s="21"/>
      <c r="HM35" s="21"/>
      <c r="HN35" s="21"/>
      <c r="HO35" s="21"/>
      <c r="HP35" s="21"/>
      <c r="HQ35" s="21"/>
      <c r="HR35" s="21"/>
      <c r="HS35" s="21"/>
      <c r="HT35" s="21"/>
      <c r="HU35" s="21"/>
      <c r="HV35" s="21"/>
      <c r="HW35" s="21"/>
      <c r="HX35" s="21"/>
      <c r="HY35" s="214"/>
      <c r="HZ35" s="214"/>
      <c r="IA35" s="21"/>
      <c r="IB35" s="21"/>
      <c r="IC35" s="21"/>
      <c r="ID35" s="21"/>
      <c r="IE35" s="21"/>
      <c r="IF35" s="21"/>
      <c r="IG35" s="212"/>
      <c r="IH35" s="212"/>
      <c r="II35" s="212"/>
      <c r="IJ35" s="212"/>
      <c r="IK35" s="212"/>
      <c r="IL35" s="212"/>
      <c r="IM35" s="212"/>
      <c r="IN35" s="21"/>
      <c r="IO35" s="21"/>
      <c r="IP35" s="21"/>
      <c r="IQ35" s="21"/>
      <c r="IR35" s="21"/>
      <c r="IS35" s="21"/>
      <c r="IT35" s="21"/>
      <c r="IU35" s="21"/>
      <c r="IV35" s="21"/>
    </row>
    <row r="36" spans="1:256" ht="14" x14ac:dyDescent="0.2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>
        <v>34</v>
      </c>
      <c r="CZ36" s="21" t="str">
        <f>Matches!E44</f>
        <v>Slovakia</v>
      </c>
      <c r="DA36" s="21">
        <f>IF(AND(Matches!F44&lt;&gt;"",Matches!G44&lt;&gt;""),Matches!F44,0)</f>
        <v>0</v>
      </c>
      <c r="DB36" s="21">
        <f>IF(AND(Matches!G44&lt;&gt;"",Matches!F44&lt;&gt;""),Matches!G44,0)</f>
        <v>5</v>
      </c>
      <c r="DC36" s="21" t="str">
        <f>Matches!H44</f>
        <v>Spain</v>
      </c>
      <c r="DD36" s="21" t="str">
        <f>IF(AND(Matches!F44&lt;&gt;"",Matches!G44&lt;&gt;""),IF(DA36&gt;DB36,"W",IF(DA36=DB36,"D","L")),"")</f>
        <v>L</v>
      </c>
      <c r="DE36" s="21" t="str">
        <f t="shared" si="0"/>
        <v>W</v>
      </c>
      <c r="DF36" s="21"/>
      <c r="DG36" s="21"/>
      <c r="DH36" s="21"/>
      <c r="DI36" s="212"/>
      <c r="DJ36" s="212"/>
      <c r="DK36" s="212"/>
      <c r="DL36" s="212"/>
      <c r="DM36" s="212"/>
      <c r="DN36" s="212"/>
      <c r="DO36" s="212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  <c r="FT36" s="21"/>
      <c r="FU36" s="21"/>
      <c r="FV36" s="21"/>
      <c r="FW36" s="21"/>
      <c r="FX36" s="21"/>
      <c r="FY36" s="21"/>
      <c r="FZ36" s="21"/>
      <c r="GA36" s="21"/>
      <c r="GB36" s="21"/>
      <c r="GC36" s="21"/>
      <c r="GD36" s="21"/>
      <c r="GE36" s="21"/>
      <c r="GF36" s="21"/>
      <c r="GG36" s="21"/>
      <c r="GH36" s="21"/>
      <c r="GI36" s="21"/>
      <c r="GJ36" s="21"/>
      <c r="GK36" s="21"/>
      <c r="GL36" s="21"/>
      <c r="GM36" s="21"/>
      <c r="GN36" s="21"/>
      <c r="GO36" s="21"/>
      <c r="GP36" s="21"/>
      <c r="GQ36" s="21"/>
      <c r="GR36" s="21"/>
      <c r="GS36" s="21"/>
      <c r="GT36" s="21"/>
      <c r="GU36" s="21"/>
      <c r="GV36" s="21"/>
      <c r="GW36" s="21"/>
      <c r="GX36" s="21"/>
      <c r="GY36" s="21"/>
      <c r="GZ36" s="21"/>
      <c r="HA36" s="21"/>
      <c r="HB36" s="21"/>
      <c r="HC36" s="21"/>
      <c r="HD36" s="21"/>
      <c r="HE36" s="21"/>
      <c r="HF36" s="21"/>
      <c r="HG36" s="21"/>
      <c r="HH36" s="21"/>
      <c r="HI36" s="21"/>
      <c r="HJ36" s="21"/>
      <c r="HK36" s="21"/>
      <c r="HL36" s="21"/>
      <c r="HM36" s="21"/>
      <c r="HN36" s="21"/>
      <c r="HO36" s="21"/>
      <c r="HP36" s="21"/>
      <c r="HQ36" s="21"/>
      <c r="HR36" s="21"/>
      <c r="HS36" s="21"/>
      <c r="HT36" s="21"/>
      <c r="HU36" s="21"/>
      <c r="HV36" s="21"/>
      <c r="HW36" s="21"/>
      <c r="HX36" s="21"/>
      <c r="HY36" s="214"/>
      <c r="HZ36" s="214"/>
      <c r="IA36" s="21"/>
      <c r="IB36" s="21"/>
      <c r="IC36" s="21"/>
      <c r="ID36" s="21"/>
      <c r="IE36" s="21"/>
      <c r="IF36" s="21"/>
      <c r="IG36" s="212"/>
      <c r="IH36" s="212"/>
      <c r="II36" s="212"/>
      <c r="IJ36" s="212"/>
      <c r="IK36" s="212"/>
      <c r="IL36" s="212"/>
      <c r="IM36" s="212"/>
      <c r="IN36" s="21"/>
      <c r="IO36" s="21"/>
      <c r="IP36" s="21"/>
      <c r="IQ36" s="21"/>
      <c r="IR36" s="21"/>
      <c r="IS36" s="21"/>
      <c r="IT36" s="21"/>
      <c r="IU36" s="21"/>
      <c r="IV36" s="21"/>
    </row>
    <row r="37" spans="1:256" ht="14" x14ac:dyDescent="0.2">
      <c r="A37" s="21">
        <f>VLOOKUP(B37,CW37:CX41,2,FALSE)</f>
        <v>1</v>
      </c>
      <c r="B37" s="21" t="str">
        <f>Matches!AH30</f>
        <v>France</v>
      </c>
      <c r="C37" s="21">
        <f>SUMPRODUCT((CZ3:CZ42=B37)*(DD3:DD42="W"))+SUMPRODUCT((DC3:DC42=B37)*(DE3:DE42="W"))</f>
        <v>1</v>
      </c>
      <c r="D37" s="21">
        <f>SUMPRODUCT((CZ3:CZ42=B37)*(DD3:DD42="D"))+SUMPRODUCT((DC3:DC42=B37)*(DE3:DE42="D"))</f>
        <v>2</v>
      </c>
      <c r="E37" s="21">
        <f>SUMPRODUCT((CZ3:CZ42=B37)*(DD3:DD42="L"))+SUMPRODUCT((DC3:DC42=B37)*(DE3:DE42="L"))</f>
        <v>0</v>
      </c>
      <c r="F37" s="21">
        <f>SUMIF(CZ3:CZ60,B37,DA3:DA60)+SUMIF(DC3:DC60,B37,DB3:DB60)</f>
        <v>4</v>
      </c>
      <c r="G37" s="21">
        <f>SUMIF(DC3:DC60,B37,DA3:DA60)+SUMIF(CZ3:CZ60,B37,DB3:DB60)</f>
        <v>3</v>
      </c>
      <c r="H37" s="21">
        <f t="shared" ref="H37:H40" si="58">F37-G37+1000</f>
        <v>1001</v>
      </c>
      <c r="I37" s="21">
        <f t="shared" ref="I37:I40" si="59">C37*3+D37*1</f>
        <v>5</v>
      </c>
      <c r="J37" s="21">
        <v>49</v>
      </c>
      <c r="K37" s="21">
        <f>IF(COUNTIF(I37:I41,4)&lt;&gt;4,RANK(I37,I37:I41),I77)</f>
        <v>1</v>
      </c>
      <c r="L37" s="21"/>
      <c r="M37" s="21">
        <f>SUMPRODUCT((K37:K40=K37)*(J37:J40&lt;J37))+K37</f>
        <v>1</v>
      </c>
      <c r="N37" s="21" t="str">
        <f>INDEX(B37:B41,MATCH(1,M37:M41,0),0)</f>
        <v>France</v>
      </c>
      <c r="O37" s="21">
        <f>INDEX(K37:K41,MATCH(N37,B37:B41,0),0)</f>
        <v>1</v>
      </c>
      <c r="P37" s="21" t="str">
        <f>IF(O38=1,N37,"")</f>
        <v/>
      </c>
      <c r="Q37" s="21" t="str">
        <f>IF(O39=2,N38,"")</f>
        <v>Portugal</v>
      </c>
      <c r="R37" s="21" t="str">
        <f>IF(O40=3,N39,"")</f>
        <v/>
      </c>
      <c r="S37" s="21" t="str">
        <f>IF(O41=4,N40,"")</f>
        <v/>
      </c>
      <c r="T37" s="21"/>
      <c r="U37" s="21" t="str">
        <f>IF(P37&lt;&gt;"",P37,"")</f>
        <v/>
      </c>
      <c r="V37" s="21">
        <f>SUMPRODUCT((CZ3:CZ42=U37)*(DC3:DC42=U38)*(DD3:DD42="W"))+SUMPRODUCT((CZ3:CZ42=U37)*(DC3:DC42=U39)*(DD3:DD42="W"))+SUMPRODUCT((CZ3:CZ42=U37)*(DC3:DC42=U40)*(DD3:DD42="W"))+SUMPRODUCT((CZ3:CZ42=U37)*(DC3:DC42=U41)*(DD3:DD42="W"))+SUMPRODUCT((CZ3:CZ42=U38)*(DC3:DC42=U37)*(DE3:DE42="W"))+SUMPRODUCT((CZ3:CZ42=U39)*(DC3:DC42=U37)*(DE3:DE42="W"))+SUMPRODUCT((CZ3:CZ42=U40)*(DC3:DC42=U37)*(DE3:DE42="W"))+SUMPRODUCT((CZ3:CZ42=U41)*(DC3:DC42=U37)*(DE3:DE42="W"))</f>
        <v>0</v>
      </c>
      <c r="W37" s="21">
        <f>SUMPRODUCT((CZ3:CZ42=U37)*(DC3:DC42=U38)*(DD3:DD42="D"))+SUMPRODUCT((CZ3:CZ42=U37)*(DC3:DC42=U39)*(DD3:DD42="D"))+SUMPRODUCT((CZ3:CZ42=U37)*(DC3:DC42=U40)*(DD3:DD42="D"))+SUMPRODUCT((CZ3:CZ42=U37)*(DC3:DC42=U41)*(DD3:DD42="D"))+SUMPRODUCT((CZ3:CZ42=U38)*(DC3:DC42=U37)*(DD3:DD42="D"))+SUMPRODUCT((CZ3:CZ42=U39)*(DC3:DC42=U37)*(DD3:DD42="D"))+SUMPRODUCT((CZ3:CZ42=U40)*(DC3:DC42=U37)*(DD3:DD42="D"))+SUMPRODUCT((CZ3:CZ42=U41)*(DC3:DC42=U37)*(DD3:DD42="D"))</f>
        <v>0</v>
      </c>
      <c r="X37" s="21">
        <f>SUMPRODUCT((CZ3:CZ42=U37)*(DC3:DC42=U38)*(DD3:DD42="L"))+SUMPRODUCT((CZ3:CZ42=U37)*(DC3:DC42=U39)*(DD3:DD42="L"))+SUMPRODUCT((CZ3:CZ42=U37)*(DC3:DC42=U40)*(DD3:DD42="L"))+SUMPRODUCT((CZ3:CZ42=U37)*(DC3:DC42=U41)*(DD3:DD42="L"))+SUMPRODUCT((CZ3:CZ42=U38)*(DC3:DC42=U37)*(DE3:DE42="L"))+SUMPRODUCT((CZ3:CZ42=U39)*(DC3:DC42=U37)*(DE3:DE42="L"))+SUMPRODUCT((CZ3:CZ42=U40)*(DC3:DC42=U37)*(DE3:DE42="L"))+SUMPRODUCT((CZ3:CZ42=U41)*(DC3:DC42=U37)*(DE3:DE42="L"))</f>
        <v>0</v>
      </c>
      <c r="Y37" s="21">
        <f>SUMPRODUCT((CZ3:CZ42=U37)*(DC3:DC42=U38)*DA3:DA42)+SUMPRODUCT((CZ3:CZ42=U37)*(DC3:DC42=U39)*DA3:DA42)+SUMPRODUCT((CZ3:CZ42=U37)*(DC3:DC42=U40)*DA3:DA42)+SUMPRODUCT((CZ3:CZ42=U37)*(DC3:DC42=U41)*DA3:DA42)+SUMPRODUCT((CZ3:CZ42=U38)*(DC3:DC42=U37)*DB3:DB42)+SUMPRODUCT((CZ3:CZ42=U39)*(DC3:DC42=U37)*DB3:DB42)+SUMPRODUCT((CZ3:CZ42=U40)*(DC3:DC42=U37)*DB3:DB42)+SUMPRODUCT((CZ3:CZ42=U41)*(DC3:DC42=U37)*DB3:DB42)</f>
        <v>0</v>
      </c>
      <c r="Z37" s="21">
        <f>SUMPRODUCT((CZ3:CZ42=U37)*(DC3:DC42=U38)*DB3:DB42)+SUMPRODUCT((CZ3:CZ42=U37)*(DC3:DC42=U39)*DB3:DB42)+SUMPRODUCT((CZ3:CZ42=U37)*(DC3:DC42=U40)*DB3:DB42)+SUMPRODUCT((CZ3:CZ42=U37)*(DC3:DC42=U41)*DB3:DB42)+SUMPRODUCT((CZ3:CZ42=U38)*(DC3:DC42=U37)*DA3:DA42)+SUMPRODUCT((CZ3:CZ42=U39)*(DC3:DC42=U37)*DA3:DA42)+SUMPRODUCT((CZ3:CZ42=U40)*(DC3:DC42=U37)*DA3:DA42)+SUMPRODUCT((CZ3:CZ42=U41)*(DC3:DC42=U37)*DA3:DA42)</f>
        <v>0</v>
      </c>
      <c r="AA37" s="21">
        <f>Y37-Z37+1000</f>
        <v>1000</v>
      </c>
      <c r="AB37" s="21" t="str">
        <f t="shared" ref="AB37:AB40" si="60">IF(U37&lt;&gt;"",V37*3+W37*1,"")</f>
        <v/>
      </c>
      <c r="AC37" s="21" t="str">
        <f>IF(U37&lt;&gt;"",VLOOKUP(U37,B4:H40,7,FALSE),"")</f>
        <v/>
      </c>
      <c r="AD37" s="21" t="str">
        <f>IF(U37&lt;&gt;"",VLOOKUP(U37,B4:H40,5,FALSE),"")</f>
        <v/>
      </c>
      <c r="AE37" s="21" t="str">
        <f>IF(U37&lt;&gt;"",VLOOKUP(U37,B4:J40,9,FALSE),"")</f>
        <v/>
      </c>
      <c r="AF37" s="21" t="str">
        <f t="shared" ref="AF37:AF40" si="61">AB37</f>
        <v/>
      </c>
      <c r="AG37" s="21" t="str">
        <f>IF(U37&lt;&gt;"",RANK(AF37,AF37:AF41),"")</f>
        <v/>
      </c>
      <c r="AH37" s="21" t="str">
        <f>IF(U37&lt;&gt;"",SUMPRODUCT((AF37:AF41=AF37)*(AA37:AA41&gt;AA37)),"")</f>
        <v/>
      </c>
      <c r="AI37" s="21" t="str">
        <f>IF(U37&lt;&gt;"",SUMPRODUCT((AF37:AF41=AF37)*(AA37:AA41=AA37)*(Y37:Y41&gt;Y37)),"")</f>
        <v/>
      </c>
      <c r="AJ37" s="21" t="str">
        <f>IF(U37&lt;&gt;"",SUMPRODUCT((AF37:AF41=AF37)*(AA37:AA41=AA37)*(Y37:Y41=Y37)*(AC37:AC41&gt;AC37)),"")</f>
        <v/>
      </c>
      <c r="AK37" s="21" t="str">
        <f>IF(U37&lt;&gt;"",SUMPRODUCT((AF37:AF41=AF37)*(AA37:AA41=AA37)*(Y37:Y41=Y37)*(AC37:AC41=AC37)*(AD37:AD41&gt;AD37)),"")</f>
        <v/>
      </c>
      <c r="AL37" s="21" t="str">
        <f>IF(U37&lt;&gt;"",SUMPRODUCT((AF37:AF41=AF37)*(AA37:AA41=AA37)*(Y37:Y41=Y37)*(AC37:AC41=AC37)*(AD37:AD41=AD37)*(AE37:AE41&gt;AE37)),"")</f>
        <v/>
      </c>
      <c r="AM37" s="21" t="str">
        <f>IF(U37&lt;&gt;"",IF(AM77&lt;&gt;"",IF(T76=3,AM77,AM77+T76),SUM(AG37:AL37)),"")</f>
        <v/>
      </c>
      <c r="AN37" s="21" t="str">
        <f>IF(U37&lt;&gt;"",INDEX(U37:U41,MATCH(1,AM37:AM41,0),0),"")</f>
        <v/>
      </c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 t="str">
        <f>IF(AN37&lt;&gt;"",AN37,N37)</f>
        <v>France</v>
      </c>
      <c r="CX37" s="21">
        <v>1</v>
      </c>
      <c r="CY37" s="21">
        <v>35</v>
      </c>
      <c r="CZ37" s="21" t="str">
        <f>Matches!E45</f>
        <v>Portugal</v>
      </c>
      <c r="DA37" s="21">
        <f>IF(AND(Matches!F45&lt;&gt;"",Matches!G45&lt;&gt;""),Matches!F45,0)</f>
        <v>2</v>
      </c>
      <c r="DB37" s="21">
        <f>IF(AND(Matches!G45&lt;&gt;"",Matches!F45&lt;&gt;""),Matches!G45,0)</f>
        <v>2</v>
      </c>
      <c r="DC37" s="21" t="str">
        <f>Matches!H45</f>
        <v>France</v>
      </c>
      <c r="DD37" s="21" t="str">
        <f>IF(AND(Matches!F45&lt;&gt;"",Matches!G45&lt;&gt;""),IF(DA37&gt;DB37,"W",IF(DA37=DB37,"D","L")),"")</f>
        <v>D</v>
      </c>
      <c r="DE37" s="21" t="str">
        <f t="shared" si="0"/>
        <v>D</v>
      </c>
      <c r="DF37" s="21"/>
      <c r="DG37" s="21"/>
      <c r="DH37" s="21"/>
      <c r="DI37" s="212"/>
      <c r="DJ37" s="212"/>
      <c r="DK37" s="212"/>
      <c r="DL37" s="212"/>
      <c r="DM37" s="212"/>
      <c r="DN37" s="212"/>
      <c r="DO37" s="212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  <c r="FT37" s="21"/>
      <c r="FU37" s="21"/>
      <c r="FV37" s="21"/>
      <c r="FW37" s="21"/>
      <c r="FX37" s="21"/>
      <c r="FY37" s="21"/>
      <c r="FZ37" s="21"/>
      <c r="GA37" s="21"/>
      <c r="GB37" s="21"/>
      <c r="GC37" s="21"/>
      <c r="GD37" s="21"/>
      <c r="GE37" s="21"/>
      <c r="GF37" s="21"/>
      <c r="GG37" s="21"/>
      <c r="GH37" s="21"/>
      <c r="GI37" s="21"/>
      <c r="GJ37" s="21"/>
      <c r="GK37" s="21"/>
      <c r="GL37" s="21"/>
      <c r="GM37" s="21"/>
      <c r="GN37" s="21"/>
      <c r="GO37" s="21"/>
      <c r="GP37" s="21"/>
      <c r="GQ37" s="21"/>
      <c r="GR37" s="21"/>
      <c r="GS37" s="21"/>
      <c r="GT37" s="21"/>
      <c r="GU37" s="21"/>
      <c r="GV37" s="21"/>
      <c r="GW37" s="21"/>
      <c r="GX37" s="21"/>
      <c r="GY37" s="21"/>
      <c r="GZ37" s="21"/>
      <c r="HA37" s="21"/>
      <c r="HB37" s="21"/>
      <c r="HC37" s="21"/>
      <c r="HD37" s="21"/>
      <c r="HE37" s="21"/>
      <c r="HF37" s="21"/>
      <c r="HG37" s="21"/>
      <c r="HH37" s="21"/>
      <c r="HI37" s="21"/>
      <c r="HJ37" s="21"/>
      <c r="HK37" s="21"/>
      <c r="HL37" s="21"/>
      <c r="HM37" s="21"/>
      <c r="HN37" s="21"/>
      <c r="HO37" s="21"/>
      <c r="HP37" s="21"/>
      <c r="HQ37" s="21"/>
      <c r="HR37" s="21"/>
      <c r="HS37" s="21"/>
      <c r="HT37" s="21"/>
      <c r="HU37" s="21"/>
      <c r="HV37" s="21"/>
      <c r="HW37" s="21"/>
      <c r="HX37" s="21"/>
      <c r="HY37" s="214"/>
      <c r="HZ37" s="214"/>
      <c r="IA37" s="21"/>
      <c r="IB37" s="21"/>
      <c r="IC37" s="21"/>
      <c r="ID37" s="21"/>
      <c r="IE37" s="21"/>
      <c r="IF37" s="21"/>
      <c r="IG37" s="212"/>
      <c r="IH37" s="212"/>
      <c r="II37" s="212"/>
      <c r="IJ37" s="212"/>
      <c r="IK37" s="212"/>
      <c r="IL37" s="212"/>
      <c r="IM37" s="212"/>
      <c r="IN37" s="21"/>
      <c r="IO37" s="21"/>
      <c r="IP37" s="21"/>
      <c r="IQ37" s="21"/>
      <c r="IR37" s="21"/>
      <c r="IS37" s="21"/>
      <c r="IT37" s="21"/>
      <c r="IU37" s="21"/>
      <c r="IV37" s="21"/>
    </row>
    <row r="38" spans="1:256" ht="14" x14ac:dyDescent="0.2">
      <c r="A38" s="21">
        <f>VLOOKUP(B38,CW37:CX41,2,FALSE)</f>
        <v>2</v>
      </c>
      <c r="B38" s="21" t="str">
        <f>Matches!AH31</f>
        <v>Germany</v>
      </c>
      <c r="C38" s="21">
        <f>SUMPRODUCT((CZ3:CZ42=B38)*(DD3:DD42="W"))+SUMPRODUCT((DC3:DC42=B38)*(DE3:DE42="W"))</f>
        <v>1</v>
      </c>
      <c r="D38" s="21">
        <f>SUMPRODUCT((CZ3:CZ42=B38)*(DD3:DD42="D"))+SUMPRODUCT((DC3:DC42=B38)*(DE3:DE42="D"))</f>
        <v>1</v>
      </c>
      <c r="E38" s="21">
        <f>SUMPRODUCT((CZ3:CZ42=B38)*(DD3:DD42="L"))+SUMPRODUCT((DC3:DC42=B38)*(DE3:DE42="L"))</f>
        <v>1</v>
      </c>
      <c r="F38" s="21">
        <f>SUMIF(CZ3:CZ60,B38,DA3:DA60)+SUMIF(DC3:DC60,B38,DB3:DB60)</f>
        <v>6</v>
      </c>
      <c r="G38" s="21">
        <f>SUMIF(DC3:DC60,B38,DA3:DA60)+SUMIF(CZ3:CZ60,B38,DB3:DB60)</f>
        <v>5</v>
      </c>
      <c r="H38" s="21">
        <f t="shared" si="58"/>
        <v>1001</v>
      </c>
      <c r="I38" s="21">
        <f t="shared" si="59"/>
        <v>4</v>
      </c>
      <c r="J38" s="21">
        <v>52</v>
      </c>
      <c r="K38" s="21">
        <f>IF(COUNTIF(I37:I41,4)&lt;&gt;4,RANK(I38,I37:I41),I78)</f>
        <v>2</v>
      </c>
      <c r="L38" s="21"/>
      <c r="M38" s="21">
        <f>SUMPRODUCT((K37:K40=K38)*(J37:J40&lt;J38))+K38</f>
        <v>3</v>
      </c>
      <c r="N38" s="21" t="str">
        <f>IF(DC42="S",INDEX(B37:B41,MATCH(2,M37:M41,0),0),"")</f>
        <v>Portugal</v>
      </c>
      <c r="O38" s="21">
        <f>INDEX(K37:K41,MATCH(N38,B37:B41,0),0)</f>
        <v>2</v>
      </c>
      <c r="P38" s="21" t="str">
        <f>IF(P37&lt;&gt;"",N38,"")</f>
        <v/>
      </c>
      <c r="Q38" s="21" t="str">
        <f>IF(Q37&lt;&gt;"",N39,"")</f>
        <v>Germany</v>
      </c>
      <c r="R38" s="21" t="str">
        <f>IF(R37&lt;&gt;"",N40,"")</f>
        <v/>
      </c>
      <c r="S38" s="21" t="str">
        <f>IF(S37&lt;&gt;"",N41,"")</f>
        <v/>
      </c>
      <c r="T38" s="21"/>
      <c r="U38" s="21" t="str">
        <f t="shared" ref="U38:U40" si="62">IF(P38&lt;&gt;"",P38,"")</f>
        <v/>
      </c>
      <c r="V38" s="21">
        <f>SUMPRODUCT((CZ3:CZ42=U38)*(DC3:DC42=U39)*(DD3:DD42="W"))+SUMPRODUCT((CZ3:CZ42=U38)*(DC3:DC42=U40)*(DD3:DD42="W"))+SUMPRODUCT((CZ3:CZ42=U38)*(DC3:DC42=U41)*(DD3:DD42="W"))+SUMPRODUCT((CZ3:CZ42=U38)*(DC3:DC42=U37)*(DD3:DD42="W"))+SUMPRODUCT((CZ3:CZ42=U39)*(DC3:DC42=U38)*(DE3:DE42="W"))+SUMPRODUCT((CZ3:CZ42=U40)*(DC3:DC42=U38)*(DE3:DE42="W"))+SUMPRODUCT((CZ3:CZ42=U41)*(DC3:DC42=U38)*(DE3:DE42="W"))+SUMPRODUCT((CZ3:CZ42=U37)*(DC3:DC42=U38)*(DE3:DE42="W"))</f>
        <v>0</v>
      </c>
      <c r="W38" s="21">
        <f>SUMPRODUCT((CZ3:CZ42=U38)*(DC3:DC42=U39)*(DD3:DD42="D"))+SUMPRODUCT((CZ3:CZ42=U38)*(DC3:DC42=U40)*(DD3:DD42="D"))+SUMPRODUCT((CZ3:CZ42=U38)*(DC3:DC42=U41)*(DD3:DD42="D"))+SUMPRODUCT((CZ3:CZ42=U38)*(DC3:DC42=U37)*(DD3:DD42="D"))+SUMPRODUCT((CZ3:CZ42=U39)*(DC3:DC42=U38)*(DD3:DD42="D"))+SUMPRODUCT((CZ3:CZ42=U40)*(DC3:DC42=U38)*(DD3:DD42="D"))+SUMPRODUCT((CZ3:CZ42=U41)*(DC3:DC42=U38)*(DD3:DD42="D"))+SUMPRODUCT((CZ3:CZ42=U37)*(DC3:DC42=U38)*(DD3:DD42="D"))</f>
        <v>0</v>
      </c>
      <c r="X38" s="21">
        <f>SUMPRODUCT((CZ3:CZ42=U38)*(DC3:DC42=U39)*(DD3:DD42="L"))+SUMPRODUCT((CZ3:CZ42=U38)*(DC3:DC42=U40)*(DD3:DD42="L"))+SUMPRODUCT((CZ3:CZ42=U38)*(DC3:DC42=U41)*(DD3:DD42="L"))+SUMPRODUCT((CZ3:CZ42=U38)*(DC3:DC42=U37)*(DD3:DD42="L"))+SUMPRODUCT((CZ3:CZ42=U39)*(DC3:DC42=U38)*(DE3:DE42="L"))+SUMPRODUCT((CZ3:CZ42=U40)*(DC3:DC42=U38)*(DE3:DE42="L"))+SUMPRODUCT((CZ3:CZ42=U41)*(DC3:DC42=U38)*(DE3:DE42="L"))+SUMPRODUCT((CZ3:CZ42=U37)*(DC3:DC42=U38)*(DE3:DE42="L"))</f>
        <v>0</v>
      </c>
      <c r="Y38" s="21">
        <f>SUMPRODUCT((CZ3:CZ42=U38)*(DC3:DC42=U39)*DA3:DA42)+SUMPRODUCT((CZ3:CZ42=U38)*(DC3:DC42=U40)*DA3:DA42)+SUMPRODUCT((CZ3:CZ42=U38)*(DC3:DC42=U41)*DA3:DA42)+SUMPRODUCT((CZ3:CZ42=U38)*(DC3:DC42=U37)*DA3:DA42)+SUMPRODUCT((CZ3:CZ42=U39)*(DC3:DC42=U38)*DB3:DB42)+SUMPRODUCT((CZ3:CZ42=U40)*(DC3:DC42=U38)*DB3:DB42)+SUMPRODUCT((CZ3:CZ42=U41)*(DC3:DC42=U38)*DB3:DB42)+SUMPRODUCT((CZ3:CZ42=U37)*(DC3:DC42=U38)*DB3:DB42)</f>
        <v>0</v>
      </c>
      <c r="Z38" s="21">
        <f>SUMPRODUCT((CZ3:CZ42=U38)*(DC3:DC42=U39)*DB3:DB42)+SUMPRODUCT((CZ3:CZ42=U38)*(DC3:DC42=U40)*DB3:DB42)+SUMPRODUCT((CZ3:CZ42=U38)*(DC3:DC42=U41)*DB3:DB42)+SUMPRODUCT((CZ3:CZ42=U38)*(DC3:DC42=U37)*DB3:DB42)+SUMPRODUCT((CZ3:CZ42=U39)*(DC3:DC42=U38)*DA3:DA42)+SUMPRODUCT((CZ3:CZ42=U40)*(DC3:DC42=U38)*DA3:DA42)+SUMPRODUCT((CZ3:CZ42=U41)*(DC3:DC42=U38)*DA3:DA42)+SUMPRODUCT((CZ3:CZ42=U37)*(DC3:DC42=U38)*DA3:DA42)</f>
        <v>0</v>
      </c>
      <c r="AA38" s="21">
        <f>Y38-Z38+1000</f>
        <v>1000</v>
      </c>
      <c r="AB38" s="21" t="str">
        <f t="shared" si="60"/>
        <v/>
      </c>
      <c r="AC38" s="21" t="str">
        <f>IF(U38&lt;&gt;"",VLOOKUP(U38,B4:H40,7,FALSE),"")</f>
        <v/>
      </c>
      <c r="AD38" s="21" t="str">
        <f>IF(U38&lt;&gt;"",VLOOKUP(U38,B4:H40,5,FALSE),"")</f>
        <v/>
      </c>
      <c r="AE38" s="21" t="str">
        <f>IF(U38&lt;&gt;"",VLOOKUP(U38,B4:J40,9,FALSE),"")</f>
        <v/>
      </c>
      <c r="AF38" s="21" t="str">
        <f t="shared" si="61"/>
        <v/>
      </c>
      <c r="AG38" s="21" t="str">
        <f>IF(U38&lt;&gt;"",RANK(AF38,AF37:AF41),"")</f>
        <v/>
      </c>
      <c r="AH38" s="21" t="str">
        <f>IF(U38&lt;&gt;"",SUMPRODUCT((AF37:AF41=AF38)*(AA37:AA41&gt;AA38)),"")</f>
        <v/>
      </c>
      <c r="AI38" s="21" t="str">
        <f>IF(U38&lt;&gt;"",SUMPRODUCT((AF37:AF41=AF38)*(AA37:AA41=AA38)*(Y37:Y41&gt;Y38)),"")</f>
        <v/>
      </c>
      <c r="AJ38" s="21" t="str">
        <f>IF(U38&lt;&gt;"",SUMPRODUCT((AF37:AF41=AF38)*(AA37:AA41=AA38)*(Y37:Y41=Y38)*(AC37:AC41&gt;AC38)),"")</f>
        <v/>
      </c>
      <c r="AK38" s="21" t="str">
        <f>IF(U38&lt;&gt;"",SUMPRODUCT((AF37:AF41=AF38)*(AA37:AA41=AA38)*(Y37:Y41=Y38)*(AC37:AC41=AC38)*(AD37:AD41&gt;AD38)),"")</f>
        <v/>
      </c>
      <c r="AL38" s="21" t="str">
        <f>IF(U38&lt;&gt;"",SUMPRODUCT((AF37:AF41=AF38)*(AA37:AA41=AA38)*(Y37:Y41=Y38)*(AC37:AC41=AC38)*(AD37:AD41=AD38)*(AE37:AE41&gt;AE38)),"")</f>
        <v/>
      </c>
      <c r="AM38" s="21" t="str">
        <f>IF(U38&lt;&gt;"",IF(AM78&lt;&gt;"",IF(T76=3,AM78,AM78+T76),SUM(AG38:AL38)),"")</f>
        <v/>
      </c>
      <c r="AN38" s="21" t="str">
        <f>IF(U38&lt;&gt;"",INDEX(U37:U41,MATCH(2,AM37:AM41,0),0),"")</f>
        <v/>
      </c>
      <c r="AO38" s="21" t="str">
        <f>IF(Q37&lt;&gt;"",Q37,"")</f>
        <v>Portugal</v>
      </c>
      <c r="AP38" s="21">
        <f>SUMPRODUCT((CZ3:CZ42=AO38)*(DC3:DC42=AO39)*(DD3:DD42="W"))+SUMPRODUCT((CZ3:CZ42=AO38)*(DC3:DC42=AO40)*(DD3:DD42="W"))+SUMPRODUCT((CZ3:CZ42=AO38)*(DC3:DC42=AO41)*(DD3:DD42="W"))+SUMPRODUCT((CZ3:CZ42=AO39)*(DC3:DC42=AO38)*(DE3:DE42="W"))+SUMPRODUCT((CZ3:CZ42=AO40)*(DC3:DC42=AO38)*(DE3:DE42="W"))+SUMPRODUCT((CZ3:CZ42=AO41)*(DC3:DC42=AO38)*(DE3:DE42="W"))</f>
        <v>0</v>
      </c>
      <c r="AQ38" s="21">
        <f>SUMPRODUCT((CZ3:CZ42=AO38)*(DC3:DC42=AO39)*(DD3:DD42="D"))+SUMPRODUCT((CZ3:CZ42=AO38)*(DC3:DC42=AO40)*(DD3:DD42="D"))+SUMPRODUCT((CZ3:CZ42=AO38)*(DC3:DC42=AO41)*(DD3:DD42="D"))+SUMPRODUCT((CZ3:CZ42=AO39)*(DC3:DC42=AO38)*(DD3:DD42="D"))+SUMPRODUCT((CZ3:CZ42=AO40)*(DC3:DC42=AO38)*(DD3:DD42="D"))+SUMPRODUCT((CZ3:CZ42=AO41)*(DC3:DC42=AO38)*(DD3:DD42="D"))</f>
        <v>0</v>
      </c>
      <c r="AR38" s="21">
        <f>SUMPRODUCT((CZ3:CZ42=AO38)*(DC3:DC42=AO39)*(DD3:DD42="L"))+SUMPRODUCT((CZ3:CZ42=AO38)*(DC3:DC42=AO40)*(DD3:DD42="L"))+SUMPRODUCT((CZ3:CZ42=AO38)*(DC3:DC42=AO41)*(DD3:DD42="L"))+SUMPRODUCT((CZ3:CZ42=AO39)*(DC3:DC42=AO38)*(DE3:DE42="L"))+SUMPRODUCT((CZ3:CZ42=AO40)*(DC3:DC42=AO38)*(DE3:DE42="L"))+SUMPRODUCT((CZ3:CZ42=AO41)*(DC3:DC42=AO38)*(DE3:DE42="L"))</f>
        <v>1</v>
      </c>
      <c r="AS38" s="21">
        <f>SUMPRODUCT((CZ3:CZ42=AO38)*(DC3:DC42=AO39)*DA3:DA42)+SUMPRODUCT((CZ3:CZ42=AO38)*(DC3:DC42=AO40)*DA3:DA42)+SUMPRODUCT((CZ3:CZ42=AO38)*(DC3:DC42=AO41)*DA3:DA42)+SUMPRODUCT((CZ3:CZ42=AO38)*(DC3:DC42=AO37)*DA3:DA42)+SUMPRODUCT((CZ3:CZ42=AO39)*(DC3:DC42=AO38)*DB3:DB42)+SUMPRODUCT((CZ3:CZ42=AO40)*(DC3:DC42=AO38)*DB3:DB42)+SUMPRODUCT((CZ3:CZ42=AO41)*(DC3:DC42=AO38)*DB3:DB42)+SUMPRODUCT((CZ3:CZ42=AO37)*(DC3:DC42=AO38)*DB3:DB42)</f>
        <v>2</v>
      </c>
      <c r="AT38" s="21">
        <f>SUMPRODUCT((CZ3:CZ42=AO38)*(DC3:DC42=AO39)*DB3:DB42)+SUMPRODUCT((CZ3:CZ42=AO38)*(DC3:DC42=AO40)*DB3:DB42)+SUMPRODUCT((CZ3:CZ42=AO38)*(DC3:DC42=AO41)*DB3:DB42)+SUMPRODUCT((CZ3:CZ42=AO38)*(DC3:DC42=AO37)*DB3:DB42)+SUMPRODUCT((CZ3:CZ42=AO39)*(DC3:DC42=AO38)*DA3:DA42)+SUMPRODUCT((CZ3:CZ42=AO40)*(DC3:DC42=AO38)*DA3:DA42)+SUMPRODUCT((CZ3:CZ42=AO41)*(DC3:DC42=AO38)*DA3:DA42)+SUMPRODUCT((CZ3:CZ42=AO37)*(DC3:DC42=AO38)*DA3:DA42)</f>
        <v>4</v>
      </c>
      <c r="AU38" s="21">
        <f>AS38-AT38+1000</f>
        <v>998</v>
      </c>
      <c r="AV38" s="21">
        <f t="shared" ref="AV38:AV40" si="63">IF(AO38&lt;&gt;"",AP38*3+AQ38*1,"")</f>
        <v>0</v>
      </c>
      <c r="AW38" s="21">
        <f>IF(AO38&lt;&gt;"",VLOOKUP(AO38,B4:H40,7,FALSE),"")</f>
        <v>1001</v>
      </c>
      <c r="AX38" s="21">
        <f>IF(AO38&lt;&gt;"",VLOOKUP(AO38,B4:H40,5,FALSE),"")</f>
        <v>7</v>
      </c>
      <c r="AY38" s="21">
        <f>IF(AO38&lt;&gt;"",VLOOKUP(AO38,B4:J40,9,FALSE),"")</f>
        <v>43</v>
      </c>
      <c r="AZ38" s="21">
        <f t="shared" ref="AZ38:AZ40" si="64">AV38</f>
        <v>0</v>
      </c>
      <c r="BA38" s="21">
        <f>IF(AO38&lt;&gt;"",RANK(AZ38,AZ37:AZ40),"")</f>
        <v>2</v>
      </c>
      <c r="BB38" s="21">
        <f>IF(AO38&lt;&gt;"",SUMPRODUCT((AZ37:AZ41=AZ38)*(AU37:AU41&gt;AU38)),"")</f>
        <v>0</v>
      </c>
      <c r="BC38" s="21">
        <f>IF(AO38&lt;&gt;"",SUMPRODUCT((AZ37:AZ41=AZ38)*(AU37:AU41=AU38)*(AS37:AS41&gt;AS38)),"")</f>
        <v>0</v>
      </c>
      <c r="BD38" s="21">
        <f>IF(AO38&lt;&gt;"",SUMPRODUCT((AZ37:AZ41=AZ38)*(AU37:AU41=AU38)*(AS37:AS41=AS38)*(AW37:AW41&gt;AW38)),"")</f>
        <v>0</v>
      </c>
      <c r="BE38" s="21">
        <f>IF(AO38&lt;&gt;"",SUMPRODUCT((AZ37:AZ41=AZ38)*(AU37:AU41=AU38)*(AS37:AS41=AS38)*(AW37:AW41=AW38)*(AX37:AX41&gt;AX38)),"")</f>
        <v>0</v>
      </c>
      <c r="BF38" s="21">
        <f>IF(AO38&lt;&gt;"",SUMPRODUCT((AZ37:AZ41=AZ38)*(AU37:AU41=AU38)*(AS37:AS41=AS38)*(AW37:AW41=AW38)*(AX37:AX41=AX38)*(AY37:AY41&gt;AY38)),"")</f>
        <v>0</v>
      </c>
      <c r="BG38" s="21">
        <f>IF(AO38&lt;&gt;"",IF(BG78&lt;&gt;"",IF(AN76=3,BG78,BG78+AN76),SUM(BA38:BF38)+1),"")</f>
        <v>3</v>
      </c>
      <c r="BH38" s="21" t="str">
        <f>IF(AO38&lt;&gt;"",INDEX(AO38:AO41,MATCH(2,BG38:BG41,0),0),"")</f>
        <v>Germany</v>
      </c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 t="str">
        <f>IF(BH38&lt;&gt;"",BH38,IF(AN38&lt;&gt;"",AN38,N38))</f>
        <v>Germany</v>
      </c>
      <c r="CX38" s="21">
        <v>2</v>
      </c>
      <c r="CY38" s="21">
        <v>36</v>
      </c>
      <c r="CZ38" s="21" t="str">
        <f>Matches!E46</f>
        <v>Germany</v>
      </c>
      <c r="DA38" s="21">
        <f>IF(AND(Matches!F46&lt;&gt;"",Matches!G46&lt;&gt;""),Matches!F46,0)</f>
        <v>2</v>
      </c>
      <c r="DB38" s="21">
        <f>IF(AND(Matches!G46&lt;&gt;"",Matches!F46&lt;&gt;""),Matches!G46,0)</f>
        <v>2</v>
      </c>
      <c r="DC38" s="21" t="str">
        <f>Matches!H46</f>
        <v>Hungary</v>
      </c>
      <c r="DD38" s="21" t="str">
        <f>IF(AND(Matches!F46&lt;&gt;"",Matches!G46&lt;&gt;""),IF(DA38&gt;DB38,"W",IF(DA38=DB38,"D","L")),"")</f>
        <v>D</v>
      </c>
      <c r="DE38" s="21" t="str">
        <f t="shared" si="0"/>
        <v>D</v>
      </c>
      <c r="DF38" s="21"/>
      <c r="DG38" s="21"/>
      <c r="DH38" s="21"/>
      <c r="DI38" s="212"/>
      <c r="DJ38" s="212"/>
      <c r="DK38" s="212"/>
      <c r="DL38" s="212"/>
      <c r="DM38" s="212"/>
      <c r="DN38" s="212"/>
      <c r="DO38" s="212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21"/>
      <c r="FT38" s="21"/>
      <c r="FU38" s="21"/>
      <c r="FV38" s="21"/>
      <c r="FW38" s="21"/>
      <c r="FX38" s="21"/>
      <c r="FY38" s="21"/>
      <c r="FZ38" s="21"/>
      <c r="GA38" s="21"/>
      <c r="GB38" s="21"/>
      <c r="GC38" s="21"/>
      <c r="GD38" s="21"/>
      <c r="GE38" s="21"/>
      <c r="GF38" s="21"/>
      <c r="GG38" s="21"/>
      <c r="GH38" s="21"/>
      <c r="GI38" s="21"/>
      <c r="GJ38" s="21"/>
      <c r="GK38" s="21"/>
      <c r="GL38" s="21"/>
      <c r="GM38" s="21"/>
      <c r="GN38" s="21"/>
      <c r="GO38" s="21"/>
      <c r="GP38" s="21"/>
      <c r="GQ38" s="21"/>
      <c r="GR38" s="21"/>
      <c r="GS38" s="21"/>
      <c r="GT38" s="21"/>
      <c r="GU38" s="21"/>
      <c r="GV38" s="21"/>
      <c r="GW38" s="21"/>
      <c r="GX38" s="21"/>
      <c r="GY38" s="21"/>
      <c r="GZ38" s="21"/>
      <c r="HA38" s="21"/>
      <c r="HB38" s="21"/>
      <c r="HC38" s="21"/>
      <c r="HD38" s="21"/>
      <c r="HE38" s="21"/>
      <c r="HF38" s="21"/>
      <c r="HG38" s="21"/>
      <c r="HH38" s="21"/>
      <c r="HI38" s="21"/>
      <c r="HJ38" s="21"/>
      <c r="HK38" s="21"/>
      <c r="HL38" s="21"/>
      <c r="HM38" s="21"/>
      <c r="HN38" s="21"/>
      <c r="HO38" s="21"/>
      <c r="HP38" s="21"/>
      <c r="HQ38" s="21"/>
      <c r="HR38" s="21"/>
      <c r="HS38" s="21"/>
      <c r="HT38" s="21"/>
      <c r="HU38" s="21"/>
      <c r="HV38" s="21"/>
      <c r="HW38" s="21"/>
      <c r="HX38" s="21"/>
      <c r="HY38" s="214"/>
      <c r="HZ38" s="214"/>
      <c r="IA38" s="21"/>
      <c r="IB38" s="21"/>
      <c r="IC38" s="21"/>
      <c r="ID38" s="21"/>
      <c r="IE38" s="21"/>
      <c r="IF38" s="21"/>
      <c r="IG38" s="212"/>
      <c r="IH38" s="212"/>
      <c r="II38" s="212"/>
      <c r="IJ38" s="212"/>
      <c r="IK38" s="212"/>
      <c r="IL38" s="212"/>
      <c r="IM38" s="212"/>
      <c r="IN38" s="21"/>
      <c r="IO38" s="21"/>
      <c r="IP38" s="21"/>
      <c r="IQ38" s="21"/>
      <c r="IR38" s="21"/>
      <c r="IS38" s="21"/>
      <c r="IT38" s="21"/>
      <c r="IU38" s="21"/>
      <c r="IV38" s="21"/>
    </row>
    <row r="39" spans="1:256" ht="14" x14ac:dyDescent="0.2">
      <c r="A39" s="21">
        <f>VLOOKUP(B39,CW37:CX41,2,FALSE)</f>
        <v>4</v>
      </c>
      <c r="B39" s="21" t="str">
        <f>Matches!AH32</f>
        <v>Hungary</v>
      </c>
      <c r="C39" s="21">
        <f>SUMPRODUCT((CZ3:CZ42=B39)*(DD3:DD42="W"))+SUMPRODUCT((DC3:DC42=B39)*(DE3:DE42="W"))</f>
        <v>0</v>
      </c>
      <c r="D39" s="21">
        <f>SUMPRODUCT((CZ3:CZ42=B39)*(DD3:DD42="D"))+SUMPRODUCT((DC3:DC42=B39)*(DE3:DE42="D"))</f>
        <v>2</v>
      </c>
      <c r="E39" s="21">
        <f>SUMPRODUCT((CZ3:CZ42=B39)*(DD3:DD42="L"))+SUMPRODUCT((DC3:DC42=B39)*(DE3:DE42="L"))</f>
        <v>1</v>
      </c>
      <c r="F39" s="21">
        <f>SUMIF(CZ3:CZ60,B39,DA3:DA60)+SUMIF(DC3:DC60,B39,DB3:DB60)</f>
        <v>3</v>
      </c>
      <c r="G39" s="21">
        <f>SUMIF(DC3:DC60,B39,DA3:DA60)+SUMIF(CZ3:CZ60,B39,DB3:DB60)</f>
        <v>6</v>
      </c>
      <c r="H39" s="21">
        <f t="shared" si="58"/>
        <v>997</v>
      </c>
      <c r="I39" s="21">
        <f t="shared" si="59"/>
        <v>2</v>
      </c>
      <c r="J39" s="21">
        <v>25</v>
      </c>
      <c r="K39" s="21">
        <f>IF(COUNTIF(I37:I41,4)&lt;&gt;4,RANK(I39,I37:I41),I79)</f>
        <v>4</v>
      </c>
      <c r="L39" s="21"/>
      <c r="M39" s="21">
        <f>SUMPRODUCT((K37:K40=K39)*(J37:J40&lt;J39))+K39</f>
        <v>4</v>
      </c>
      <c r="N39" s="21" t="str">
        <f>INDEX(B37:B41,MATCH(3,M37:M41,0),0)</f>
        <v>Germany</v>
      </c>
      <c r="O39" s="21">
        <f>INDEX(K37:K41,MATCH(N39,B37:B41,0),0)</f>
        <v>2</v>
      </c>
      <c r="P39" s="21" t="str">
        <f>IF(AND(P38&lt;&gt;"",O39=1),N39,"")</f>
        <v/>
      </c>
      <c r="Q39" s="21" t="str">
        <f>IF(AND(Q38&lt;&gt;"",O40=2),N40,"")</f>
        <v/>
      </c>
      <c r="R39" s="21" t="str">
        <f>IF(AND(R38&lt;&gt;"",O41=3),N41,"")</f>
        <v/>
      </c>
      <c r="S39" s="21"/>
      <c r="T39" s="21"/>
      <c r="U39" s="21" t="str">
        <f t="shared" si="62"/>
        <v/>
      </c>
      <c r="V39" s="21">
        <f>SUMPRODUCT((CZ3:CZ42=U39)*(DC3:DC42=U40)*(DD3:DD42="W"))+SUMPRODUCT((CZ3:CZ42=U39)*(DC3:DC42=U41)*(DD3:DD42="W"))+SUMPRODUCT((CZ3:CZ42=U39)*(DC3:DC42=U37)*(DD3:DD42="W"))+SUMPRODUCT((CZ3:CZ42=U39)*(DC3:DC42=U38)*(DD3:DD42="W"))+SUMPRODUCT((CZ3:CZ42=U40)*(DC3:DC42=U39)*(DE3:DE42="W"))+SUMPRODUCT((CZ3:CZ42=U41)*(DC3:DC42=U39)*(DE3:DE42="W"))+SUMPRODUCT((CZ3:CZ42=U37)*(DC3:DC42=U39)*(DE3:DE42="W"))+SUMPRODUCT((CZ3:CZ42=U38)*(DC3:DC42=U39)*(DE3:DE42="W"))</f>
        <v>0</v>
      </c>
      <c r="W39" s="21">
        <f>SUMPRODUCT((CZ3:CZ42=U39)*(DC3:DC42=U40)*(DD3:DD42="D"))+SUMPRODUCT((CZ3:CZ42=U39)*(DC3:DC42=U41)*(DD3:DD42="D"))+SUMPRODUCT((CZ3:CZ42=U39)*(DC3:DC42=U37)*(DD3:DD42="D"))+SUMPRODUCT((CZ3:CZ42=U39)*(DC3:DC42=U38)*(DD3:DD42="D"))+SUMPRODUCT((CZ3:CZ42=U40)*(DC3:DC42=U39)*(DD3:DD42="D"))+SUMPRODUCT((CZ3:CZ42=U41)*(DC3:DC42=U39)*(DD3:DD42="D"))+SUMPRODUCT((CZ3:CZ42=U37)*(DC3:DC42=U39)*(DD3:DD42="D"))+SUMPRODUCT((CZ3:CZ42=U38)*(DC3:DC42=U39)*(DD3:DD42="D"))</f>
        <v>0</v>
      </c>
      <c r="X39" s="21">
        <f>SUMPRODUCT((CZ3:CZ42=U39)*(DC3:DC42=U40)*(DD3:DD42="L"))+SUMPRODUCT((CZ3:CZ42=U39)*(DC3:DC42=U41)*(DD3:DD42="L"))+SUMPRODUCT((CZ3:CZ42=U39)*(DC3:DC42=U37)*(DD3:DD42="L"))+SUMPRODUCT((CZ3:CZ42=U39)*(DC3:DC42=U38)*(DD3:DD42="L"))+SUMPRODUCT((CZ3:CZ42=U40)*(DC3:DC42=U39)*(DE3:DE42="L"))+SUMPRODUCT((CZ3:CZ42=U41)*(DC3:DC42=U39)*(DE3:DE42="L"))+SUMPRODUCT((CZ3:CZ42=U37)*(DC3:DC42=U39)*(DE3:DE42="L"))+SUMPRODUCT((CZ3:CZ42=U38)*(DC3:DC42=U39)*(DE3:DE42="L"))</f>
        <v>0</v>
      </c>
      <c r="Y39" s="21">
        <f>SUMPRODUCT((CZ3:CZ42=U39)*(DC3:DC42=U40)*DA3:DA42)+SUMPRODUCT((CZ3:CZ42=U39)*(DC3:DC42=U41)*DA3:DA42)+SUMPRODUCT((CZ3:CZ42=U39)*(DC3:DC42=U37)*DA3:DA42)+SUMPRODUCT((CZ3:CZ42=U39)*(DC3:DC42=U38)*DA3:DA42)+SUMPRODUCT((CZ3:CZ42=U40)*(DC3:DC42=U39)*DB3:DB42)+SUMPRODUCT((CZ3:CZ42=U41)*(DC3:DC42=U39)*DB3:DB42)+SUMPRODUCT((CZ3:CZ42=U37)*(DC3:DC42=U39)*DB3:DB42)+SUMPRODUCT((CZ3:CZ42=U38)*(DC3:DC42=U39)*DB3:DB42)</f>
        <v>0</v>
      </c>
      <c r="Z39" s="21">
        <f>SUMPRODUCT((CZ3:CZ42=U39)*(DC3:DC42=U40)*DB3:DB42)+SUMPRODUCT((CZ3:CZ42=U39)*(DC3:DC42=U41)*DB3:DB42)+SUMPRODUCT((CZ3:CZ42=U39)*(DC3:DC42=U37)*DB3:DB42)+SUMPRODUCT((CZ3:CZ42=U39)*(DC3:DC42=U38)*DB3:DB42)+SUMPRODUCT((CZ3:CZ42=U40)*(DC3:DC42=U39)*DA3:DA42)+SUMPRODUCT((CZ3:CZ42=U41)*(DC3:DC42=U39)*DA3:DA42)+SUMPRODUCT((CZ3:CZ42=U37)*(DC3:DC42=U39)*DA3:DA42)+SUMPRODUCT((CZ3:CZ42=U38)*(DC3:DC42=U39)*DA3:DA42)</f>
        <v>0</v>
      </c>
      <c r="AA39" s="21">
        <f>Y39-Z39+1000</f>
        <v>1000</v>
      </c>
      <c r="AB39" s="21" t="str">
        <f t="shared" si="60"/>
        <v/>
      </c>
      <c r="AC39" s="21" t="str">
        <f>IF(U39&lt;&gt;"",VLOOKUP(U39,B4:H40,7,FALSE),"")</f>
        <v/>
      </c>
      <c r="AD39" s="21" t="str">
        <f>IF(U39&lt;&gt;"",VLOOKUP(U39,B4:H40,5,FALSE),"")</f>
        <v/>
      </c>
      <c r="AE39" s="21" t="str">
        <f>IF(U39&lt;&gt;"",VLOOKUP(U39,B4:J40,9,FALSE),"")</f>
        <v/>
      </c>
      <c r="AF39" s="21" t="str">
        <f t="shared" si="61"/>
        <v/>
      </c>
      <c r="AG39" s="21" t="str">
        <f>IF(U39&lt;&gt;"",RANK(AF39,AF37:AF41),"")</f>
        <v/>
      </c>
      <c r="AH39" s="21" t="str">
        <f>IF(U39&lt;&gt;"",SUMPRODUCT((AF37:AF41=AF39)*(AA37:AA41&gt;AA39)),"")</f>
        <v/>
      </c>
      <c r="AI39" s="21" t="str">
        <f>IF(U39&lt;&gt;"",SUMPRODUCT((AF37:AF41=AF39)*(AA37:AA41=AA39)*(Y37:Y41&gt;Y39)),"")</f>
        <v/>
      </c>
      <c r="AJ39" s="21" t="str">
        <f>IF(U39&lt;&gt;"",SUMPRODUCT((AF37:AF41=AF39)*(AA37:AA41=AA39)*(Y37:Y41=Y39)*(AC37:AC41&gt;AC39)),"")</f>
        <v/>
      </c>
      <c r="AK39" s="21" t="str">
        <f>IF(U39&lt;&gt;"",SUMPRODUCT((AF37:AF41=AF39)*(AA37:AA41=AA39)*(Y37:Y41=Y39)*(AC37:AC41=AC39)*(AD37:AD41&gt;AD39)),"")</f>
        <v/>
      </c>
      <c r="AL39" s="21" t="str">
        <f>IF(U39&lt;&gt;"",SUMPRODUCT((AF37:AF41=AF39)*(AA37:AA41=AA39)*(Y37:Y41=Y39)*(AC37:AC41=AC39)*(AD37:AD41=AD39)*(AE37:AE41&gt;AE39)),"")</f>
        <v/>
      </c>
      <c r="AM39" s="21" t="str">
        <f>IF(U39&lt;&gt;"",IF(AM79&lt;&gt;"",IF(T76=3,AM79,AM79+T76),SUM(AG39:AL39)),"")</f>
        <v/>
      </c>
      <c r="AN39" s="21" t="str">
        <f>IF(U39&lt;&gt;"",INDEX(U37:U41,MATCH(3,AM37:AM41,0),0),"")</f>
        <v/>
      </c>
      <c r="AO39" s="21" t="str">
        <f>IF(Q38&lt;&gt;"",Q38,"")</f>
        <v>Germany</v>
      </c>
      <c r="AP39" s="21">
        <f>SUMPRODUCT((CZ3:CZ42=AO39)*(DC3:DC42=AO40)*(DD3:DD42="W"))+SUMPRODUCT((CZ3:CZ42=AO39)*(DC3:DC42=AO41)*(DD3:DD42="W"))+SUMPRODUCT((CZ3:CZ42=AO39)*(DC3:DC42=AO38)*(DD3:DD42="W"))+SUMPRODUCT((CZ3:CZ42=AO40)*(DC3:DC42=AO39)*(DE3:DE42="W"))+SUMPRODUCT((CZ3:CZ42=AO41)*(DC3:DC42=AO39)*(DE3:DE42="W"))+SUMPRODUCT((CZ3:CZ42=AO38)*(DC3:DC42=AO39)*(DE3:DE42="W"))</f>
        <v>1</v>
      </c>
      <c r="AQ39" s="21">
        <f>SUMPRODUCT((CZ3:CZ42=AO39)*(DC3:DC42=AO40)*(DD3:DD42="D"))+SUMPRODUCT((CZ3:CZ42=AO39)*(DC3:DC42=AO41)*(DD3:DD42="D"))+SUMPRODUCT((CZ3:CZ42=AO39)*(DC3:DC42=AO38)*(DD3:DD42="D"))+SUMPRODUCT((CZ3:CZ42=AO40)*(DC3:DC42=AO39)*(DD3:DD42="D"))+SUMPRODUCT((CZ3:CZ42=AO41)*(DC3:DC42=AO39)*(DD3:DD42="D"))+SUMPRODUCT((CZ3:CZ42=AO38)*(DC3:DC42=AO39)*(DD3:DD42="D"))</f>
        <v>0</v>
      </c>
      <c r="AR39" s="21">
        <f>SUMPRODUCT((CZ3:CZ42=AO39)*(DC3:DC42=AO40)*(DD3:DD42="L"))+SUMPRODUCT((CZ3:CZ42=AO39)*(DC3:DC42=AO41)*(DD3:DD42="L"))+SUMPRODUCT((CZ3:CZ42=AO39)*(DC3:DC42=AO38)*(DD3:DD42="L"))+SUMPRODUCT((CZ3:CZ42=AO40)*(DC3:DC42=AO39)*(DE3:DE42="L"))+SUMPRODUCT((CZ3:CZ42=AO41)*(DC3:DC42=AO39)*(DE3:DE42="L"))+SUMPRODUCT((CZ3:CZ42=AO38)*(DC3:DC42=AO39)*(DE3:DE42="L"))</f>
        <v>0</v>
      </c>
      <c r="AS39" s="21">
        <f>SUMPRODUCT((CZ3:CZ42=AO39)*(DC3:DC42=AO40)*DA3:DA42)+SUMPRODUCT((CZ3:CZ42=AO39)*(DC3:DC42=AO41)*DA3:DA42)+SUMPRODUCT((CZ3:CZ42=AO39)*(DC3:DC42=AO37)*DA3:DA42)+SUMPRODUCT((CZ3:CZ42=AO39)*(DC3:DC42=AO38)*DA3:DA42)+SUMPRODUCT((CZ3:CZ42=AO40)*(DC3:DC42=AO39)*DB3:DB42)+SUMPRODUCT((CZ3:CZ42=AO41)*(DC3:DC42=AO39)*DB3:DB42)+SUMPRODUCT((CZ3:CZ42=AO37)*(DC3:DC42=AO39)*DB3:DB42)+SUMPRODUCT((CZ3:CZ42=AO38)*(DC3:DC42=AO39)*DB3:DB42)</f>
        <v>4</v>
      </c>
      <c r="AT39" s="21">
        <f>SUMPRODUCT((CZ3:CZ42=AO39)*(DC3:DC42=AO40)*DB3:DB42)+SUMPRODUCT((CZ3:CZ42=AO39)*(DC3:DC42=AO41)*DB3:DB42)+SUMPRODUCT((CZ3:CZ42=AO39)*(DC3:DC42=AO37)*DB3:DB42)+SUMPRODUCT((CZ3:CZ42=AO39)*(DC3:DC42=AO38)*DB3:DB42)+SUMPRODUCT((CZ3:CZ42=AO40)*(DC3:DC42=AO39)*DA3:DA42)+SUMPRODUCT((CZ3:CZ42=AO41)*(DC3:DC42=AO39)*DA3:DA42)+SUMPRODUCT((CZ3:CZ42=AO37)*(DC3:DC42=AO39)*DA3:DA42)+SUMPRODUCT((CZ3:CZ42=AO38)*(DC3:DC42=AO39)*DA3:DA42)</f>
        <v>2</v>
      </c>
      <c r="AU39" s="21">
        <f>AS39-AT39+1000</f>
        <v>1002</v>
      </c>
      <c r="AV39" s="21">
        <f t="shared" si="63"/>
        <v>3</v>
      </c>
      <c r="AW39" s="21">
        <f>IF(AO39&lt;&gt;"",VLOOKUP(AO39,B4:H40,7,FALSE),"")</f>
        <v>1001</v>
      </c>
      <c r="AX39" s="21">
        <f>IF(AO39&lt;&gt;"",VLOOKUP(AO39,B4:H40,5,FALSE),"")</f>
        <v>6</v>
      </c>
      <c r="AY39" s="21">
        <f>IF(AO39&lt;&gt;"",VLOOKUP(AO39,B4:J40,9,FALSE),"")</f>
        <v>52</v>
      </c>
      <c r="AZ39" s="21">
        <f t="shared" si="64"/>
        <v>3</v>
      </c>
      <c r="BA39" s="21">
        <f>IF(AO39&lt;&gt;"",RANK(AZ39,AZ37:AZ40),"")</f>
        <v>1</v>
      </c>
      <c r="BB39" s="21">
        <f>IF(AO39&lt;&gt;"",SUMPRODUCT((AZ37:AZ41=AZ39)*(AU37:AU41&gt;AU39)),"")</f>
        <v>0</v>
      </c>
      <c r="BC39" s="21">
        <f>IF(AO39&lt;&gt;"",SUMPRODUCT((AZ37:AZ41=AZ39)*(AU37:AU41=AU39)*(AS37:AS41&gt;AS39)),"")</f>
        <v>0</v>
      </c>
      <c r="BD39" s="21">
        <f>IF(AO39&lt;&gt;"",SUMPRODUCT((AZ37:AZ41=AZ39)*(AU37:AU41=AU39)*(AS37:AS41=AS39)*(AW37:AW41&gt;AW39)),"")</f>
        <v>0</v>
      </c>
      <c r="BE39" s="21">
        <f>IF(AO39&lt;&gt;"",SUMPRODUCT((AZ37:AZ41=AZ39)*(AU37:AU41=AU39)*(AS37:AS41=AS39)*(AW37:AW41=AW39)*(AX37:AX41&gt;AX39)),"")</f>
        <v>0</v>
      </c>
      <c r="BF39" s="21">
        <f>IF(AO39&lt;&gt;"",SUMPRODUCT((AZ37:AZ41=AZ39)*(AU37:AU41=AU39)*(AS37:AS41=AS39)*(AW37:AW41=AW39)*(AX37:AX41=AX39)*(AY37:AY41&gt;AY39)),"")</f>
        <v>0</v>
      </c>
      <c r="BG39" s="21">
        <f>IF(AO39&lt;&gt;"",IF(BG79&lt;&gt;"",IF(AN76=3,BG79,BG79+AN76),SUM(BA39:BF39)+1),"")</f>
        <v>2</v>
      </c>
      <c r="BH39" s="21" t="str">
        <f>IF(AO39&lt;&gt;"",INDEX(AO38:AO41,MATCH(3,BG38:BG41,0),0),"")</f>
        <v>Portugal</v>
      </c>
      <c r="BI39" s="21" t="str">
        <f>IF(R37&lt;&gt;"",R37,"")</f>
        <v/>
      </c>
      <c r="BJ39" s="21">
        <f>SUMPRODUCT((CZ3:CZ42=BI39)*(DC3:DC42=BI40)*(DD3:DD42="W"))+SUMPRODUCT((CZ3:CZ42=BI39)*(DC3:DC42=BI41)*(DD3:DD42="W"))+SUMPRODUCT((CZ3:CZ42=BI39)*(DC3:DC42=BI42)*(DD3:DD42="W"))+SUMPRODUCT((CZ3:CZ42=BI40)*(DC3:DC42=BI39)*(DE3:DE42="W"))+SUMPRODUCT((CZ3:CZ42=BI41)*(DC3:DC42=BI39)*(DE3:DE42="W"))+SUMPRODUCT((CZ3:CZ42=BI42)*(DC3:DC42=BI39)*(DE3:DE42="W"))</f>
        <v>0</v>
      </c>
      <c r="BK39" s="21">
        <f>SUMPRODUCT((CZ3:CZ42=BI39)*(DC3:DC42=BI40)*(DD3:DD42="D"))+SUMPRODUCT((CZ3:CZ42=BI39)*(DC3:DC42=BI41)*(DD3:DD42="D"))+SUMPRODUCT((CZ3:CZ42=BI39)*(DC3:DC42=BI42)*(DD3:DD42="D"))+SUMPRODUCT((CZ3:CZ42=BI40)*(DC3:DC42=BI39)*(DD3:DD42="D"))+SUMPRODUCT((CZ3:CZ42=BI41)*(DC3:DC42=BI39)*(DD3:DD42="D"))+SUMPRODUCT((CZ3:CZ42=BI42)*(DC3:DC42=BI39)*(DD3:DD42="D"))</f>
        <v>0</v>
      </c>
      <c r="BL39" s="21">
        <f>SUMPRODUCT((CZ3:CZ42=BI39)*(DC3:DC42=BI40)*(DD3:DD42="L"))+SUMPRODUCT((CZ3:CZ42=BI39)*(DC3:DC42=BI41)*(DD3:DD42="L"))+SUMPRODUCT((CZ3:CZ42=BI39)*(DC3:DC42=BI42)*(DD3:DD42="L"))+SUMPRODUCT((CZ3:CZ42=BI40)*(DC3:DC42=BI39)*(DE3:DE42="L"))+SUMPRODUCT((CZ3:CZ42=BI41)*(DC3:DC42=BI39)*(DE3:DE42="L"))+SUMPRODUCT((CZ3:CZ42=BI42)*(DC3:DC42=BI39)*(DE3:DE42="L"))</f>
        <v>0</v>
      </c>
      <c r="BM39" s="21">
        <f>SUMPRODUCT((CZ3:CZ42=BI39)*(DC3:DC42=BI40)*DA3:DA42)+SUMPRODUCT((CZ3:CZ42=BI39)*(DC3:DC42=BI41)*DA3:DA42)+SUMPRODUCT((CZ3:CZ42=BI39)*(DC3:DC42=BI37)*DA3:DA42)+SUMPRODUCT((CZ3:CZ42=BI39)*(DC3:DC42=BI38)*DA3:DA42)+SUMPRODUCT((CZ3:CZ42=BI40)*(DC3:DC42=BI39)*DB3:DB42)+SUMPRODUCT((CZ3:CZ42=BI41)*(DC3:DC42=BI39)*DB3:DB42)+SUMPRODUCT((CZ3:CZ42=BI37)*(DC3:DC42=BI39)*DB3:DB42)+SUMPRODUCT((CZ3:CZ42=BI38)*(DC3:DC42=BI39)*DB3:DB42)</f>
        <v>0</v>
      </c>
      <c r="BN39" s="21">
        <f>SUMPRODUCT((CZ3:CZ42=BI39)*(DC3:DC42=BI40)*DB3:DB42)+SUMPRODUCT((CZ3:CZ42=BI39)*(DC3:DC42=BI41)*DB3:DB42)+SUMPRODUCT((CZ3:CZ42=BI39)*(DC3:DC42=BI37)*DB3:DB42)+SUMPRODUCT((CZ3:CZ42=BI39)*(DC3:DC42=BI38)*DB3:DB42)+SUMPRODUCT((CZ3:CZ42=BI40)*(DC3:DC42=BI39)*DA3:DA42)+SUMPRODUCT((CZ3:CZ42=BI41)*(DC3:DC42=BI39)*DA3:DA42)+SUMPRODUCT((CZ3:CZ42=BI37)*(DC3:DC42=BI39)*DA3:DA42)+SUMPRODUCT((CZ3:CZ42=BI38)*(DC3:DC42=BI39)*DA3:DA42)</f>
        <v>0</v>
      </c>
      <c r="BO39" s="21">
        <f>BM39-BN39+1000</f>
        <v>1000</v>
      </c>
      <c r="BP39" s="21" t="str">
        <f t="shared" ref="BP39:BP40" si="65">IF(BI39&lt;&gt;"",BJ39*3+BK39*1,"")</f>
        <v/>
      </c>
      <c r="BQ39" s="21" t="str">
        <f>IF(BI39&lt;&gt;"",VLOOKUP(BI39,B4:H40,7,FALSE),"")</f>
        <v/>
      </c>
      <c r="BR39" s="21" t="str">
        <f>IF(BI39&lt;&gt;"",VLOOKUP(BI39,B4:H40,5,FALSE),"")</f>
        <v/>
      </c>
      <c r="BS39" s="21" t="str">
        <f>IF(BI39&lt;&gt;"",VLOOKUP(BI39,B4:J40,9,FALSE),"")</f>
        <v/>
      </c>
      <c r="BT39" s="21" t="str">
        <f t="shared" ref="BT39:BT40" si="66">BP39</f>
        <v/>
      </c>
      <c r="BU39" s="21" t="str">
        <f>IF(BI39&lt;&gt;"",RANK(BT39,BT38:BT40),"")</f>
        <v/>
      </c>
      <c r="BV39" s="21" t="str">
        <f>IF(BI39&lt;&gt;"",SUMPRODUCT((BT37:BT41=BT39)*(BO37:BO41&gt;BO39)),"")</f>
        <v/>
      </c>
      <c r="BW39" s="21" t="str">
        <f>IF(BI39&lt;&gt;"",SUMPRODUCT((BT37:BT41=BT39)*(BO37:BO41=BO39)*(BM37:BM41&gt;BM39)),"")</f>
        <v/>
      </c>
      <c r="BX39" s="21" t="str">
        <f>IF(BI39&lt;&gt;"",SUMPRODUCT((BT37:BT41=BT39)*(BO37:BO41=BO39)*(BM37:BM41=BM39)*(BQ37:BQ41&gt;BQ39)),"")</f>
        <v/>
      </c>
      <c r="BY39" s="21" t="str">
        <f>IF(BI39&lt;&gt;"",SUMPRODUCT((BT37:BT41=BT39)*(BO37:BO41=BO39)*(BM37:BM41=BM39)*(BQ37:BQ41=BQ39)*(BR37:BR41&gt;BR39)),"")</f>
        <v/>
      </c>
      <c r="BZ39" s="21" t="str">
        <f>IF(BI39&lt;&gt;"",SUMPRODUCT((BT37:BT41=BT39)*(BO37:BO41=BO39)*(BM37:BM41=BM39)*(BQ37:BQ41=BQ39)*(BR37:BR41=BR39)*(BS37:BS41&gt;BS39)),"")</f>
        <v/>
      </c>
      <c r="CA39" s="21" t="str">
        <f>IF(BI39&lt;&gt;"",SUM(BU39:BZ39)+2,"")</f>
        <v/>
      </c>
      <c r="CB39" s="21" t="str">
        <f>IF(BI39&lt;&gt;"",INDEX(BI39:BI41,MATCH(3,CA39:CA41,0),0),"")</f>
        <v/>
      </c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 t="str">
        <f>IF(CB39&lt;&gt;"",CB39,IF(BH39&lt;&gt;"",BH39,IF(AN39&lt;&gt;"",AN39,N39)))</f>
        <v>Portugal</v>
      </c>
      <c r="CX39" s="21">
        <v>3</v>
      </c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2"/>
      <c r="DJ39" s="212"/>
      <c r="DK39" s="212"/>
      <c r="DL39" s="212"/>
      <c r="DM39" s="212"/>
      <c r="DN39" s="212"/>
      <c r="DO39" s="212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1"/>
      <c r="FP39" s="21"/>
      <c r="FQ39" s="21"/>
      <c r="FR39" s="21"/>
      <c r="FS39" s="21"/>
      <c r="FT39" s="21"/>
      <c r="FU39" s="21"/>
      <c r="FV39" s="21"/>
      <c r="FW39" s="21"/>
      <c r="FX39" s="21"/>
      <c r="FY39" s="21"/>
      <c r="FZ39" s="21"/>
      <c r="GA39" s="21"/>
      <c r="GB39" s="21"/>
      <c r="GC39" s="21"/>
      <c r="GD39" s="21"/>
      <c r="GE39" s="21"/>
      <c r="GF39" s="21"/>
      <c r="GG39" s="21"/>
      <c r="GH39" s="21"/>
      <c r="GI39" s="21"/>
      <c r="GJ39" s="21"/>
      <c r="GK39" s="21"/>
      <c r="GL39" s="21"/>
      <c r="GM39" s="21"/>
      <c r="GN39" s="21"/>
      <c r="GO39" s="21"/>
      <c r="GP39" s="21"/>
      <c r="GQ39" s="21"/>
      <c r="GR39" s="21"/>
      <c r="GS39" s="21"/>
      <c r="GT39" s="21"/>
      <c r="GU39" s="21"/>
      <c r="GV39" s="21"/>
      <c r="GW39" s="21"/>
      <c r="GX39" s="21"/>
      <c r="GY39" s="21"/>
      <c r="GZ39" s="21"/>
      <c r="HA39" s="21"/>
      <c r="HB39" s="21"/>
      <c r="HC39" s="21"/>
      <c r="HD39" s="21"/>
      <c r="HE39" s="21"/>
      <c r="HF39" s="21"/>
      <c r="HG39" s="21"/>
      <c r="HH39" s="21"/>
      <c r="HI39" s="21"/>
      <c r="HJ39" s="21"/>
      <c r="HK39" s="21"/>
      <c r="HL39" s="21"/>
      <c r="HM39" s="21"/>
      <c r="HN39" s="21"/>
      <c r="HO39" s="21"/>
      <c r="HP39" s="21"/>
      <c r="HQ39" s="21"/>
      <c r="HR39" s="21"/>
      <c r="HS39" s="21"/>
      <c r="HT39" s="21"/>
      <c r="HU39" s="21"/>
      <c r="HV39" s="21"/>
      <c r="HW39" s="21"/>
      <c r="HX39" s="21"/>
      <c r="HY39" s="21"/>
      <c r="HZ39" s="21"/>
      <c r="IA39" s="21"/>
      <c r="IB39" s="21"/>
      <c r="IC39" s="21"/>
      <c r="ID39" s="21"/>
      <c r="IE39" s="21"/>
      <c r="IF39" s="21"/>
      <c r="IG39" s="212"/>
      <c r="IH39" s="212"/>
      <c r="II39" s="212"/>
      <c r="IJ39" s="212"/>
      <c r="IK39" s="212"/>
      <c r="IL39" s="212"/>
      <c r="IM39" s="212"/>
      <c r="IN39" s="21"/>
      <c r="IO39" s="21"/>
      <c r="IP39" s="21"/>
      <c r="IQ39" s="21"/>
      <c r="IR39" s="21"/>
      <c r="IS39" s="21"/>
      <c r="IT39" s="21"/>
      <c r="IU39" s="21"/>
      <c r="IV39" s="21"/>
    </row>
    <row r="40" spans="1:256" ht="14" x14ac:dyDescent="0.2">
      <c r="A40" s="21">
        <f>VLOOKUP(B40,CW37:CX41,2,FALSE)</f>
        <v>3</v>
      </c>
      <c r="B40" s="21" t="str">
        <f>Matches!AH33</f>
        <v>Portugal</v>
      </c>
      <c r="C40" s="21">
        <f>SUMPRODUCT((CZ3:CZ42=B40)*(DD3:DD42="W"))+SUMPRODUCT((DC3:DC42=B40)*(DE3:DE42="W"))</f>
        <v>1</v>
      </c>
      <c r="D40" s="21">
        <f>SUMPRODUCT((CZ3:CZ42=B40)*(DD3:DD42="D"))+SUMPRODUCT((DC3:DC42=B40)*(DE3:DE42="D"))</f>
        <v>1</v>
      </c>
      <c r="E40" s="21">
        <f>SUMPRODUCT((CZ3:CZ42=B40)*(DD3:DD42="L"))+SUMPRODUCT((DC3:DC42=B40)*(DE3:DE42="L"))</f>
        <v>1</v>
      </c>
      <c r="F40" s="21">
        <f>SUMIF(CZ3:CZ60,B40,DA3:DA60)+SUMIF(DC3:DC60,B40,DB3:DB60)</f>
        <v>7</v>
      </c>
      <c r="G40" s="21">
        <f>SUMIF(DC3:DC60,B40,DA3:DA60)+SUMIF(CZ3:CZ60,B40,DB3:DB60)</f>
        <v>6</v>
      </c>
      <c r="H40" s="21">
        <f t="shared" si="58"/>
        <v>1001</v>
      </c>
      <c r="I40" s="21">
        <f t="shared" si="59"/>
        <v>4</v>
      </c>
      <c r="J40" s="21">
        <v>43</v>
      </c>
      <c r="K40" s="21">
        <f>IF(COUNTIF(I37:I41,4)&lt;&gt;4,RANK(I40,I37:I41),I80)</f>
        <v>2</v>
      </c>
      <c r="L40" s="21"/>
      <c r="M40" s="21">
        <f>SUMPRODUCT((K37:K40=K40)*(J37:J40&lt;J40))+K40</f>
        <v>2</v>
      </c>
      <c r="N40" s="21" t="str">
        <f>INDEX(B37:B41,MATCH(4,M37:M41,0),0)</f>
        <v>Hungary</v>
      </c>
      <c r="O40" s="21">
        <f>INDEX(K37:K41,MATCH(N40,B37:B41,0),0)</f>
        <v>4</v>
      </c>
      <c r="P40" s="21" t="str">
        <f>IF(AND(P39&lt;&gt;"",O40=1),N40,"")</f>
        <v/>
      </c>
      <c r="Q40" s="21" t="str">
        <f>IF(AND(Q39&lt;&gt;"",O41=2),N41,"")</f>
        <v/>
      </c>
      <c r="R40" s="21"/>
      <c r="S40" s="21"/>
      <c r="T40" s="21"/>
      <c r="U40" s="21" t="str">
        <f t="shared" si="62"/>
        <v/>
      </c>
      <c r="V40" s="21">
        <f>SUMPRODUCT((CZ3:CZ42=U40)*(DC3:DC42=U41)*(DD3:DD42="W"))+SUMPRODUCT((CZ3:CZ42=U40)*(DC3:DC42=U37)*(DD3:DD42="W"))+SUMPRODUCT((CZ3:CZ42=U40)*(DC3:DC42=U38)*(DD3:DD42="W"))+SUMPRODUCT((CZ3:CZ42=U40)*(DC3:DC42=U39)*(DD3:DD42="W"))+SUMPRODUCT((CZ3:CZ42=U41)*(DC3:DC42=U40)*(DE3:DE42="W"))+SUMPRODUCT((CZ3:CZ42=U37)*(DC3:DC42=U40)*(DE3:DE42="W"))+SUMPRODUCT((CZ3:CZ42=U38)*(DC3:DC42=U40)*(DE3:DE42="W"))+SUMPRODUCT((CZ3:CZ42=U39)*(DC3:DC42=U40)*(DE3:DE42="W"))</f>
        <v>0</v>
      </c>
      <c r="W40" s="21">
        <f>SUMPRODUCT((CZ3:CZ42=U40)*(DC3:DC42=U41)*(DD3:DD42="D"))+SUMPRODUCT((CZ3:CZ42=U40)*(DC3:DC42=U37)*(DD3:DD42="D"))+SUMPRODUCT((CZ3:CZ42=U40)*(DC3:DC42=U38)*(DD3:DD42="D"))+SUMPRODUCT((CZ3:CZ42=U40)*(DC3:DC42=U39)*(DD3:DD42="D"))+SUMPRODUCT((CZ3:CZ42=U41)*(DC3:DC42=U40)*(DD3:DD42="D"))+SUMPRODUCT((CZ3:CZ42=U37)*(DC3:DC42=U40)*(DD3:DD42="D"))+SUMPRODUCT((CZ3:CZ42=U38)*(DC3:DC42=U40)*(DD3:DD42="D"))+SUMPRODUCT((CZ3:CZ42=U39)*(DC3:DC42=U40)*(DD3:DD42="D"))</f>
        <v>0</v>
      </c>
      <c r="X40" s="21">
        <f>SUMPRODUCT((CZ3:CZ42=U40)*(DC3:DC42=U41)*(DD3:DD42="L"))+SUMPRODUCT((CZ3:CZ42=U40)*(DC3:DC42=U37)*(DD3:DD42="L"))+SUMPRODUCT((CZ3:CZ42=U40)*(DC3:DC42=U38)*(DD3:DD42="L"))+SUMPRODUCT((CZ3:CZ42=U40)*(DC3:DC42=U39)*(DD3:DD42="L"))+SUMPRODUCT((CZ3:CZ42=U41)*(DC3:DC42=U40)*(DE3:DE42="L"))+SUMPRODUCT((CZ3:CZ42=U37)*(DC3:DC42=U40)*(DE3:DE42="L"))+SUMPRODUCT((CZ3:CZ42=U38)*(DC3:DC42=U40)*(DE3:DE42="L"))+SUMPRODUCT((CZ3:CZ42=U39)*(DC3:DC42=U40)*(DE3:DE42="L"))</f>
        <v>0</v>
      </c>
      <c r="Y40" s="21">
        <f>SUMPRODUCT((CZ3:CZ42=U40)*(DC3:DC42=U41)*DA3:DA42)+SUMPRODUCT((CZ3:CZ42=U40)*(DC3:DC42=U37)*DA3:DA42)+SUMPRODUCT((CZ3:CZ42=U40)*(DC3:DC42=U38)*DA3:DA42)+SUMPRODUCT((CZ3:CZ42=U40)*(DC3:DC42=U39)*DA3:DA42)+SUMPRODUCT((CZ3:CZ42=U41)*(DC3:DC42=U40)*DB3:DB42)+SUMPRODUCT((CZ3:CZ42=U37)*(DC3:DC42=U40)*DB3:DB42)+SUMPRODUCT((CZ3:CZ42=U38)*(DC3:DC42=U40)*DB3:DB42)+SUMPRODUCT((CZ3:CZ42=U39)*(DC3:DC42=U40)*DB3:DB42)</f>
        <v>0</v>
      </c>
      <c r="Z40" s="21">
        <f>SUMPRODUCT((CZ3:CZ42=U40)*(DC3:DC42=U41)*DB3:DB42)+SUMPRODUCT((CZ3:CZ42=U40)*(DC3:DC42=U37)*DB3:DB42)+SUMPRODUCT((CZ3:CZ42=U40)*(DC3:DC42=U38)*DB3:DB42)+SUMPRODUCT((CZ3:CZ42=U40)*(DC3:DC42=U39)*DB3:DB42)+SUMPRODUCT((CZ3:CZ42=U41)*(DC3:DC42=U40)*DA3:DA42)+SUMPRODUCT((CZ3:CZ42=U37)*(DC3:DC42=U40)*DA3:DA42)+SUMPRODUCT((CZ3:CZ42=U38)*(DC3:DC42=U40)*DA3:DA42)+SUMPRODUCT((CZ3:CZ42=U39)*(DC3:DC42=U40)*DA3:DA42)</f>
        <v>0</v>
      </c>
      <c r="AA40" s="21">
        <f>Y40-Z40+1000</f>
        <v>1000</v>
      </c>
      <c r="AB40" s="21" t="str">
        <f t="shared" si="60"/>
        <v/>
      </c>
      <c r="AC40" s="21" t="str">
        <f>IF(U40&lt;&gt;"",VLOOKUP(U40,B4:H40,7,FALSE),"")</f>
        <v/>
      </c>
      <c r="AD40" s="21" t="str">
        <f>IF(U40&lt;&gt;"",VLOOKUP(U40,B4:H40,5,FALSE),"")</f>
        <v/>
      </c>
      <c r="AE40" s="21" t="str">
        <f>IF(U40&lt;&gt;"",VLOOKUP(U40,B4:J40,9,FALSE),"")</f>
        <v/>
      </c>
      <c r="AF40" s="21" t="str">
        <f t="shared" si="61"/>
        <v/>
      </c>
      <c r="AG40" s="21" t="str">
        <f>IF(U40&lt;&gt;"",RANK(AF40,AF37:AF41),"")</f>
        <v/>
      </c>
      <c r="AH40" s="21" t="str">
        <f>IF(U40&lt;&gt;"",SUMPRODUCT((AF37:AF41=AF40)*(AA37:AA41&gt;AA40)),"")</f>
        <v/>
      </c>
      <c r="AI40" s="21" t="str">
        <f>IF(U40&lt;&gt;"",SUMPRODUCT((AF37:AF41=AF40)*(AA37:AA41=AA40)*(Y37:Y41&gt;Y40)),"")</f>
        <v/>
      </c>
      <c r="AJ40" s="21" t="str">
        <f>IF(U40&lt;&gt;"",SUMPRODUCT((AF37:AF41=AF40)*(AA37:AA41=AA40)*(Y37:Y41=Y40)*(AC37:AC41&gt;AC40)),"")</f>
        <v/>
      </c>
      <c r="AK40" s="21" t="str">
        <f>IF(U40&lt;&gt;"",SUMPRODUCT((AF37:AF41=AF40)*(AA37:AA41=AA40)*(Y37:Y41=Y40)*(AC37:AC41=AC40)*(AD37:AD41&gt;AD40)),"")</f>
        <v/>
      </c>
      <c r="AL40" s="21" t="str">
        <f>IF(U40&lt;&gt;"",SUMPRODUCT((AF37:AF41=AF40)*(AA37:AA41=AA40)*(Y37:Y41=Y40)*(AC37:AC41=AC40)*(AD37:AD41=AD40)*(AE37:AE41&gt;AE40)),"")</f>
        <v/>
      </c>
      <c r="AM40" s="21" t="str">
        <f>IF(U40&lt;&gt;"",IF(AM80&lt;&gt;"",IF(T76=3,AM80,AM80+T76),SUM(AG40:AL40)),"")</f>
        <v/>
      </c>
      <c r="AN40" s="21" t="str">
        <f>IF(U40&lt;&gt;"",INDEX(U37:U41,MATCH(4,AM37:AM41,0),0),"")</f>
        <v/>
      </c>
      <c r="AO40" s="21" t="str">
        <f>IF(Q39&lt;&gt;"",Q39,"")</f>
        <v/>
      </c>
      <c r="AP40" s="21" t="str">
        <f>IF(AO40&lt;&gt;"",SUMPRODUCT((CZ3:CZ42=AO40)*(DC3:DC42=AO41)*(DD3:DD42="W"))+SUMPRODUCT((CZ3:CZ42=AO40)*(DC3:DC42=AO38)*(DD3:DD42="W"))+SUMPRODUCT((CZ3:CZ42=AO40)*(DC3:DC42=AO39)*(DD3:DD42="W"))+SUMPRODUCT((CZ3:CZ42=AO41)*(DC3:DC42=AO40)*(DE3:DE42="W"))+SUMPRODUCT((CZ3:CZ42=AO38)*(DC3:DC42=AO40)*(DE3:DE42="W"))+SUMPRODUCT((CZ3:CZ42=AO39)*(DC3:DC42=AO40)*(DE3:DE42="W")),"")</f>
        <v/>
      </c>
      <c r="AQ40" s="21" t="str">
        <f>IF(AO40&lt;&gt;"",SUMPRODUCT((CZ3:CZ42=AO40)*(DC3:DC42=AO41)*(DD3:DD42="D"))+SUMPRODUCT((CZ3:CZ42=AO40)*(DC3:DC42=AO38)*(DD3:DD42="D"))+SUMPRODUCT((CZ3:CZ42=AO40)*(DC3:DC42=AO39)*(DD3:DD42="D"))+SUMPRODUCT((CZ3:CZ42=AO41)*(DC3:DC42=AO40)*(DD3:DD42="D"))+SUMPRODUCT((CZ3:CZ42=AO38)*(DC3:DC42=AO40)*(DD3:DD42="D"))+SUMPRODUCT((CZ3:CZ42=AO39)*(DC3:DC42=AO40)*(DD3:DD42="D")),"")</f>
        <v/>
      </c>
      <c r="AR40" s="21" t="str">
        <f>IF(AO40&lt;&gt;"",SUMPRODUCT((CZ3:CZ42=AO40)*(DC3:DC42=AO41)*(DD3:DD42="L"))+SUMPRODUCT((CZ3:CZ42=AO40)*(DC3:DC42=AO38)*(DD3:DD42="L"))+SUMPRODUCT((CZ3:CZ42=AO40)*(DC3:DC42=AO39)*(DD3:DD42="L"))+SUMPRODUCT((CZ3:CZ42=AO41)*(DC3:DC42=AO40)*(DE3:DE42="L"))+SUMPRODUCT((CZ3:CZ42=AO38)*(DC3:DC42=AO40)*(DE3:DE42="L"))+SUMPRODUCT((CZ3:CZ42=AO39)*(DC3:DC42=AO40)*(DE3:DE42="L")),"")</f>
        <v/>
      </c>
      <c r="AS40" s="21">
        <f>SUMPRODUCT((CZ3:CZ42=AO40)*(DC3:DC42=AO41)*DA3:DA42)+SUMPRODUCT((CZ3:CZ42=AO40)*(DC3:DC42=AO37)*DA3:DA42)+SUMPRODUCT((CZ3:CZ42=AO40)*(DC3:DC42=AO38)*DA3:DA42)+SUMPRODUCT((CZ3:CZ42=AO40)*(DC3:DC42=AO39)*DA3:DA42)+SUMPRODUCT((CZ3:CZ42=AO41)*(DC3:DC42=AO40)*DB3:DB42)+SUMPRODUCT((CZ3:CZ42=AO37)*(DC3:DC42=AO40)*DB3:DB42)+SUMPRODUCT((CZ3:CZ42=AO38)*(DC3:DC42=AO40)*DB3:DB42)+SUMPRODUCT((CZ3:CZ42=AO39)*(DC3:DC42=AO40)*DB3:DB42)</f>
        <v>0</v>
      </c>
      <c r="AT40" s="21">
        <f>SUMPRODUCT((CZ3:CZ42=AO40)*(DC3:DC42=AO41)*DB3:DB42)+SUMPRODUCT((CZ3:CZ42=AO40)*(DC3:DC42=AO37)*DB3:DB42)+SUMPRODUCT((CZ3:CZ42=AO40)*(DC3:DC42=AO38)*DB3:DB42)+SUMPRODUCT((CZ3:CZ42=AO40)*(DC3:DC42=AO39)*DB3:DB42)+SUMPRODUCT((CZ3:CZ42=AO41)*(DC3:DC42=AO40)*DA3:DA42)+SUMPRODUCT((CZ3:CZ42=AO37)*(DC3:DC42=AO40)*DA3:DA42)+SUMPRODUCT((CZ3:CZ42=AO38)*(DC3:DC42=AO40)*DA3:DA42)+SUMPRODUCT((CZ3:CZ42=AO39)*(DC3:DC42=AO40)*DA3:DA42)</f>
        <v>0</v>
      </c>
      <c r="AU40" s="21">
        <f>AS40-AT40+1000</f>
        <v>1000</v>
      </c>
      <c r="AV40" s="21" t="str">
        <f t="shared" si="63"/>
        <v/>
      </c>
      <c r="AW40" s="21" t="str">
        <f>IF(AO40&lt;&gt;"",VLOOKUP(AO40,B4:H40,7,FALSE),"")</f>
        <v/>
      </c>
      <c r="AX40" s="21" t="str">
        <f>IF(AO40&lt;&gt;"",VLOOKUP(AO40,B4:H40,5,FALSE),"")</f>
        <v/>
      </c>
      <c r="AY40" s="21" t="str">
        <f>IF(AO40&lt;&gt;"",VLOOKUP(AO40,B4:J40,9,FALSE),"")</f>
        <v/>
      </c>
      <c r="AZ40" s="21" t="str">
        <f t="shared" si="64"/>
        <v/>
      </c>
      <c r="BA40" s="21" t="str">
        <f>IF(AO40&lt;&gt;"",RANK(AZ40,AZ37:AZ40),"")</f>
        <v/>
      </c>
      <c r="BB40" s="21" t="str">
        <f>IF(AO40&lt;&gt;"",SUMPRODUCT((AZ37:AZ41=AZ40)*(AU37:AU41&gt;AU40)),"")</f>
        <v/>
      </c>
      <c r="BC40" s="21" t="str">
        <f>IF(AO40&lt;&gt;"",SUMPRODUCT((AZ37:AZ41=AZ40)*(AU37:AU41=AU40)*(AS37:AS41&gt;AS40)),"")</f>
        <v/>
      </c>
      <c r="BD40" s="21" t="str">
        <f>IF(AO40&lt;&gt;"",SUMPRODUCT((AZ37:AZ41=AZ40)*(AU37:AU41=AU40)*(AS37:AS41=AS40)*(AW37:AW41&gt;AW40)),"")</f>
        <v/>
      </c>
      <c r="BE40" s="21" t="str">
        <f>IF(AO40&lt;&gt;"",SUMPRODUCT((AZ37:AZ41=AZ40)*(AU37:AU41=AU40)*(AS37:AS41=AS40)*(AW37:AW41=AW40)*(AX37:AX41&gt;AX40)),"")</f>
        <v/>
      </c>
      <c r="BF40" s="21" t="str">
        <f>IF(AO40&lt;&gt;"",SUMPRODUCT((AZ37:AZ41=AZ40)*(AU37:AU41=AU40)*(AS37:AS41=AS40)*(AW37:AW41=AW40)*(AX37:AX41=AX40)*(AY37:AY41&gt;AY40)),"")</f>
        <v/>
      </c>
      <c r="BG40" s="21" t="str">
        <f>IF(AO40&lt;&gt;"",IF(BG80&lt;&gt;"",IF(AN76=3,BG80,BG80+AN76),SUM(BA40:BF40)+1),"")</f>
        <v/>
      </c>
      <c r="BH40" s="21" t="str">
        <f>IF(AO40&lt;&gt;"",INDEX(AO38:AO41,MATCH(4,BG38:BG41,0),0),"")</f>
        <v/>
      </c>
      <c r="BI40" s="21" t="str">
        <f>IF(R38&lt;&gt;"",R38,"")</f>
        <v/>
      </c>
      <c r="BJ40" s="21">
        <f>SUMPRODUCT((CZ3:CZ42=BI40)*(DC3:DC42=BI41)*(DD3:DD42="W"))+SUMPRODUCT((CZ3:CZ42=BI40)*(DC3:DC42=BI42)*(DD3:DD42="W"))+SUMPRODUCT((CZ3:CZ42=BI40)*(DC3:DC42=BI39)*(DD3:DD42="W"))+SUMPRODUCT((CZ3:CZ42=BI41)*(DC3:DC42=BI40)*(DE3:DE42="W"))+SUMPRODUCT((CZ3:CZ42=BI42)*(DC3:DC42=BI40)*(DE3:DE42="W"))+SUMPRODUCT((CZ3:CZ42=BI39)*(DC3:DC42=BI40)*(DE3:DE42="W"))</f>
        <v>0</v>
      </c>
      <c r="BK40" s="21">
        <f>SUMPRODUCT((CZ3:CZ42=BI40)*(DC3:DC42=BI41)*(DD3:DD42="D"))+SUMPRODUCT((CZ3:CZ42=BI40)*(DC3:DC42=BI42)*(DD3:DD42="D"))+SUMPRODUCT((CZ3:CZ42=BI40)*(DC3:DC42=BI39)*(DD3:DD42="D"))+SUMPRODUCT((CZ3:CZ42=BI41)*(DC3:DC42=BI40)*(DD3:DD42="D"))+SUMPRODUCT((CZ3:CZ42=BI42)*(DC3:DC42=BI40)*(DD3:DD42="D"))+SUMPRODUCT((CZ3:CZ42=BI39)*(DC3:DC42=BI40)*(DD3:DD42="D"))</f>
        <v>0</v>
      </c>
      <c r="BL40" s="21">
        <f>SUMPRODUCT((CZ3:CZ42=BI40)*(DC3:DC42=BI41)*(DD3:DD42="L"))+SUMPRODUCT((CZ3:CZ42=BI40)*(DC3:DC42=BI42)*(DD3:DD42="L"))+SUMPRODUCT((CZ3:CZ42=BI40)*(DC3:DC42=BI39)*(DD3:DD42="L"))+SUMPRODUCT((CZ3:CZ42=BI41)*(DC3:DC42=BI40)*(DE3:DE42="L"))+SUMPRODUCT((CZ3:CZ42=BI42)*(DC3:DC42=BI40)*(DE3:DE42="L"))+SUMPRODUCT((CZ3:CZ42=BI39)*(DC3:DC42=BI40)*(DE3:DE42="L"))</f>
        <v>0</v>
      </c>
      <c r="BM40" s="21">
        <f>SUMPRODUCT((CZ3:CZ42=BI40)*(DC3:DC42=BI41)*DA3:DA42)+SUMPRODUCT((CZ3:CZ42=BI40)*(DC3:DC42=BI37)*DA3:DA42)+SUMPRODUCT((CZ3:CZ42=BI40)*(DC3:DC42=BI38)*DA3:DA42)+SUMPRODUCT((CZ3:CZ42=BI40)*(DC3:DC42=BI39)*DA3:DA42)+SUMPRODUCT((CZ3:CZ42=BI41)*(DC3:DC42=BI40)*DB3:DB42)+SUMPRODUCT((CZ3:CZ42=BI37)*(DC3:DC42=BI40)*DB3:DB42)+SUMPRODUCT((CZ3:CZ42=BI38)*(DC3:DC42=BI40)*DB3:DB42)+SUMPRODUCT((CZ3:CZ42=BI39)*(DC3:DC42=BI40)*DB3:DB42)</f>
        <v>0</v>
      </c>
      <c r="BN40" s="21">
        <f>SUMPRODUCT((CZ3:CZ42=BI40)*(DC3:DC42=BI41)*DB3:DB42)+SUMPRODUCT((CZ3:CZ42=BI40)*(DC3:DC42=BI37)*DB3:DB42)+SUMPRODUCT((CZ3:CZ42=BI40)*(DC3:DC42=BI38)*DB3:DB42)+SUMPRODUCT((CZ3:CZ42=BI40)*(DC3:DC42=BI39)*DB3:DB42)+SUMPRODUCT((CZ3:CZ42=BI41)*(DC3:DC42=BI40)*DA3:DA42)+SUMPRODUCT((CZ3:CZ42=BI37)*(DC3:DC42=BI40)*DA3:DA42)+SUMPRODUCT((CZ3:CZ42=BI38)*(DC3:DC42=BI40)*DA3:DA42)+SUMPRODUCT((CZ3:CZ42=BI39)*(DC3:DC42=BI40)*DA3:DA42)</f>
        <v>0</v>
      </c>
      <c r="BO40" s="21">
        <f>BM40-BN40+1000</f>
        <v>1000</v>
      </c>
      <c r="BP40" s="21" t="str">
        <f t="shared" si="65"/>
        <v/>
      </c>
      <c r="BQ40" s="21" t="str">
        <f>IF(BI40&lt;&gt;"",VLOOKUP(BI40,B4:H40,7,FALSE),"")</f>
        <v/>
      </c>
      <c r="BR40" s="21" t="str">
        <f>IF(BI40&lt;&gt;"",VLOOKUP(BI40,B4:H40,5,FALSE),"")</f>
        <v/>
      </c>
      <c r="BS40" s="21" t="str">
        <f>IF(BI40&lt;&gt;"",VLOOKUP(BI40,B4:J40,9,FALSE),"")</f>
        <v/>
      </c>
      <c r="BT40" s="21" t="str">
        <f t="shared" si="66"/>
        <v/>
      </c>
      <c r="BU40" s="21" t="str">
        <f>IF(BI40&lt;&gt;"",RANK(BT40,BT38:BT40),"")</f>
        <v/>
      </c>
      <c r="BV40" s="21" t="str">
        <f>IF(BI40&lt;&gt;"",SUMPRODUCT((BT37:BT41=BT40)*(BO37:BO41&gt;BO40)),"")</f>
        <v/>
      </c>
      <c r="BW40" s="21" t="str">
        <f>IF(BI40&lt;&gt;"",SUMPRODUCT((BT37:BT41=BT40)*(BO37:BO41=BO40)*(BM37:BM41&gt;BM40)),"")</f>
        <v/>
      </c>
      <c r="BX40" s="21" t="str">
        <f>IF(BI40&lt;&gt;"",SUMPRODUCT((BT37:BT41=BT40)*(BO37:BO41=BO40)*(BM37:BM41=BM40)*(BQ37:BQ41&gt;BQ40)),"")</f>
        <v/>
      </c>
      <c r="BY40" s="21" t="str">
        <f>IF(BI40&lt;&gt;"",SUMPRODUCT((BT37:BT41=BT40)*(BO37:BO41=BO40)*(BM37:BM41=BM40)*(BQ37:BQ41=BQ40)*(BR37:BR41&gt;BR40)),"")</f>
        <v/>
      </c>
      <c r="BZ40" s="21" t="str">
        <f>IF(BI40&lt;&gt;"",SUMPRODUCT((BT37:BT41=BT40)*(BO37:BO41=BO40)*(BM37:BM41=BM40)*(BQ37:BQ41=BQ40)*(BR37:BR41=BR40)*(BS37:BS41&gt;BS40)),"")</f>
        <v/>
      </c>
      <c r="CA40" s="21" t="str">
        <f>IF(BI40&lt;&gt;"",SUM(BU40:BZ40)+2,"")</f>
        <v/>
      </c>
      <c r="CB40" s="21" t="str">
        <f>IF(BI40&lt;&gt;"",INDEX(BI39:BI41,MATCH(4,CA39:CA41,0),0),"")</f>
        <v/>
      </c>
      <c r="CC40" s="21" t="str">
        <f>IF(S37&lt;&gt;"",S37,"")</f>
        <v/>
      </c>
      <c r="CD40" s="21">
        <f>SUMPRODUCT((CZ3:CZ42=CC40)*(DC3:DC42=CC41)*(DD3:DD42="W"))+SUMPRODUCT((CZ3:CZ42=CC40)*(DC3:DC42=CC42)*(DD3:DD42="W"))+SUMPRODUCT((CZ3:CZ42=CC40)*(DC3:DC42=CC43)*(DD3:DD42="W"))+SUMPRODUCT((CZ3:CZ42=CC41)*(DC3:DC42=CC40)*(DE3:DE42="W"))+SUMPRODUCT((CZ3:CZ42=CC42)*(DC3:DC42=CC40)*(DE3:DE42="W"))+SUMPRODUCT((CZ3:CZ42=CC43)*(DC3:DC42=CC40)*(DE3:DE42="W"))</f>
        <v>0</v>
      </c>
      <c r="CE40" s="21">
        <f>SUMPRODUCT((CZ3:CZ42=CC40)*(DC3:DC42=CC41)*(DD3:DD42="D"))+SUMPRODUCT((CZ3:CZ42=CC40)*(DC3:DC42=CC42)*(DD3:DD42="D"))+SUMPRODUCT((CZ3:CZ42=CC40)*(DC3:DC42=CC43)*(DD3:DD42="D"))+SUMPRODUCT((CZ3:CZ42=CC41)*(DC3:DC42=CC40)*(DD3:DD42="D"))+SUMPRODUCT((CZ3:CZ42=CC42)*(DC3:DC42=CC40)*(DD3:DD42="D"))+SUMPRODUCT((CZ3:CZ42=CC43)*(DC3:DC42=CC40)*(DD3:DD42="D"))</f>
        <v>0</v>
      </c>
      <c r="CF40" s="21">
        <f>SUMPRODUCT((CZ3:CZ42=CC40)*(DC3:DC42=CC41)*(DD3:DD42="L"))+SUMPRODUCT((CZ3:CZ42=CC40)*(DC3:DC42=CC42)*(DD3:DD42="L"))+SUMPRODUCT((CZ3:CZ42=CC40)*(DC3:DC42=CC43)*(DD3:DD42="L"))+SUMPRODUCT((CZ3:CZ42=CC41)*(DC3:DC42=CC40)*(DE3:DE42="L"))+SUMPRODUCT((CZ3:CZ42=CC42)*(DC3:DC42=CC40)*(DE3:DE42="L"))+SUMPRODUCT((CZ3:CZ42=CC43)*(DC3:DC42=CC40)*(DE3:DE42="L"))</f>
        <v>0</v>
      </c>
      <c r="CG40" s="21">
        <f>SUMPRODUCT((CZ3:CZ42=CC40)*(DC3:DC42=CC41)*DA3:DA42)+SUMPRODUCT((CZ3:CZ42=CC40)*(DC3:DC42=CC37)*DA3:DA42)+SUMPRODUCT((CZ3:CZ42=CC40)*(DC3:DC42=CC38)*DA3:DA42)+SUMPRODUCT((CZ3:CZ42=CC40)*(DC3:DC42=CC39)*DA3:DA42)+SUMPRODUCT((CZ3:CZ42=CC41)*(DC3:DC42=CC40)*DB3:DB42)+SUMPRODUCT((CZ3:CZ42=CC37)*(DC3:DC42=CC40)*DB3:DB42)+SUMPRODUCT((CZ3:CZ42=CC38)*(DC3:DC42=CC40)*DB3:DB42)+SUMPRODUCT((CZ3:CZ42=CC39)*(DC3:DC42=CC40)*DB3:DB42)</f>
        <v>0</v>
      </c>
      <c r="CH40" s="21">
        <f>SUMPRODUCT((CZ3:CZ42=CC40)*(DC3:DC42=CC41)*DB3:DB42)+SUMPRODUCT((CZ3:CZ42=CC40)*(DC3:DC42=CC37)*DB3:DB42)+SUMPRODUCT((CZ3:CZ42=CC40)*(DC3:DC42=CC38)*DB3:DB42)+SUMPRODUCT((CZ3:CZ42=CC40)*(DC3:DC42=CC39)*DB3:DB42)+SUMPRODUCT((CZ3:CZ42=CC41)*(DC3:DC42=CC40)*DA3:DA42)+SUMPRODUCT((CZ3:CZ42=CC37)*(DC3:DC42=CC40)*DA3:DA42)+SUMPRODUCT((CZ3:CZ42=CC38)*(DC3:DC42=CC40)*DA3:DA42)+SUMPRODUCT((CZ3:CZ42=CC39)*(DC3:DC42=CC40)*DA3:DA42)</f>
        <v>0</v>
      </c>
      <c r="CI40" s="21">
        <f>CG40-CH40+1000</f>
        <v>1000</v>
      </c>
      <c r="CJ40" s="21" t="str">
        <f t="shared" ref="CJ40" si="67">IF(CC40&lt;&gt;"",CD40*3+CE40*1,"")</f>
        <v/>
      </c>
      <c r="CK40" s="21" t="str">
        <f>IF(CC40&lt;&gt;"",VLOOKUP(CC40,B4:H40,7,FALSE),"")</f>
        <v/>
      </c>
      <c r="CL40" s="21" t="str">
        <f>IF(CC40&lt;&gt;"",VLOOKUP(CC40,B4:H40,5,FALSE),"")</f>
        <v/>
      </c>
      <c r="CM40" s="21" t="str">
        <f>IF(CC40&lt;&gt;"",VLOOKUP(CC40,B4:J40,9,FALSE),"")</f>
        <v/>
      </c>
      <c r="CN40" s="21" t="str">
        <f t="shared" ref="CN40" si="68">CJ40</f>
        <v/>
      </c>
      <c r="CO40" s="21" t="str">
        <f>IF(CC40&lt;&gt;"",RANK(CN40,AF37:AF41),"")</f>
        <v/>
      </c>
      <c r="CP40" s="21" t="str">
        <f>IF(CC40&lt;&gt;"",SUMPRODUCT((CN37:CN41=CN40)*(CI37:CI41&gt;CI40)),"")</f>
        <v/>
      </c>
      <c r="CQ40" s="21" t="str">
        <f>IF(CC40&lt;&gt;"",SUMPRODUCT((CN37:CN41=CN40)*(CI37:CI41=CI40)*(CG37:CG41&gt;CG40)),"")</f>
        <v/>
      </c>
      <c r="CR40" s="21" t="str">
        <f>IF(CC40&lt;&gt;"",SUMPRODUCT((CN37:CN41=CN40)*(CI37:CI41=CI40)*(CG37:CG41=CG40)*(CK37:CK41&gt;CK40)),"")</f>
        <v/>
      </c>
      <c r="CS40" s="21" t="str">
        <f>IF(CC40&lt;&gt;"",SUMPRODUCT((CN37:CN41=CN40)*(CI37:CI41=CI40)*(CG37:CG41=CG40)*(CK37:CK41=CK40)*(CL37:CL41&gt;CL40)),"")</f>
        <v/>
      </c>
      <c r="CT40" s="21" t="str">
        <f>IF(CC40&lt;&gt;"",SUMPRODUCT((CN37:CN41=CN40)*(CI37:CI41=CI40)*(CG37:CG41=CG40)*(CK37:CK41=CK40)*(CL37:CL41=CL40)*(CM37:CM41&gt;CM40)),"")</f>
        <v/>
      </c>
      <c r="CU40" s="21" t="str">
        <f>IF(CC40&lt;&gt;"",SUM(CO40:CT40)+3,"")</f>
        <v/>
      </c>
      <c r="CV40" s="21" t="str">
        <f>IF(CC40&lt;&gt;"",IF(CU40=4,CC40,CC41),"")</f>
        <v/>
      </c>
      <c r="CW40" s="21" t="str">
        <f>IF(CV40&lt;&gt;"",CV40,IF(CB40&lt;&gt;"",CB40,IF(BH40&lt;&gt;"",BH40,IF(AN40&lt;&gt;"",AN40,N40))))</f>
        <v>Hungary</v>
      </c>
      <c r="CX40" s="21">
        <v>4</v>
      </c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2"/>
      <c r="DJ40" s="212"/>
      <c r="DK40" s="212"/>
      <c r="DL40" s="212"/>
      <c r="DM40" s="212"/>
      <c r="DN40" s="212"/>
      <c r="DO40" s="212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  <c r="FT40" s="21"/>
      <c r="FU40" s="21"/>
      <c r="FV40" s="21"/>
      <c r="FW40" s="21"/>
      <c r="FX40" s="21"/>
      <c r="FY40" s="21"/>
      <c r="FZ40" s="21"/>
      <c r="GA40" s="21"/>
      <c r="GB40" s="21"/>
      <c r="GC40" s="21"/>
      <c r="GD40" s="21"/>
      <c r="GE40" s="21"/>
      <c r="GF40" s="21"/>
      <c r="GG40" s="21"/>
      <c r="GH40" s="21"/>
      <c r="GI40" s="21"/>
      <c r="GJ40" s="21"/>
      <c r="GK40" s="21"/>
      <c r="GL40" s="21"/>
      <c r="GM40" s="21"/>
      <c r="GN40" s="21"/>
      <c r="GO40" s="21"/>
      <c r="GP40" s="21"/>
      <c r="GQ40" s="21"/>
      <c r="GR40" s="21"/>
      <c r="GS40" s="21"/>
      <c r="GT40" s="21"/>
      <c r="GU40" s="21"/>
      <c r="GV40" s="21"/>
      <c r="GW40" s="21"/>
      <c r="GX40" s="21"/>
      <c r="GY40" s="21"/>
      <c r="GZ40" s="21"/>
      <c r="HA40" s="21"/>
      <c r="HB40" s="21"/>
      <c r="HC40" s="21"/>
      <c r="HD40" s="21"/>
      <c r="HE40" s="21"/>
      <c r="HF40" s="21"/>
      <c r="HG40" s="21"/>
      <c r="HH40" s="21"/>
      <c r="HI40" s="21"/>
      <c r="HJ40" s="21"/>
      <c r="HK40" s="21"/>
      <c r="HL40" s="21"/>
      <c r="HM40" s="21"/>
      <c r="HN40" s="21"/>
      <c r="HO40" s="21"/>
      <c r="HP40" s="21"/>
      <c r="HQ40" s="21"/>
      <c r="HR40" s="21"/>
      <c r="HS40" s="21"/>
      <c r="HT40" s="21"/>
      <c r="HU40" s="21"/>
      <c r="HV40" s="21"/>
      <c r="HW40" s="21"/>
      <c r="HX40" s="21"/>
      <c r="HY40" s="21"/>
      <c r="HZ40" s="21"/>
      <c r="IA40" s="21"/>
      <c r="IB40" s="21"/>
      <c r="IC40" s="21"/>
      <c r="ID40" s="21"/>
      <c r="IE40" s="21"/>
      <c r="IF40" s="21"/>
      <c r="IG40" s="212"/>
      <c r="IH40" s="212"/>
      <c r="II40" s="212"/>
      <c r="IJ40" s="212"/>
      <c r="IK40" s="212"/>
      <c r="IL40" s="212"/>
      <c r="IM40" s="212"/>
      <c r="IN40" s="21"/>
      <c r="IO40" s="21"/>
      <c r="IP40" s="21"/>
      <c r="IQ40" s="21"/>
      <c r="IR40" s="21"/>
      <c r="IS40" s="21"/>
      <c r="IT40" s="21"/>
      <c r="IU40" s="21"/>
      <c r="IV40" s="21"/>
    </row>
    <row r="41" spans="1:256" ht="14" x14ac:dyDescent="0.2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2"/>
      <c r="DJ41" s="212"/>
      <c r="DK41" s="212"/>
      <c r="DL41" s="212"/>
      <c r="DM41" s="212"/>
      <c r="DN41" s="212"/>
      <c r="DO41" s="212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s="21"/>
      <c r="FN41" s="21"/>
      <c r="FO41" s="21"/>
      <c r="FP41" s="21"/>
      <c r="FQ41" s="21"/>
      <c r="FR41" s="21"/>
      <c r="FS41" s="21"/>
      <c r="FT41" s="21"/>
      <c r="FU41" s="21"/>
      <c r="FV41" s="21"/>
      <c r="FW41" s="21"/>
      <c r="FX41" s="21"/>
      <c r="FY41" s="21"/>
      <c r="FZ41" s="21"/>
      <c r="GA41" s="21"/>
      <c r="GB41" s="21"/>
      <c r="GC41" s="21"/>
      <c r="GD41" s="21"/>
      <c r="GE41" s="21"/>
      <c r="GF41" s="21"/>
      <c r="GG41" s="21"/>
      <c r="GH41" s="21"/>
      <c r="GI41" s="21"/>
      <c r="GJ41" s="21"/>
      <c r="GK41" s="21"/>
      <c r="GL41" s="21"/>
      <c r="GM41" s="21"/>
      <c r="GN41" s="21"/>
      <c r="GO41" s="21"/>
      <c r="GP41" s="21"/>
      <c r="GQ41" s="21"/>
      <c r="GR41" s="21"/>
      <c r="GS41" s="21"/>
      <c r="GT41" s="21"/>
      <c r="GU41" s="21"/>
      <c r="GV41" s="21"/>
      <c r="GW41" s="21"/>
      <c r="GX41" s="21"/>
      <c r="GY41" s="21"/>
      <c r="GZ41" s="21"/>
      <c r="HA41" s="21"/>
      <c r="HB41" s="21"/>
      <c r="HC41" s="21"/>
      <c r="HD41" s="21"/>
      <c r="HE41" s="21"/>
      <c r="HF41" s="21"/>
      <c r="HG41" s="21"/>
      <c r="HH41" s="21"/>
      <c r="HI41" s="21"/>
      <c r="HJ41" s="21"/>
      <c r="HK41" s="21"/>
      <c r="HL41" s="21"/>
      <c r="HM41" s="21"/>
      <c r="HN41" s="21"/>
      <c r="HO41" s="21"/>
      <c r="HP41" s="21"/>
      <c r="HQ41" s="21"/>
      <c r="HR41" s="21"/>
      <c r="HS41" s="21"/>
      <c r="HT41" s="21"/>
      <c r="HU41" s="21"/>
      <c r="HV41" s="21"/>
      <c r="HW41" s="21"/>
      <c r="HX41" s="21"/>
      <c r="HY41" s="21"/>
      <c r="HZ41" s="21"/>
      <c r="IA41" s="21"/>
      <c r="IB41" s="21"/>
      <c r="IC41" s="21"/>
      <c r="ID41" s="21"/>
      <c r="IE41" s="21"/>
      <c r="IF41" s="21"/>
      <c r="IG41" s="212"/>
      <c r="IH41" s="212"/>
      <c r="II41" s="212"/>
      <c r="IJ41" s="212"/>
      <c r="IK41" s="212"/>
      <c r="IL41" s="212"/>
      <c r="IM41" s="212"/>
      <c r="IN41" s="21"/>
      <c r="IO41" s="21"/>
      <c r="IP41" s="21"/>
      <c r="IQ41" s="21"/>
      <c r="IR41" s="21"/>
      <c r="IS41" s="21"/>
      <c r="IT41" s="21"/>
      <c r="IU41" s="21"/>
      <c r="IV41" s="21"/>
    </row>
    <row r="42" spans="1:256" ht="11.5" customHeight="1" x14ac:dyDescent="0.15">
      <c r="DC42" s="213" t="s">
        <v>95</v>
      </c>
    </row>
    <row r="43" spans="1:256" x14ac:dyDescent="0.15">
      <c r="T43" s="213">
        <f>IF(U44="",SUM(AG4:AL4),IF(U45="",SUM(AG5:AL5),IF(U46="",SUM(AG6:AL6),IF(U47="",SUM(AG7:AL7),0))))</f>
        <v>0</v>
      </c>
      <c r="U43" s="213" t="s">
        <v>96</v>
      </c>
      <c r="V43" s="213" t="s">
        <v>38</v>
      </c>
      <c r="W43" s="213" t="s">
        <v>39</v>
      </c>
      <c r="X43" s="213" t="s">
        <v>40</v>
      </c>
      <c r="Y43" s="213" t="s">
        <v>63</v>
      </c>
      <c r="Z43" s="213" t="s">
        <v>64</v>
      </c>
      <c r="AA43" s="213" t="s">
        <v>71</v>
      </c>
      <c r="AB43" s="213" t="s">
        <v>37</v>
      </c>
      <c r="AC43" s="213" t="s">
        <v>81</v>
      </c>
      <c r="AD43" s="213" t="s">
        <v>82</v>
      </c>
      <c r="AE43" s="213" t="s">
        <v>66</v>
      </c>
      <c r="AF43" s="213" t="s">
        <v>44</v>
      </c>
      <c r="AG43" s="213" t="s">
        <v>3</v>
      </c>
      <c r="AH43" s="213" t="s">
        <v>65</v>
      </c>
      <c r="AI43" s="213" t="s">
        <v>63</v>
      </c>
      <c r="AJ43" s="213" t="s">
        <v>83</v>
      </c>
      <c r="AK43" s="213" t="s">
        <v>82</v>
      </c>
      <c r="AL43" s="213" t="s">
        <v>66</v>
      </c>
      <c r="AM43" s="213" t="s">
        <v>84</v>
      </c>
      <c r="AN43" s="213">
        <f>IF(AO45="",SUM(BA5:BF5),IF(AO46="",SUM(BA6:BF6),IF(AO47="",SUM(BA7:BF7),0)))</f>
        <v>0</v>
      </c>
      <c r="AO43" s="213" t="s">
        <v>97</v>
      </c>
      <c r="AP43" s="213" t="s">
        <v>38</v>
      </c>
      <c r="AQ43" s="213" t="s">
        <v>39</v>
      </c>
      <c r="AR43" s="213" t="s">
        <v>40</v>
      </c>
      <c r="AS43" s="213" t="s">
        <v>63</v>
      </c>
      <c r="AT43" s="213" t="s">
        <v>64</v>
      </c>
      <c r="AU43" s="213" t="s">
        <v>71</v>
      </c>
      <c r="AV43" s="213" t="s">
        <v>37</v>
      </c>
      <c r="AW43" s="213" t="s">
        <v>81</v>
      </c>
      <c r="AX43" s="213" t="s">
        <v>82</v>
      </c>
      <c r="AY43" s="213" t="s">
        <v>66</v>
      </c>
      <c r="AZ43" s="213" t="s">
        <v>44</v>
      </c>
      <c r="BA43" s="213" t="s">
        <v>3</v>
      </c>
      <c r="BB43" s="213" t="s">
        <v>65</v>
      </c>
      <c r="BC43" s="213" t="s">
        <v>63</v>
      </c>
      <c r="BD43" s="213" t="s">
        <v>83</v>
      </c>
      <c r="BE43" s="213" t="s">
        <v>82</v>
      </c>
      <c r="BF43" s="213" t="s">
        <v>66</v>
      </c>
      <c r="BG43" s="213" t="s">
        <v>84</v>
      </c>
    </row>
    <row r="44" spans="1:256" x14ac:dyDescent="0.15">
      <c r="I44" s="213">
        <f>SUMPRODUCT((I4:I7=I4)*(H4:H7=H4)*(F4:F7&gt;F4))+1</f>
        <v>1</v>
      </c>
      <c r="T44" s="213" t="str">
        <f>IF(U4&lt;&gt;"",SUMPRODUCT((AB4:AB7=AB4)*(AA4:AA7=AA4)*(Y4:Y7=Y4)*(Z4:Z7=Z4)),"")</f>
        <v/>
      </c>
      <c r="U44" s="213" t="str">
        <f>IF(AND(T44&lt;&gt;"",T44&gt;1),U4,"")</f>
        <v/>
      </c>
      <c r="V44" s="213">
        <f>SUMPRODUCT((CZ3:CZ42=U44)*(DC3:DC42=U45)*(DD3:DD42="W"))+SUMPRODUCT((CZ3:CZ42=U44)*(DC3:DC42=U46)*(DD3:DD42="W"))+SUMPRODUCT((CZ3:CZ42=U44)*(DC3:DC42=U47)*(DD3:DD42="W"))+SUMPRODUCT((CZ3:CZ42=U44)*(DC3:DC42=U48)*(DD3:DD42="W"))+SUMPRODUCT((CZ3:CZ42=U45)*(DC3:DC42=U44)*(DE3:DE42="W"))+SUMPRODUCT((CZ3:CZ42=U46)*(DC3:DC42=U44)*(DE3:DE42="W"))+SUMPRODUCT((CZ3:CZ42=U47)*(DC3:DC42=U44)*(DE3:DE42="W"))+SUMPRODUCT((CZ3:CZ42=U48)*(DC3:DC42=U44)*(DE3:DE42="W"))</f>
        <v>0</v>
      </c>
      <c r="W44" s="213">
        <f>SUMPRODUCT((CZ3:CZ42=U44)*(DC3:DC42=U45)*(DD3:DD42="D"))+SUMPRODUCT((CZ3:CZ42=U44)*(DC3:DC42=U46)*(DD3:DD42="D"))+SUMPRODUCT((CZ3:CZ42=U44)*(DC3:DC42=U47)*(DD3:DD42="D"))+SUMPRODUCT((CZ3:CZ42=U44)*(DC3:DC42=U48)*(DD3:DD42="D"))+SUMPRODUCT((CZ3:CZ42=U45)*(DC3:DC42=U44)*(DD3:DD42="D"))+SUMPRODUCT((CZ3:CZ42=U46)*(DC3:DC42=U44)*(DD3:DD42="D"))+SUMPRODUCT((CZ3:CZ42=U47)*(DC3:DC42=U44)*(DD3:DD42="D"))+SUMPRODUCT((CZ3:CZ42=U48)*(DC3:DC42=U44)*(DD3:DD42="D"))</f>
        <v>0</v>
      </c>
      <c r="X44" s="213">
        <f>SUMPRODUCT((CZ3:CZ42=U44)*(DC3:DC42=U45)*(DD3:DD42="L"))+SUMPRODUCT((CZ3:CZ42=U44)*(DC3:DC42=U46)*(DD3:DD42="L"))+SUMPRODUCT((CZ3:CZ42=U44)*(DC3:DC42=U47)*(DD3:DD42="L"))+SUMPRODUCT((CZ3:CZ42=U44)*(DC3:DC42=U48)*(DD3:DD42="L"))+SUMPRODUCT((CZ3:CZ42=U45)*(DC3:DC42=U44)*(DE3:DE42="L"))+SUMPRODUCT((CZ3:CZ42=U46)*(DC3:DC42=U44)*(DE3:DE42="L"))+SUMPRODUCT((CZ3:CZ42=U47)*(DC3:DC42=U44)*(DE3:DE42="L"))+SUMPRODUCT((CZ3:CZ42=U48)*(DC3:DC42=U44)*(DE3:DE42="L"))</f>
        <v>0</v>
      </c>
      <c r="Y44" s="213">
        <f>SUMPRODUCT((CZ3:CZ42=U44)*(DC3:DC42=U45)*DA3:DA42)+SUMPRODUCT((CZ3:CZ42=U44)*(DC3:DC42=U46)*DA3:DA42)+SUMPRODUCT((CZ3:CZ42=U44)*(DC3:DC42=U47)*DA3:DA42)+SUMPRODUCT((CZ3:CZ42=U44)*(DC3:DC42=U48)*DA3:DA42)+SUMPRODUCT((CZ3:CZ42=U45)*(DC3:DC42=U44)*DB3:DB42)+SUMPRODUCT((CZ3:CZ42=U46)*(DC3:DC42=U44)*DB3:DB42)+SUMPRODUCT((CZ3:CZ42=U47)*(DC3:DC42=U44)*DB3:DB42)+SUMPRODUCT((CZ3:CZ42=U48)*(DC3:DC42=U44)*DB3:DB42)</f>
        <v>0</v>
      </c>
      <c r="Z44" s="213">
        <f>SUMPRODUCT((CZ3:CZ42=U44)*(DC3:DC42=U45)*DB3:DB42)+SUMPRODUCT((CZ3:CZ42=U44)*(DC3:DC42=U46)*DB3:DB42)+SUMPRODUCT((CZ3:CZ42=U44)*(DC3:DC42=U47)*DB3:DB42)+SUMPRODUCT((CZ3:CZ42=U44)*(DC3:DC42=U48)*DB3:DB42)+SUMPRODUCT((CZ3:CZ42=U45)*(DC3:DC42=U44)*DA3:DA42)+SUMPRODUCT((CZ3:CZ42=U46)*(DC3:DC42=U44)*DA3:DA42)+SUMPRODUCT((CZ3:CZ42=U47)*(DC3:DC42=U44)*DA3:DA42)+SUMPRODUCT((CZ3:CZ42=U48)*(DC3:DC42=U44)*DA3:DA42)</f>
        <v>0</v>
      </c>
      <c r="AA44" s="213">
        <f>Y44-Z44+1000</f>
        <v>1000</v>
      </c>
      <c r="AB44" s="213" t="str">
        <f>IF(U44&lt;&gt;"",V44*3+W44*1,"")</f>
        <v/>
      </c>
      <c r="AC44" s="213" t="str">
        <f>IF(U44&lt;&gt;"",VLOOKUP(U44,B4:H40,7,FALSE),"")</f>
        <v/>
      </c>
      <c r="AD44" s="213" t="str">
        <f>IF(U44&lt;&gt;"",VLOOKUP(U44,B4:H40,5,FALSE),"")</f>
        <v/>
      </c>
      <c r="AE44" s="213" t="str">
        <f>IF(U44&lt;&gt;"",VLOOKUP(U44,B4:J40,9,FALSE),"")</f>
        <v/>
      </c>
      <c r="AF44" s="213" t="str">
        <f>AB44</f>
        <v/>
      </c>
      <c r="AG44" s="213" t="str">
        <f>IF(U44&lt;&gt;"",RANK(AF44,AF44:AF48),"")</f>
        <v/>
      </c>
      <c r="AH44" s="213" t="str">
        <f>IF(U44&lt;&gt;"",SUMPRODUCT((AF44:AF48=AF44)*(AA44:AA48&gt;AA44)),"")</f>
        <v/>
      </c>
      <c r="AI44" s="213" t="str">
        <f>IF(U44&lt;&gt;"",SUMPRODUCT((AF44:AF48=AF44)*(AA44:AA48=AA44)*(Y44:Y48&gt;Y44)),"")</f>
        <v/>
      </c>
      <c r="AJ44" s="213" t="str">
        <f>IF(U44&lt;&gt;"",SUMPRODUCT((AF44:AF48=AF44)*(AA44:AA48=AA44)*(Y44:Y48=Y44)*(AC44:AC48&gt;AC44)),"")</f>
        <v/>
      </c>
      <c r="AK44" s="213" t="str">
        <f>IF(U44&lt;&gt;"",SUMPRODUCT((AF44:AF48=AF44)*(AA44:AA48=AA44)*(Y44:Y48=Y44)*(AC44:AC48=AC44)*(AD44:AD48&gt;AD44)),"")</f>
        <v/>
      </c>
      <c r="AL44" s="213" t="str">
        <f>IF(U44&lt;&gt;"",SUMPRODUCT((AF44:AF48=AF44)*(AA44:AA48=AA44)*(Y44:Y48=Y44)*(AC44:AC48=AC44)*(AD44:AD48=AD44)*(AE44:AE48&gt;AE44)),"")</f>
        <v/>
      </c>
      <c r="AM44" s="213" t="str">
        <f>IF(U44&lt;&gt;"",SUM(AG44:AL44),"")</f>
        <v/>
      </c>
    </row>
    <row r="45" spans="1:256" x14ac:dyDescent="0.15">
      <c r="I45" s="213">
        <f>SUMPRODUCT((I4:I7=I5)*(H4:H7=H5)*(F4:F7&gt;F5))+1</f>
        <v>1</v>
      </c>
      <c r="T45" s="213" t="str">
        <f>IF(U5&lt;&gt;"",SUMPRODUCT((AB4:AB7=AB5)*(AA4:AA7=AA5)*(Y4:Y7=Y5)*(Z4:Z7=Z5)),"")</f>
        <v/>
      </c>
      <c r="U45" s="213" t="str">
        <f t="shared" ref="U45:U47" si="69">IF(AND(T45&lt;&gt;"",T45&gt;1),U5,"")</f>
        <v/>
      </c>
      <c r="V45" s="213">
        <f>SUMPRODUCT((CZ3:CZ42=U45)*(DC3:DC42=U46)*(DD3:DD42="W"))+SUMPRODUCT((CZ3:CZ42=U45)*(DC3:DC42=U47)*(DD3:DD42="W"))+SUMPRODUCT((CZ3:CZ42=U45)*(DC3:DC42=U48)*(DD3:DD42="W"))+SUMPRODUCT((CZ3:CZ42=U45)*(DC3:DC42=U44)*(DD3:DD42="W"))+SUMPRODUCT((CZ3:CZ42=U46)*(DC3:DC42=U45)*(DE3:DE42="W"))+SUMPRODUCT((CZ3:CZ42=U47)*(DC3:DC42=U45)*(DE3:DE42="W"))+SUMPRODUCT((CZ3:CZ42=U48)*(DC3:DC42=U45)*(DE3:DE42="W"))+SUMPRODUCT((CZ3:CZ42=U44)*(DC3:DC42=U45)*(DE3:DE42="W"))</f>
        <v>0</v>
      </c>
      <c r="W45" s="213">
        <f>SUMPRODUCT((CZ3:CZ42=U45)*(DC3:DC42=U46)*(DD3:DD42="D"))+SUMPRODUCT((CZ3:CZ42=U45)*(DC3:DC42=U47)*(DD3:DD42="D"))+SUMPRODUCT((CZ3:CZ42=U45)*(DC3:DC42=U48)*(DD3:DD42="D"))+SUMPRODUCT((CZ3:CZ42=U45)*(DC3:DC42=U44)*(DD3:DD42="D"))+SUMPRODUCT((CZ3:CZ42=U46)*(DC3:DC42=U45)*(DD3:DD42="D"))+SUMPRODUCT((CZ3:CZ42=U47)*(DC3:DC42=U45)*(DD3:DD42="D"))+SUMPRODUCT((CZ3:CZ42=U48)*(DC3:DC42=U45)*(DD3:DD42="D"))+SUMPRODUCT((CZ3:CZ42=U44)*(DC3:DC42=U45)*(DD3:DD42="D"))</f>
        <v>0</v>
      </c>
      <c r="X45" s="213">
        <f>SUMPRODUCT((CZ3:CZ42=U45)*(DC3:DC42=U46)*(DD3:DD42="L"))+SUMPRODUCT((CZ3:CZ42=U45)*(DC3:DC42=U47)*(DD3:DD42="L"))+SUMPRODUCT((CZ3:CZ42=U45)*(DC3:DC42=U48)*(DD3:DD42="L"))+SUMPRODUCT((CZ3:CZ42=U45)*(DC3:DC42=U44)*(DD3:DD42="L"))+SUMPRODUCT((CZ3:CZ42=U46)*(DC3:DC42=U45)*(DE3:DE42="L"))+SUMPRODUCT((CZ3:CZ42=U47)*(DC3:DC42=U45)*(DE3:DE42="L"))+SUMPRODUCT((CZ3:CZ42=U48)*(DC3:DC42=U45)*(DE3:DE42="L"))+SUMPRODUCT((CZ3:CZ42=U44)*(DC3:DC42=U45)*(DE3:DE42="L"))</f>
        <v>0</v>
      </c>
      <c r="Y45" s="213">
        <f>SUMPRODUCT((CZ3:CZ42=U45)*(DC3:DC42=U46)*DA3:DA42)+SUMPRODUCT((CZ3:CZ42=U45)*(DC3:DC42=U47)*DA3:DA42)+SUMPRODUCT((CZ3:CZ42=U45)*(DC3:DC42=U48)*DA3:DA42)+SUMPRODUCT((CZ3:CZ42=U45)*(DC3:DC42=U44)*DA3:DA42)+SUMPRODUCT((CZ3:CZ42=U46)*(DC3:DC42=U45)*DB3:DB42)+SUMPRODUCT((CZ3:CZ42=U47)*(DC3:DC42=U45)*DB3:DB42)+SUMPRODUCT((CZ3:CZ42=U48)*(DC3:DC42=U45)*DB3:DB42)+SUMPRODUCT((CZ3:CZ42=U44)*(DC3:DC42=U45)*DB3:DB42)</f>
        <v>0</v>
      </c>
      <c r="Z45" s="213">
        <f>SUMPRODUCT((CZ3:CZ42=U45)*(DC3:DC42=U46)*DB3:DB42)+SUMPRODUCT((CZ3:CZ42=U45)*(DC3:DC42=U47)*DB3:DB42)+SUMPRODUCT((CZ3:CZ42=U45)*(DC3:DC42=U48)*DB3:DB42)+SUMPRODUCT((CZ3:CZ42=U45)*(DC3:DC42=U44)*DB3:DB42)+SUMPRODUCT((CZ3:CZ42=U46)*(DC3:DC42=U45)*DA3:DA42)+SUMPRODUCT((CZ3:CZ42=U47)*(DC3:DC42=U45)*DA3:DA42)+SUMPRODUCT((CZ3:CZ42=U48)*(DC3:DC42=U45)*DA3:DA42)+SUMPRODUCT((CZ3:CZ42=U44)*(DC3:DC42=U45)*DA3:DA42)</f>
        <v>0</v>
      </c>
      <c r="AA45" s="213">
        <f>Y45-Z45+1000</f>
        <v>1000</v>
      </c>
      <c r="AB45" s="213" t="str">
        <f t="shared" ref="AB45:AB47" si="70">IF(U45&lt;&gt;"",V45*3+W45*1,"")</f>
        <v/>
      </c>
      <c r="AC45" s="213" t="str">
        <f>IF(U45&lt;&gt;"",VLOOKUP(U45,B4:H40,7,FALSE),"")</f>
        <v/>
      </c>
      <c r="AD45" s="213" t="str">
        <f>IF(U45&lt;&gt;"",VLOOKUP(U45,B4:H40,5,FALSE),"")</f>
        <v/>
      </c>
      <c r="AE45" s="213" t="str">
        <f>IF(U45&lt;&gt;"",VLOOKUP(U45,B4:J40,9,FALSE),"")</f>
        <v/>
      </c>
      <c r="AF45" s="213" t="str">
        <f t="shared" ref="AF45:AF47" si="71">AB45</f>
        <v/>
      </c>
      <c r="AG45" s="213" t="str">
        <f>IF(U45&lt;&gt;"",RANK(AF45,AF44:AF48),"")</f>
        <v/>
      </c>
      <c r="AH45" s="213" t="str">
        <f>IF(U45&lt;&gt;"",SUMPRODUCT((AF44:AF48=AF45)*(AA44:AA48&gt;AA45)),"")</f>
        <v/>
      </c>
      <c r="AI45" s="213" t="str">
        <f>IF(U45&lt;&gt;"",SUMPRODUCT((AF44:AF48=AF45)*(AA44:AA48=AA45)*(Y44:Y48&gt;Y45)),"")</f>
        <v/>
      </c>
      <c r="AJ45" s="213" t="str">
        <f>IF(U45&lt;&gt;"",SUMPRODUCT((AF44:AF48=AF45)*(AA44:AA48=AA45)*(Y44:Y48=Y45)*(AC44:AC48&gt;AC45)),"")</f>
        <v/>
      </c>
      <c r="AK45" s="213" t="str">
        <f>IF(U45&lt;&gt;"",SUMPRODUCT((AF44:AF48=AF45)*(AA44:AA48=AA45)*(Y44:Y48=Y45)*(AC44:AC48=AC45)*(AD44:AD48&gt;AD45)),"")</f>
        <v/>
      </c>
      <c r="AL45" s="213" t="str">
        <f>IF(U45&lt;&gt;"",SUMPRODUCT((AF44:AF48=AF45)*(AA44:AA48=AA45)*(Y44:Y48=Y45)*(AC44:AC48=AC45)*(AD44:AD48=AD45)*(AE44:AE48&gt;AE45)),"")</f>
        <v/>
      </c>
      <c r="AM45" s="213" t="str">
        <f>IF(U45&lt;&gt;"",SUM(AG45:AL45),"")</f>
        <v/>
      </c>
      <c r="AN45" s="213">
        <f>IF(AO5&lt;&gt;"",SUMPRODUCT((AV4:AV7=AV5)*(AU4:AU7=AU5)*(AS4:AS7=AS5)*(AT4:AT7=AT5)),"")</f>
        <v>2</v>
      </c>
      <c r="AO45" s="213" t="str">
        <f t="shared" ref="AO45:AO47" si="72">IF(AND(AN45&lt;&gt;"",AN45&gt;1),AO5,"")</f>
        <v>Wales</v>
      </c>
      <c r="AP45" s="213">
        <f>SUMPRODUCT((CZ3:CZ42=AO45)*(DC3:DC42=AO46)*(DD3:DD42="W"))+SUMPRODUCT((CZ3:CZ42=AO45)*(DC3:DC42=AO47)*(DD3:DD42="W"))+SUMPRODUCT((CZ3:CZ42=AO45)*(DC3:DC42=AO48)*(DD3:DD42="W"))+SUMPRODUCT((CZ3:CZ42=AO46)*(DC3:DC42=AO45)*(DE3:DE42="W"))+SUMPRODUCT((CZ3:CZ42=AO47)*(DC3:DC42=AO45)*(DE3:DE42="W"))+SUMPRODUCT((CZ3:CZ42=AO48)*(DC3:DC42=AO45)*(DE3:DE42="W"))</f>
        <v>0</v>
      </c>
      <c r="AQ45" s="213">
        <f>SUMPRODUCT((CZ3:CZ42=AO45)*(DC3:DC42=AO46)*(DD3:DD42="D"))+SUMPRODUCT((CZ3:CZ42=AO45)*(DC3:DC42=AO47)*(DD3:DD42="D"))+SUMPRODUCT((CZ3:CZ42=AO45)*(DC3:DC42=AO48)*(DD3:DD42="D"))+SUMPRODUCT((CZ3:CZ42=AO46)*(DC3:DC42=AO45)*(DD3:DD42="D"))+SUMPRODUCT((CZ3:CZ42=AO47)*(DC3:DC42=AO45)*(DD3:DD42="D"))+SUMPRODUCT((CZ3:CZ42=AO48)*(DC3:DC42=AO45)*(DD3:DD42="D"))</f>
        <v>1</v>
      </c>
      <c r="AR45" s="213">
        <f>SUMPRODUCT((CZ3:CZ42=AO45)*(DC3:DC42=AO46)*(DD3:DD42="L"))+SUMPRODUCT((CZ3:CZ42=AO45)*(DC3:DC42=AO47)*(DD3:DD42="L"))+SUMPRODUCT((CZ3:CZ42=AO45)*(DC3:DC42=AO48)*(DD3:DD42="L"))+SUMPRODUCT((CZ3:CZ42=AO46)*(DC3:DC42=AO45)*(DE3:DE42="L"))+SUMPRODUCT((CZ3:CZ42=AO47)*(DC3:DC42=AO45)*(DE3:DE42="L"))+SUMPRODUCT((CZ3:CZ42=AO48)*(DC3:DC42=AO45)*(DE3:DE42="L"))</f>
        <v>0</v>
      </c>
      <c r="AS45" s="213">
        <f>SUMPRODUCT((CZ3:CZ42=AO45)*(DC3:DC42=AO46)*DA3:DA42)+SUMPRODUCT((CZ3:CZ42=AO45)*(DC3:DC42=AO47)*DA3:DA42)+SUMPRODUCT((CZ3:CZ42=AO45)*(DC3:DC42=AO48)*DA3:DA42)+SUMPRODUCT((CZ3:CZ42=AO45)*(DC3:DC42=AO44)*DA3:DA42)+SUMPRODUCT((CZ3:CZ42=AO46)*(DC3:DC42=AO45)*DB3:DB42)+SUMPRODUCT((CZ3:CZ42=AO47)*(DC3:DC42=AO45)*DB3:DB42)+SUMPRODUCT((CZ3:CZ42=AO48)*(DC3:DC42=AO45)*DB3:DB42)+SUMPRODUCT((CZ3:CZ42=AO44)*(DC3:DC42=AO45)*DB3:DB42)</f>
        <v>1</v>
      </c>
      <c r="AT45" s="213">
        <f>SUMPRODUCT((CZ3:CZ42=AO45)*(DC3:DC42=AO46)*DB3:DB42)+SUMPRODUCT((CZ3:CZ42=AO45)*(DC3:DC42=AO47)*DB3:DB42)+SUMPRODUCT((CZ3:CZ42=AO45)*(DC3:DC42=AO48)*DB3:DB42)+SUMPRODUCT((CZ3:CZ42=AO45)*(DC3:DC42=AO44)*DB3:DB42)+SUMPRODUCT((CZ3:CZ42=AO46)*(DC3:DC42=AO45)*DA3:DA42)+SUMPRODUCT((CZ3:CZ42=AO47)*(DC3:DC42=AO45)*DA3:DA42)+SUMPRODUCT((CZ3:CZ42=AO48)*(DC3:DC42=AO45)*DA3:DA42)+SUMPRODUCT((CZ3:CZ42=AO44)*(DC3:DC42=AO45)*DA3:DA42)</f>
        <v>1</v>
      </c>
      <c r="AU45" s="213">
        <f>AS45-AT45+1000</f>
        <v>1000</v>
      </c>
      <c r="AV45" s="213">
        <f t="shared" ref="AV45:AV47" si="73">IF(AO45&lt;&gt;"",AP45*3+AQ45*1,"")</f>
        <v>1</v>
      </c>
      <c r="AW45" s="213">
        <f>IF(AO45&lt;&gt;"",VLOOKUP(AO45,B4:H40,7,FALSE),"")</f>
        <v>1001</v>
      </c>
      <c r="AX45" s="213">
        <f>IF(AO45&lt;&gt;"",VLOOKUP(AO45,B4:H40,5,FALSE),"")</f>
        <v>3</v>
      </c>
      <c r="AY45" s="213">
        <f>IF(AO45&lt;&gt;"",VLOOKUP(AO45,B4:J40,9,FALSE),"")</f>
        <v>37</v>
      </c>
      <c r="AZ45" s="213">
        <f t="shared" ref="AZ45:AZ47" si="74">AV45</f>
        <v>1</v>
      </c>
      <c r="BA45" s="213">
        <f>IF(AO45&lt;&gt;"",RANK(AZ45,AZ44:AZ47),"")</f>
        <v>1</v>
      </c>
      <c r="BB45" s="213">
        <f>IF(AO45&lt;&gt;"",SUMPRODUCT((AZ44:AZ47=AZ45)*(AU44:AU47&gt;AU45)),"")</f>
        <v>0</v>
      </c>
      <c r="BC45" s="213">
        <f>IF(AO45&lt;&gt;"",SUMPRODUCT((AZ44:AZ47=AZ45)*(AU44:AU47=AU45)*(AS44:AS47&gt;AS45)),"")</f>
        <v>0</v>
      </c>
      <c r="BD45" s="213">
        <f>IF(AO45&lt;&gt;"",SUMPRODUCT((AZ44:AZ47=AZ45)*(AU44:AU47=AU45)*(AS44:AS47=AS45)*(AW44:AW47&gt;AW45)),"")</f>
        <v>0</v>
      </c>
      <c r="BE45" s="213">
        <f>IF(AO45&lt;&gt;"",SUMPRODUCT((AZ44:AZ47=AZ45)*(AU44:AU47=AU45)*(AS44:AS47=AS45)*(AW44:AW47=AW45)*(AX44:AX47&gt;AX45)),"")</f>
        <v>0</v>
      </c>
      <c r="BF45" s="213">
        <f>IF(AO45&lt;&gt;"",SUMPRODUCT((AZ44:AZ47=AZ45)*(AU44:AU47=AU45)*(AS44:AS47=AS45)*(AW44:AW47=AW45)*(AX44:AX47=AX45)*(AY44:AY47&gt;AY45)),"")</f>
        <v>0</v>
      </c>
      <c r="BG45" s="213">
        <f>IF(AO45&lt;&gt;"",SUM(BA45:BF45)+1,"")</f>
        <v>2</v>
      </c>
    </row>
    <row r="46" spans="1:256" x14ac:dyDescent="0.15">
      <c r="I46" s="213">
        <f>SUMPRODUCT((I4:I7=I6)*(H4:H7=H6)*(F4:F7&gt;F6))+1</f>
        <v>1</v>
      </c>
      <c r="T46" s="213" t="str">
        <f>IF(U6&lt;&gt;"",SUMPRODUCT((AB4:AB7=AB6)*(AA4:AA7=AA6)*(Y4:Y7=Y6)*(Z4:Z7=Z6)),"")</f>
        <v/>
      </c>
      <c r="U46" s="213" t="str">
        <f t="shared" si="69"/>
        <v/>
      </c>
      <c r="V46" s="213">
        <f>SUMPRODUCT((CZ3:CZ42=U46)*(DC3:DC42=U47)*(DD3:DD42="W"))+SUMPRODUCT((CZ3:CZ42=U46)*(DC3:DC42=U48)*(DD3:DD42="W"))+SUMPRODUCT((CZ3:CZ42=U46)*(DC3:DC42=U44)*(DD3:DD42="W"))+SUMPRODUCT((CZ3:CZ42=U46)*(DC3:DC42=U45)*(DD3:DD42="W"))+SUMPRODUCT((CZ3:CZ42=U47)*(DC3:DC42=U46)*(DE3:DE42="W"))+SUMPRODUCT((CZ3:CZ42=U48)*(DC3:DC42=U46)*(DE3:DE42="W"))+SUMPRODUCT((CZ3:CZ42=U44)*(DC3:DC42=U46)*(DE3:DE42="W"))+SUMPRODUCT((CZ3:CZ42=U45)*(DC3:DC42=U46)*(DE3:DE42="W"))</f>
        <v>0</v>
      </c>
      <c r="W46" s="213">
        <f>SUMPRODUCT((CZ3:CZ42=U46)*(DC3:DC42=U47)*(DD3:DD42="D"))+SUMPRODUCT((CZ3:CZ42=U46)*(DC3:DC42=U48)*(DD3:DD42="D"))+SUMPRODUCT((CZ3:CZ42=U46)*(DC3:DC42=U44)*(DD3:DD42="D"))+SUMPRODUCT((CZ3:CZ42=U46)*(DC3:DC42=U45)*(DD3:DD42="D"))+SUMPRODUCT((CZ3:CZ42=U47)*(DC3:DC42=U46)*(DD3:DD42="D"))+SUMPRODUCT((CZ3:CZ42=U48)*(DC3:DC42=U46)*(DD3:DD42="D"))+SUMPRODUCT((CZ3:CZ42=U44)*(DC3:DC42=U46)*(DD3:DD42="D"))+SUMPRODUCT((CZ3:CZ42=U45)*(DC3:DC42=U46)*(DD3:DD42="D"))</f>
        <v>0</v>
      </c>
      <c r="X46" s="213">
        <f>SUMPRODUCT((CZ3:CZ42=U46)*(DC3:DC42=U47)*(DD3:DD42="L"))+SUMPRODUCT((CZ3:CZ42=U46)*(DC3:DC42=U48)*(DD3:DD42="L"))+SUMPRODUCT((CZ3:CZ42=U46)*(DC3:DC42=U44)*(DD3:DD42="L"))+SUMPRODUCT((CZ3:CZ42=U46)*(DC3:DC42=U45)*(DD3:DD42="L"))+SUMPRODUCT((CZ3:CZ42=U47)*(DC3:DC42=U46)*(DE3:DE42="L"))+SUMPRODUCT((CZ3:CZ42=U48)*(DC3:DC42=U46)*(DE3:DE42="L"))+SUMPRODUCT((CZ3:CZ42=U44)*(DC3:DC42=U46)*(DE3:DE42="L"))+SUMPRODUCT((CZ3:CZ42=U45)*(DC3:DC42=U46)*(DE3:DE42="L"))</f>
        <v>0</v>
      </c>
      <c r="Y46" s="213">
        <f>SUMPRODUCT((CZ3:CZ42=U46)*(DC3:DC42=U47)*DA3:DA42)+SUMPRODUCT((CZ3:CZ42=U46)*(DC3:DC42=U48)*DA3:DA42)+SUMPRODUCT((CZ3:CZ42=U46)*(DC3:DC42=U44)*DA3:DA42)+SUMPRODUCT((CZ3:CZ42=U46)*(DC3:DC42=U45)*DA3:DA42)+SUMPRODUCT((CZ3:CZ42=U47)*(DC3:DC42=U46)*DB3:DB42)+SUMPRODUCT((CZ3:CZ42=U48)*(DC3:DC42=U46)*DB3:DB42)+SUMPRODUCT((CZ3:CZ42=U44)*(DC3:DC42=U46)*DB3:DB42)+SUMPRODUCT((CZ3:CZ42=U45)*(DC3:DC42=U46)*DB3:DB42)</f>
        <v>0</v>
      </c>
      <c r="Z46" s="213">
        <f>SUMPRODUCT((CZ3:CZ42=U46)*(DC3:DC42=U47)*DB3:DB42)+SUMPRODUCT((CZ3:CZ42=U46)*(DC3:DC42=U48)*DB3:DB42)+SUMPRODUCT((CZ3:CZ42=U46)*(DC3:DC42=U44)*DB3:DB42)+SUMPRODUCT((CZ3:CZ42=U46)*(DC3:DC42=U45)*DB3:DB42)+SUMPRODUCT((CZ3:CZ42=U47)*(DC3:DC42=U46)*DA3:DA42)+SUMPRODUCT((CZ3:CZ42=U48)*(DC3:DC42=U46)*DA3:DA42)+SUMPRODUCT((CZ3:CZ42=U44)*(DC3:DC42=U46)*DA3:DA42)+SUMPRODUCT((CZ3:CZ42=U45)*(DC3:DC42=U46)*DA3:DA42)</f>
        <v>0</v>
      </c>
      <c r="AA46" s="213">
        <f>Y46-Z46+1000</f>
        <v>1000</v>
      </c>
      <c r="AB46" s="213" t="str">
        <f t="shared" si="70"/>
        <v/>
      </c>
      <c r="AC46" s="213" t="str">
        <f>IF(U46&lt;&gt;"",VLOOKUP(U46,B4:H40,7,FALSE),"")</f>
        <v/>
      </c>
      <c r="AD46" s="213" t="str">
        <f>IF(U46&lt;&gt;"",VLOOKUP(U46,B4:H40,5,FALSE),"")</f>
        <v/>
      </c>
      <c r="AE46" s="213" t="str">
        <f>IF(U46&lt;&gt;"",VLOOKUP(U46,B4:J40,9,FALSE),"")</f>
        <v/>
      </c>
      <c r="AF46" s="213" t="str">
        <f t="shared" si="71"/>
        <v/>
      </c>
      <c r="AG46" s="213" t="str">
        <f>IF(U46&lt;&gt;"",RANK(AF46,AF44:AF48),"")</f>
        <v/>
      </c>
      <c r="AH46" s="213" t="str">
        <f>IF(U46&lt;&gt;"",SUMPRODUCT((AF44:AF48=AF46)*(AA44:AA48&gt;AA46)),"")</f>
        <v/>
      </c>
      <c r="AI46" s="213" t="str">
        <f>IF(U46&lt;&gt;"",SUMPRODUCT((AF44:AF48=AF46)*(AA44:AA48=AA46)*(Y44:Y48&gt;Y46)),"")</f>
        <v/>
      </c>
      <c r="AJ46" s="213" t="str">
        <f>IF(U46&lt;&gt;"",SUMPRODUCT((AF44:AF48=AF46)*(AA44:AA48=AA46)*(Y44:Y48=Y46)*(AC44:AC48&gt;AC46)),"")</f>
        <v/>
      </c>
      <c r="AK46" s="213" t="str">
        <f>IF(U46&lt;&gt;"",SUMPRODUCT((AF44:AF48=AF46)*(AA44:AA48=AA46)*(Y44:Y48=Y46)*(AC44:AC48=AC46)*(AD44:AD48&gt;AD46)),"")</f>
        <v/>
      </c>
      <c r="AL46" s="213" t="str">
        <f>IF(U46&lt;&gt;"",SUMPRODUCT((AF44:AF48=AF46)*(AA44:AA48=AA46)*(Y44:Y48=Y46)*(AC44:AC48=AC46)*(AD44:AD48=AD46)*(AE44:AE48&gt;AE46)),"")</f>
        <v/>
      </c>
      <c r="AM46" s="213" t="str">
        <f>IF(U46&lt;&gt;"",SUM(AG46:AL46),"")</f>
        <v/>
      </c>
      <c r="AN46" s="213">
        <f>IF(AO6&lt;&gt;"",SUMPRODUCT((AV4:AV7=AV6)*(AU4:AU7=AU6)*(AS4:AS7=AS6)*(AT4:AT7=AT6)),"")</f>
        <v>2</v>
      </c>
      <c r="AO46" s="213" t="str">
        <f t="shared" si="72"/>
        <v>Switzerland</v>
      </c>
      <c r="AP46" s="213">
        <f>SUMPRODUCT((CZ3:CZ42=AO46)*(DC3:DC42=AO47)*(DD3:DD42="W"))+SUMPRODUCT((CZ3:CZ42=AO46)*(DC3:DC42=AO48)*(DD3:DD42="W"))+SUMPRODUCT((CZ3:CZ42=AO46)*(DC3:DC42=AO45)*(DD3:DD42="W"))+SUMPRODUCT((CZ3:CZ42=AO47)*(DC3:DC42=AO46)*(DE3:DE42="W"))+SUMPRODUCT((CZ3:CZ42=AO48)*(DC3:DC42=AO46)*(DE3:DE42="W"))+SUMPRODUCT((CZ3:CZ42=AO45)*(DC3:DC42=AO46)*(DE3:DE42="W"))</f>
        <v>0</v>
      </c>
      <c r="AQ46" s="213">
        <f>SUMPRODUCT((CZ3:CZ42=AO46)*(DC3:DC42=AO47)*(DD3:DD42="D"))+SUMPRODUCT((CZ3:CZ42=AO46)*(DC3:DC42=AO48)*(DD3:DD42="D"))+SUMPRODUCT((CZ3:CZ42=AO46)*(DC3:DC42=AO45)*(DD3:DD42="D"))+SUMPRODUCT((CZ3:CZ42=AO47)*(DC3:DC42=AO46)*(DD3:DD42="D"))+SUMPRODUCT((CZ3:CZ42=AO48)*(DC3:DC42=AO46)*(DD3:DD42="D"))+SUMPRODUCT((CZ3:CZ42=AO45)*(DC3:DC42=AO46)*(DD3:DD42="D"))</f>
        <v>1</v>
      </c>
      <c r="AR46" s="213">
        <f>SUMPRODUCT((CZ3:CZ42=AO46)*(DC3:DC42=AO47)*(DD3:DD42="L"))+SUMPRODUCT((CZ3:CZ42=AO46)*(DC3:DC42=AO48)*(DD3:DD42="L"))+SUMPRODUCT((CZ3:CZ42=AO46)*(DC3:DC42=AO45)*(DD3:DD42="L"))+SUMPRODUCT((CZ3:CZ42=AO47)*(DC3:DC42=AO46)*(DE3:DE42="L"))+SUMPRODUCT((CZ3:CZ42=AO48)*(DC3:DC42=AO46)*(DE3:DE42="L"))+SUMPRODUCT((CZ3:CZ42=AO45)*(DC3:DC42=AO46)*(DE3:DE42="L"))</f>
        <v>0</v>
      </c>
      <c r="AS46" s="213">
        <f>SUMPRODUCT((CZ3:CZ42=AO46)*(DC3:DC42=AO47)*DA3:DA42)+SUMPRODUCT((CZ3:CZ42=AO46)*(DC3:DC42=AO48)*DA3:DA42)+SUMPRODUCT((CZ3:CZ42=AO46)*(DC3:DC42=AO44)*DA3:DA42)+SUMPRODUCT((CZ3:CZ42=AO46)*(DC3:DC42=AO45)*DA3:DA42)+SUMPRODUCT((CZ3:CZ42=AO47)*(DC3:DC42=AO46)*DB3:DB42)+SUMPRODUCT((CZ3:CZ42=AO48)*(DC3:DC42=AO46)*DB3:DB42)+SUMPRODUCT((CZ3:CZ42=AO44)*(DC3:DC42=AO46)*DB3:DB42)+SUMPRODUCT((CZ3:CZ42=AO45)*(DC3:DC42=AO46)*DB3:DB42)</f>
        <v>1</v>
      </c>
      <c r="AT46" s="213">
        <f>SUMPRODUCT((CZ3:CZ42=AO46)*(DC3:DC42=AO47)*DB3:DB42)+SUMPRODUCT((CZ3:CZ42=AO46)*(DC3:DC42=AO48)*DB3:DB42)+SUMPRODUCT((CZ3:CZ42=AO46)*(DC3:DC42=AO44)*DB3:DB42)+SUMPRODUCT((CZ3:CZ42=AO46)*(DC3:DC42=AO45)*DB3:DB42)+SUMPRODUCT((CZ3:CZ42=AO47)*(DC3:DC42=AO46)*DA3:DA42)+SUMPRODUCT((CZ3:CZ42=AO48)*(DC3:DC42=AO46)*DA3:DA42)+SUMPRODUCT((CZ3:CZ42=AO44)*(DC3:DC42=AO46)*DA3:DA42)+SUMPRODUCT((CZ3:CZ42=AO45)*(DC3:DC42=AO46)*DA3:DA42)</f>
        <v>1</v>
      </c>
      <c r="AU46" s="213">
        <f>AS46-AT46+1000</f>
        <v>1000</v>
      </c>
      <c r="AV46" s="213">
        <f t="shared" si="73"/>
        <v>1</v>
      </c>
      <c r="AW46" s="213">
        <f>IF(AO46&lt;&gt;"",VLOOKUP(AO46,B4:H40,7,FALSE),"")</f>
        <v>999</v>
      </c>
      <c r="AX46" s="213">
        <f>IF(AO46&lt;&gt;"",VLOOKUP(AO46,B4:H40,5,FALSE),"")</f>
        <v>4</v>
      </c>
      <c r="AY46" s="213">
        <f>IF(AO46&lt;&gt;"",VLOOKUP(AO46,B4:J40,9,FALSE),"")</f>
        <v>47</v>
      </c>
      <c r="AZ46" s="213">
        <f t="shared" si="74"/>
        <v>1</v>
      </c>
      <c r="BA46" s="213">
        <f>IF(AO46&lt;&gt;"",RANK(AZ46,AZ44:AZ47),"")</f>
        <v>1</v>
      </c>
      <c r="BB46" s="213">
        <f>IF(AO46&lt;&gt;"",SUMPRODUCT((AZ44:AZ47=AZ46)*(AU44:AU47&gt;AU46)),"")</f>
        <v>0</v>
      </c>
      <c r="BC46" s="213">
        <f>IF(AO46&lt;&gt;"",SUMPRODUCT((AZ44:AZ47=AZ46)*(AU44:AU47=AU46)*(AS44:AS47&gt;AS46)),"")</f>
        <v>0</v>
      </c>
      <c r="BD46" s="213">
        <f>IF(AO46&lt;&gt;"",SUMPRODUCT((AZ44:AZ47=AZ46)*(AU44:AU47=AU46)*(AS44:AS47=AS46)*(AW44:AW47&gt;AW46)),"")</f>
        <v>1</v>
      </c>
      <c r="BE46" s="213">
        <f>IF(AO46&lt;&gt;"",SUMPRODUCT((AZ44:AZ47=AZ46)*(AU44:AU47=AU46)*(AS44:AS47=AS46)*(AW44:AW47=AW46)*(AX44:AX47&gt;AX46)),"")</f>
        <v>0</v>
      </c>
      <c r="BF46" s="213">
        <f>IF(AO46&lt;&gt;"",SUMPRODUCT((AZ44:AZ47=AZ46)*(AU44:AU47=AU46)*(AS44:AS47=AS46)*(AW44:AW47=AW46)*(AX44:AX47=AX46)*(AY44:AY47&gt;AY46)),"")</f>
        <v>0</v>
      </c>
      <c r="BG46" s="213">
        <f t="shared" ref="BG46:BG47" si="75">IF(AO46&lt;&gt;"",SUM(BA46:BF46)+1,"")</f>
        <v>3</v>
      </c>
    </row>
    <row r="47" spans="1:256" x14ac:dyDescent="0.15">
      <c r="I47" s="213">
        <f>SUMPRODUCT((I4:I7=I7)*(H4:H7=H7)*(F4:F7&gt;F7))+1</f>
        <v>1</v>
      </c>
      <c r="T47" s="213" t="str">
        <f>IF(U7&lt;&gt;"",SUMPRODUCT((AB4:AB7=AB7)*(AA4:AA7=AA7)*(Y4:Y7=Y7)*(Z4:Z7=Z7)),"")</f>
        <v/>
      </c>
      <c r="U47" s="213" t="str">
        <f t="shared" si="69"/>
        <v/>
      </c>
      <c r="V47" s="213">
        <f>SUMPRODUCT((CZ3:CZ42=U47)*(DC3:DC42=U48)*(DD3:DD42="W"))+SUMPRODUCT((CZ3:CZ42=U47)*(DC3:DC42=U44)*(DD3:DD42="W"))+SUMPRODUCT((CZ3:CZ42=U47)*(DC3:DC42=U45)*(DD3:DD42="W"))+SUMPRODUCT((CZ3:CZ42=U47)*(DC3:DC42=U46)*(DD3:DD42="W"))+SUMPRODUCT((CZ3:CZ42=U48)*(DC3:DC42=U47)*(DE3:DE42="W"))+SUMPRODUCT((CZ3:CZ42=U44)*(DC3:DC42=U47)*(DE3:DE42="W"))+SUMPRODUCT((CZ3:CZ42=U45)*(DC3:DC42=U47)*(DE3:DE42="W"))+SUMPRODUCT((CZ3:CZ42=U46)*(DC3:DC42=U47)*(DE3:DE42="W"))</f>
        <v>0</v>
      </c>
      <c r="W47" s="213">
        <f>SUMPRODUCT((CZ3:CZ42=U47)*(DC3:DC42=U48)*(DD3:DD42="D"))+SUMPRODUCT((CZ3:CZ42=U47)*(DC3:DC42=U44)*(DD3:DD42="D"))+SUMPRODUCT((CZ3:CZ42=U47)*(DC3:DC42=U45)*(DD3:DD42="D"))+SUMPRODUCT((CZ3:CZ42=U47)*(DC3:DC42=U46)*(DD3:DD42="D"))+SUMPRODUCT((CZ3:CZ42=U48)*(DC3:DC42=U47)*(DD3:DD42="D"))+SUMPRODUCT((CZ3:CZ42=U44)*(DC3:DC42=U47)*(DD3:DD42="D"))+SUMPRODUCT((CZ3:CZ42=U45)*(DC3:DC42=U47)*(DD3:DD42="D"))+SUMPRODUCT((CZ3:CZ42=U46)*(DC3:DC42=U47)*(DD3:DD42="D"))</f>
        <v>0</v>
      </c>
      <c r="X47" s="213">
        <f>SUMPRODUCT((CZ3:CZ42=U47)*(DC3:DC42=U48)*(DD3:DD42="L"))+SUMPRODUCT((CZ3:CZ42=U47)*(DC3:DC42=U44)*(DD3:DD42="L"))+SUMPRODUCT((CZ3:CZ42=U47)*(DC3:DC42=U45)*(DD3:DD42="L"))+SUMPRODUCT((CZ3:CZ42=U47)*(DC3:DC42=U46)*(DD3:DD42="L"))+SUMPRODUCT((CZ3:CZ42=U48)*(DC3:DC42=U47)*(DE3:DE42="L"))+SUMPRODUCT((CZ3:CZ42=U44)*(DC3:DC42=U47)*(DE3:DE42="L"))+SUMPRODUCT((CZ3:CZ42=U45)*(DC3:DC42=U47)*(DE3:DE42="L"))+SUMPRODUCT((CZ3:CZ42=U46)*(DC3:DC42=U47)*(DE3:DE42="L"))</f>
        <v>0</v>
      </c>
      <c r="Y47" s="213">
        <f>SUMPRODUCT((CZ3:CZ42=U47)*(DC3:DC42=U48)*DA3:DA42)+SUMPRODUCT((CZ3:CZ42=U47)*(DC3:DC42=U44)*DA3:DA42)+SUMPRODUCT((CZ3:CZ42=U47)*(DC3:DC42=U45)*DA3:DA42)+SUMPRODUCT((CZ3:CZ42=U47)*(DC3:DC42=U46)*DA3:DA42)+SUMPRODUCT((CZ3:CZ42=U48)*(DC3:DC42=U47)*DB3:DB42)+SUMPRODUCT((CZ3:CZ42=U44)*(DC3:DC42=U47)*DB3:DB42)+SUMPRODUCT((CZ3:CZ42=U45)*(DC3:DC42=U47)*DB3:DB42)+SUMPRODUCT((CZ3:CZ42=U46)*(DC3:DC42=U47)*DB3:DB42)</f>
        <v>0</v>
      </c>
      <c r="Z47" s="213">
        <f>SUMPRODUCT((CZ3:CZ42=U47)*(DC3:DC42=U48)*DB3:DB42)+SUMPRODUCT((CZ3:CZ42=U47)*(DC3:DC42=U44)*DB3:DB42)+SUMPRODUCT((CZ3:CZ42=U47)*(DC3:DC42=U45)*DB3:DB42)+SUMPRODUCT((CZ3:CZ42=U47)*(DC3:DC42=U46)*DB3:DB42)+SUMPRODUCT((CZ3:CZ42=U48)*(DC3:DC42=U47)*DA3:DA42)+SUMPRODUCT((CZ3:CZ42=U44)*(DC3:DC42=U47)*DA3:DA42)+SUMPRODUCT((CZ3:CZ42=U45)*(DC3:DC42=U47)*DA3:DA42)+SUMPRODUCT((CZ3:CZ42=U46)*(DC3:DC42=U47)*DA3:DA42)</f>
        <v>0</v>
      </c>
      <c r="AA47" s="213">
        <f>Y47-Z47+1000</f>
        <v>1000</v>
      </c>
      <c r="AB47" s="213" t="str">
        <f t="shared" si="70"/>
        <v/>
      </c>
      <c r="AC47" s="213" t="str">
        <f>IF(U47&lt;&gt;"",VLOOKUP(U47,B4:H40,7,FALSE),"")</f>
        <v/>
      </c>
      <c r="AD47" s="213" t="str">
        <f>IF(U47&lt;&gt;"",VLOOKUP(U47,B4:H40,5,FALSE),"")</f>
        <v/>
      </c>
      <c r="AE47" s="213" t="str">
        <f>IF(U47&lt;&gt;"",VLOOKUP(U47,B4:J40,9,FALSE),"")</f>
        <v/>
      </c>
      <c r="AF47" s="213" t="str">
        <f t="shared" si="71"/>
        <v/>
      </c>
      <c r="AG47" s="213" t="str">
        <f>IF(U47&lt;&gt;"",RANK(AF47,AF44:AF48),"")</f>
        <v/>
      </c>
      <c r="AH47" s="213" t="str">
        <f>IF(U47&lt;&gt;"",SUMPRODUCT((AF44:AF48=AF47)*(AA44:AA48&gt;AA47)),"")</f>
        <v/>
      </c>
      <c r="AI47" s="213" t="str">
        <f>IF(U47&lt;&gt;"",SUMPRODUCT((AF44:AF48=AF47)*(AA44:AA48=AA47)*(Y44:Y48&gt;Y47)),"")</f>
        <v/>
      </c>
      <c r="AJ47" s="213" t="str">
        <f>IF(U47&lt;&gt;"",SUMPRODUCT((AF44:AF48=AF47)*(AA44:AA48=AA47)*(Y44:Y48=Y47)*(AC44:AC48&gt;AC47)),"")</f>
        <v/>
      </c>
      <c r="AK47" s="213" t="str">
        <f>IF(U47&lt;&gt;"",SUMPRODUCT((AF44:AF48=AF47)*(AA44:AA48=AA47)*(Y44:Y48=Y47)*(AC44:AC48=AC47)*(AD44:AD48&gt;AD47)),"")</f>
        <v/>
      </c>
      <c r="AL47" s="213" t="str">
        <f>IF(U47&lt;&gt;"",SUMPRODUCT((AF44:AF48=AF47)*(AA44:AA48=AA47)*(Y44:Y48=Y47)*(AC44:AC48=AC47)*(AD44:AD48=AD47)*(AE44:AE48&gt;AE47)),"")</f>
        <v/>
      </c>
      <c r="AM47" s="213" t="str">
        <f>IF(U47&lt;&gt;"",SUM(AG47:AL47),"")</f>
        <v/>
      </c>
      <c r="AN47" s="213" t="str">
        <f>IF(AO7&lt;&gt;"",SUMPRODUCT((AV4:AV7=AV7)*(AU4:AU7=AU7)*(AS4:AS7=AS7)*(AT4:AT7=AT7)),"")</f>
        <v/>
      </c>
      <c r="AO47" s="213" t="str">
        <f t="shared" si="72"/>
        <v/>
      </c>
      <c r="AP47" s="213">
        <f>SUMPRODUCT((CZ3:CZ42=AO47)*(DC3:DC42=AO48)*(DD3:DD42="W"))+SUMPRODUCT((CZ3:CZ42=AO47)*(DC3:DC42=AO45)*(DD3:DD42="W"))+SUMPRODUCT((CZ3:CZ42=AO47)*(DC3:DC42=AO46)*(DD3:DD42="W"))+SUMPRODUCT((CZ3:CZ42=AO48)*(DC3:DC42=AO47)*(DE3:DE42="W"))+SUMPRODUCT((CZ3:CZ42=AO45)*(DC3:DC42=AO47)*(DE3:DE42="W"))+SUMPRODUCT((CZ3:CZ42=AO46)*(DC3:DC42=AO47)*(DE3:DE42="W"))</f>
        <v>0</v>
      </c>
      <c r="AQ47" s="213">
        <f>SUMPRODUCT((CZ3:CZ42=AO47)*(DC3:DC42=AO48)*(DD3:DD42="D"))+SUMPRODUCT((CZ3:CZ42=AO47)*(DC3:DC42=AO45)*(DD3:DD42="D"))+SUMPRODUCT((CZ3:CZ42=AO47)*(DC3:DC42=AO46)*(DD3:DD42="D"))+SUMPRODUCT((CZ3:CZ42=AO48)*(DC3:DC42=AO47)*(DD3:DD42="D"))+SUMPRODUCT((CZ3:CZ42=AO45)*(DC3:DC42=AO47)*(DD3:DD42="D"))+SUMPRODUCT((CZ3:CZ42=AO46)*(DC3:DC42=AO47)*(DD3:DD42="D"))</f>
        <v>0</v>
      </c>
      <c r="AR47" s="213">
        <f>SUMPRODUCT((CZ3:CZ42=AO47)*(DC3:DC42=AO48)*(DD3:DD42="L"))+SUMPRODUCT((CZ3:CZ42=AO47)*(DC3:DC42=AO45)*(DD3:DD42="L"))+SUMPRODUCT((CZ3:CZ42=AO47)*(DC3:DC42=AO46)*(DD3:DD42="L"))+SUMPRODUCT((CZ3:CZ42=AO48)*(DC3:DC42=AO47)*(DE3:DE42="L"))+SUMPRODUCT((CZ3:CZ42=AO45)*(DC3:DC42=AO47)*(DE3:DE42="L"))+SUMPRODUCT((CZ3:CZ42=AO46)*(DC3:DC42=AO47)*(DE3:DE42="L"))</f>
        <v>0</v>
      </c>
      <c r="AS47" s="213">
        <f>SUMPRODUCT((CZ3:CZ42=AO47)*(DC3:DC42=AO48)*DA3:DA42)+SUMPRODUCT((CZ3:CZ42=AO47)*(DC3:DC42=AO44)*DA3:DA42)+SUMPRODUCT((CZ3:CZ42=AO47)*(DC3:DC42=AO45)*DA3:DA42)+SUMPRODUCT((CZ3:CZ42=AO47)*(DC3:DC42=AO46)*DA3:DA42)+SUMPRODUCT((CZ3:CZ42=AO48)*(DC3:DC42=AO47)*DB3:DB42)+SUMPRODUCT((CZ3:CZ42=AO44)*(DC3:DC42=AO47)*DB3:DB42)+SUMPRODUCT((CZ3:CZ42=AO45)*(DC3:DC42=AO47)*DB3:DB42)+SUMPRODUCT((CZ3:CZ42=AO46)*(DC3:DC42=AO47)*DB3:DB42)</f>
        <v>0</v>
      </c>
      <c r="AT47" s="213">
        <f>SUMPRODUCT((CZ3:CZ42=AO47)*(DC3:DC42=AO48)*DB3:DB42)+SUMPRODUCT((CZ3:CZ42=AO47)*(DC3:DC42=AO44)*DB3:DB42)+SUMPRODUCT((CZ3:CZ42=AO47)*(DC3:DC42=AO45)*DB3:DB42)+SUMPRODUCT((CZ3:CZ42=AO47)*(DC3:DC42=AO46)*DB3:DB42)+SUMPRODUCT((CZ3:CZ42=AO48)*(DC3:DC42=AO47)*DA3:DA42)+SUMPRODUCT((CZ3:CZ42=AO44)*(DC3:DC42=AO47)*DA3:DA42)+SUMPRODUCT((CZ3:CZ42=AO45)*(DC3:DC42=AO47)*DA3:DA42)+SUMPRODUCT((CZ3:CZ42=AO46)*(DC3:DC42=AO47)*DA3:DA42)</f>
        <v>0</v>
      </c>
      <c r="AU47" s="213">
        <f>AS47-AT47+1000</f>
        <v>1000</v>
      </c>
      <c r="AV47" s="213" t="str">
        <f t="shared" si="73"/>
        <v/>
      </c>
      <c r="AW47" s="213" t="str">
        <f>IF(AO47&lt;&gt;"",VLOOKUP(AO47,B4:H40,7,FALSE),"")</f>
        <v/>
      </c>
      <c r="AX47" s="213" t="str">
        <f>IF(AO47&lt;&gt;"",VLOOKUP(AO47,B4:H40,5,FALSE),"")</f>
        <v/>
      </c>
      <c r="AY47" s="213" t="str">
        <f>IF(AO47&lt;&gt;"",VLOOKUP(AO47,B4:J40,9,FALSE),"")</f>
        <v/>
      </c>
      <c r="AZ47" s="213" t="str">
        <f t="shared" si="74"/>
        <v/>
      </c>
      <c r="BA47" s="213" t="str">
        <f>IF(AO47&lt;&gt;"",RANK(AZ47,AZ44:AZ47),"")</f>
        <v/>
      </c>
      <c r="BB47" s="213" t="str">
        <f>IF(AO47&lt;&gt;"",SUMPRODUCT((AZ44:AZ47=AZ47)*(AU44:AU47&gt;AU47)),"")</f>
        <v/>
      </c>
      <c r="BC47" s="213" t="str">
        <f>IF(AO47&lt;&gt;"",SUMPRODUCT((AZ44:AZ47=AZ47)*(AU44:AU47=AU47)*(AS44:AS47&gt;AS47)),"")</f>
        <v/>
      </c>
      <c r="BD47" s="213" t="str">
        <f>IF(AO47&lt;&gt;"",SUMPRODUCT((AZ44:AZ47=AZ47)*(AU44:AU47=AU47)*(AS44:AS47=AS47)*(AW44:AW47&gt;AW47)),"")</f>
        <v/>
      </c>
      <c r="BE47" s="213" t="str">
        <f>IF(AO47&lt;&gt;"",SUMPRODUCT((AZ44:AZ47=AZ47)*(AU44:AU47=AU47)*(AS44:AS47=AS47)*(AW44:AW47=AW47)*(AX44:AX47&gt;AX47)),"")</f>
        <v/>
      </c>
      <c r="BF47" s="213" t="str">
        <f>IF(AO47&lt;&gt;"",SUMPRODUCT((AZ44:AZ47=AZ47)*(AU44:AU47=AU47)*(AS44:AS47=AS47)*(AW44:AW47=AW47)*(AX44:AX47=AX47)*(AY44:AY47&gt;AY47)),"")</f>
        <v/>
      </c>
      <c r="BG47" s="213" t="str">
        <f t="shared" si="75"/>
        <v/>
      </c>
    </row>
    <row r="50" spans="2:59" x14ac:dyDescent="0.15">
      <c r="B50" s="213" t="str">
        <f>B4</f>
        <v>Turkey</v>
      </c>
      <c r="C50" s="213" t="s">
        <v>98</v>
      </c>
      <c r="T50" s="213">
        <f>IF(U51="",SUM(AG11:AL11),IF(U52="",SUM(AG12:AL12),IF(U53="",SUM(AG13:AL13),IF(U54="",SUM(AG14:AL14),0))))</f>
        <v>0</v>
      </c>
      <c r="AN50" s="213">
        <f>IF(AO52="",SUM(BA12:BF12),IF(AO53="",SUM(BA13:BF13),IF(AO54="",SUM(BA14:BF14),0)))</f>
        <v>2</v>
      </c>
    </row>
    <row r="51" spans="2:59" x14ac:dyDescent="0.15">
      <c r="B51" s="213" t="str">
        <f t="shared" ref="B51:B53" si="76">B5</f>
        <v>Italy</v>
      </c>
      <c r="C51" s="213" t="s">
        <v>99</v>
      </c>
      <c r="I51" s="213">
        <f>SUMPRODUCT((I11:I14=I11)*(H11:H14=H11)*(F11:F14&gt;F11))+1</f>
        <v>1</v>
      </c>
      <c r="T51" s="213" t="str">
        <f>IF(U11&lt;&gt;"",SUMPRODUCT((AB11:AB14=AB11)*(AA11:AA14=AA11)*(Y11:Y14=Y11)*(Z11:Z14=Z11)),"")</f>
        <v/>
      </c>
      <c r="U51" s="213" t="str">
        <f>IF(AND(T51&lt;&gt;"",T51&gt;1),U11,"")</f>
        <v/>
      </c>
      <c r="V51" s="213">
        <f>SUMPRODUCT((CZ3:CZ42=U51)*(DC3:DC42=U52)*(DD3:DD42="W"))+SUMPRODUCT((CZ3:CZ42=U51)*(DC3:DC42=U53)*(DD3:DD42="W"))+SUMPRODUCT((CZ3:CZ42=U51)*(DC3:DC42=U54)*(DD3:DD42="W"))+SUMPRODUCT((CZ3:CZ42=U51)*(DC3:DC42=U55)*(DD3:DD42="W"))+SUMPRODUCT((CZ3:CZ42=U52)*(DC3:DC42=U51)*(DE3:DE42="W"))+SUMPRODUCT((CZ3:CZ42=U53)*(DC3:DC42=U51)*(DE3:DE42="W"))+SUMPRODUCT((CZ3:CZ42=U54)*(DC3:DC42=U51)*(DE3:DE42="W"))+SUMPRODUCT((CZ3:CZ42=U55)*(DC3:DC42=U51)*(DE3:DE42="W"))</f>
        <v>0</v>
      </c>
      <c r="W51" s="213">
        <f>SUMPRODUCT((CZ3:CZ42=U51)*(DC3:DC42=U52)*(DD3:DD42="D"))+SUMPRODUCT((CZ3:CZ42=U51)*(DC3:DC42=U53)*(DD3:DD42="D"))+SUMPRODUCT((CZ3:CZ42=U51)*(DC3:DC42=U54)*(DD3:DD42="D"))+SUMPRODUCT((CZ3:CZ42=U51)*(DC3:DC42=U55)*(DD3:DD42="D"))+SUMPRODUCT((CZ3:CZ42=U52)*(DC3:DC42=U51)*(DD3:DD42="D"))+SUMPRODUCT((CZ3:CZ42=U53)*(DC3:DC42=U51)*(DD3:DD42="D"))+SUMPRODUCT((CZ3:CZ42=U54)*(DC3:DC42=U51)*(DD3:DD42="D"))+SUMPRODUCT((CZ3:CZ42=U55)*(DC3:DC42=U51)*(DD3:DD42="D"))</f>
        <v>0</v>
      </c>
      <c r="X51" s="213">
        <f>SUMPRODUCT((CZ3:CZ42=U51)*(DC3:DC42=U52)*(DD3:DD42="L"))+SUMPRODUCT((CZ3:CZ42=U51)*(DC3:DC42=U53)*(DD3:DD42="L"))+SUMPRODUCT((CZ3:CZ42=U51)*(DC3:DC42=U54)*(DD3:DD42="L"))+SUMPRODUCT((CZ3:CZ42=U51)*(DC3:DC42=U55)*(DD3:DD42="L"))+SUMPRODUCT((CZ3:CZ42=U52)*(DC3:DC42=U51)*(DE3:DE42="L"))+SUMPRODUCT((CZ3:CZ42=U53)*(DC3:DC42=U51)*(DE3:DE42="L"))+SUMPRODUCT((CZ3:CZ42=U54)*(DC3:DC42=U51)*(DE3:DE42="L"))+SUMPRODUCT((CZ3:CZ42=U55)*(DC3:DC42=U51)*(DE3:DE42="L"))</f>
        <v>0</v>
      </c>
      <c r="Y51" s="213">
        <f>SUMPRODUCT((CZ3:CZ42=U51)*(DC3:DC42=U52)*DA3:DA42)+SUMPRODUCT((CZ3:CZ42=U51)*(DC3:DC42=U53)*DA3:DA42)+SUMPRODUCT((CZ3:CZ42=U51)*(DC3:DC42=U54)*DA3:DA42)+SUMPRODUCT((CZ3:CZ42=U51)*(DC3:DC42=U55)*DA3:DA42)+SUMPRODUCT((CZ3:CZ42=U52)*(DC3:DC42=U51)*DB3:DB42)+SUMPRODUCT((CZ3:CZ42=U53)*(DC3:DC42=U51)*DB3:DB42)+SUMPRODUCT((CZ3:CZ42=U54)*(DC3:DC42=U51)*DB3:DB42)+SUMPRODUCT((CZ3:CZ42=U55)*(DC3:DC42=U51)*DB3:DB42)</f>
        <v>0</v>
      </c>
      <c r="Z51" s="213">
        <f>SUMPRODUCT((CZ3:CZ42=U51)*(DC3:DC42=U52)*DB3:DB42)+SUMPRODUCT((CZ3:CZ42=U51)*(DC3:DC42=U53)*DB3:DB42)+SUMPRODUCT((CZ3:CZ42=U51)*(DC3:DC42=U54)*DB3:DB42)+SUMPRODUCT((CZ3:CZ42=U51)*(DC3:DC42=U55)*DB3:DB42)+SUMPRODUCT((CZ3:CZ42=U52)*(DC3:DC42=U51)*DA3:DA42)+SUMPRODUCT((CZ3:CZ42=U53)*(DC3:DC42=U51)*DA3:DA42)+SUMPRODUCT((CZ3:CZ42=U54)*(DC3:DC42=U51)*DA3:DA42)+SUMPRODUCT((CZ3:CZ42=U55)*(DC3:DC42=U51)*DA3:DA42)</f>
        <v>0</v>
      </c>
      <c r="AA51" s="213">
        <f>Y51-Z51+1000</f>
        <v>1000</v>
      </c>
      <c r="AB51" s="213" t="str">
        <f t="shared" ref="AB51:AB54" si="77">IF(U51&lt;&gt;"",V51*3+W51*1,"")</f>
        <v/>
      </c>
      <c r="AC51" s="213" t="str">
        <f>IF(U51&lt;&gt;"",VLOOKUP(U51,B4:H40,7,FALSE),"")</f>
        <v/>
      </c>
      <c r="AD51" s="213" t="str">
        <f>IF(U51&lt;&gt;"",VLOOKUP(U51,B4:H40,5,FALSE),"")</f>
        <v/>
      </c>
      <c r="AE51" s="213" t="str">
        <f>IF(U51&lt;&gt;"",VLOOKUP(U51,B4:J40,9,FALSE),"")</f>
        <v/>
      </c>
      <c r="AF51" s="213" t="str">
        <f>AB51</f>
        <v/>
      </c>
      <c r="AG51" s="213" t="str">
        <f>IF(U51&lt;&gt;"",RANK(AF51,AF51:AF54),"")</f>
        <v/>
      </c>
      <c r="AH51" s="213" t="str">
        <f>IF(U51&lt;&gt;"",SUMPRODUCT((AF51:AF54=AF51)*(AA51:AA54&gt;AA51)),"")</f>
        <v/>
      </c>
      <c r="AI51" s="213" t="str">
        <f>IF(U51&lt;&gt;"",SUMPRODUCT((AF51:AF54=AF51)*(AA51:AA54=AA51)*(Y51:Y54&gt;Y51)),"")</f>
        <v/>
      </c>
      <c r="AJ51" s="213" t="str">
        <f>IF(U51&lt;&gt;"",SUMPRODUCT((AF51:AF54=AF51)*(AA51:AA54=AA51)*(Y51:Y54=Y51)*(AC51:AC54&gt;AC51)),"")</f>
        <v/>
      </c>
      <c r="AK51" s="213" t="str">
        <f>IF(U51&lt;&gt;"",SUMPRODUCT((AF51:AF54=AF51)*(AA51:AA54=AA51)*(Y51:Y54=Y51)*(AC51:AC54=AC51)*(AD51:AD54&gt;AD51)),"")</f>
        <v/>
      </c>
      <c r="AL51" s="213" t="str">
        <f>IF(U51&lt;&gt;"",SUMPRODUCT((AF51:AF54=AF51)*(AA51:AA54=AA51)*(Y51:Y54=Y51)*(AC51:AC54=AC51)*(AD51:AD54=AD51)*(AE51:AE54&gt;AE51)),"")</f>
        <v/>
      </c>
      <c r="AM51" s="213" t="str">
        <f>IF(U51&lt;&gt;"",SUM(AG51:AL51),"")</f>
        <v/>
      </c>
    </row>
    <row r="52" spans="2:59" x14ac:dyDescent="0.15">
      <c r="B52" s="213" t="str">
        <f t="shared" si="76"/>
        <v>Wales</v>
      </c>
      <c r="C52" s="213" t="s">
        <v>100</v>
      </c>
      <c r="I52" s="213">
        <f>SUMPRODUCT((I11:I14=I12)*(H11:H14=H12)*(F11:F14&gt;F12))+1</f>
        <v>1</v>
      </c>
      <c r="T52" s="213" t="str">
        <f>IF(U12&lt;&gt;"",SUMPRODUCT((AB11:AB14=AB12)*(AA11:AA14=AA12)*(Y11:Y14=Y12)*(Z11:Z14=Z12)),"")</f>
        <v/>
      </c>
      <c r="U52" s="213" t="str">
        <f t="shared" ref="U52:U54" si="78">IF(AND(T52&lt;&gt;"",T52&gt;1),U12,"")</f>
        <v/>
      </c>
      <c r="V52" s="213">
        <f>SUMPRODUCT((CZ3:CZ42=U52)*(DC3:DC42=U53)*(DD3:DD42="W"))+SUMPRODUCT((CZ3:CZ42=U52)*(DC3:DC42=U54)*(DD3:DD42="W"))+SUMPRODUCT((CZ3:CZ42=U52)*(DC3:DC42=U55)*(DD3:DD42="W"))+SUMPRODUCT((CZ3:CZ42=U52)*(DC3:DC42=U51)*(DD3:DD42="W"))+SUMPRODUCT((CZ3:CZ42=U53)*(DC3:DC42=U52)*(DE3:DE42="W"))+SUMPRODUCT((CZ3:CZ42=U54)*(DC3:DC42=U52)*(DE3:DE42="W"))+SUMPRODUCT((CZ3:CZ42=U55)*(DC3:DC42=U52)*(DE3:DE42="W"))+SUMPRODUCT((CZ3:CZ42=U51)*(DC3:DC42=U52)*(DE3:DE42="W"))</f>
        <v>0</v>
      </c>
      <c r="W52" s="213">
        <f>SUMPRODUCT((CZ3:CZ42=U52)*(DC3:DC42=U53)*(DD3:DD42="D"))+SUMPRODUCT((CZ3:CZ42=U52)*(DC3:DC42=U54)*(DD3:DD42="D"))+SUMPRODUCT((CZ3:CZ42=U52)*(DC3:DC42=U55)*(DD3:DD42="D"))+SUMPRODUCT((CZ3:CZ42=U52)*(DC3:DC42=U51)*(DD3:DD42="D"))+SUMPRODUCT((CZ3:CZ42=U53)*(DC3:DC42=U52)*(DD3:DD42="D"))+SUMPRODUCT((CZ3:CZ42=U54)*(DC3:DC42=U52)*(DD3:DD42="D"))+SUMPRODUCT((CZ3:CZ42=U55)*(DC3:DC42=U52)*(DD3:DD42="D"))+SUMPRODUCT((CZ3:CZ42=U51)*(DC3:DC42=U52)*(DD3:DD42="D"))</f>
        <v>0</v>
      </c>
      <c r="X52" s="213">
        <f>SUMPRODUCT((CZ3:CZ42=U52)*(DC3:DC42=U53)*(DD3:DD42="L"))+SUMPRODUCT((CZ3:CZ42=U52)*(DC3:DC42=U54)*(DD3:DD42="L"))+SUMPRODUCT((CZ3:CZ42=U52)*(DC3:DC42=U55)*(DD3:DD42="L"))+SUMPRODUCT((CZ3:CZ42=U52)*(DC3:DC42=U51)*(DD3:DD42="L"))+SUMPRODUCT((CZ3:CZ42=U53)*(DC3:DC42=U52)*(DE3:DE42="L"))+SUMPRODUCT((CZ3:CZ42=U54)*(DC3:DC42=U52)*(DE3:DE42="L"))+SUMPRODUCT((CZ3:CZ42=U55)*(DC3:DC42=U52)*(DE3:DE42="L"))+SUMPRODUCT((CZ3:CZ42=U51)*(DC3:DC42=U52)*(DE3:DE42="L"))</f>
        <v>0</v>
      </c>
      <c r="Y52" s="213">
        <f>SUMPRODUCT((CZ3:CZ42=U52)*(DC3:DC42=U53)*DA3:DA42)+SUMPRODUCT((CZ3:CZ42=U52)*(DC3:DC42=U54)*DA3:DA42)+SUMPRODUCT((CZ3:CZ42=U52)*(DC3:DC42=U55)*DA3:DA42)+SUMPRODUCT((CZ3:CZ42=U52)*(DC3:DC42=U51)*DA3:DA42)+SUMPRODUCT((CZ3:CZ42=U53)*(DC3:DC42=U52)*DB3:DB42)+SUMPRODUCT((CZ3:CZ42=U54)*(DC3:DC42=U52)*DB3:DB42)+SUMPRODUCT((CZ3:CZ42=U55)*(DC3:DC42=U52)*DB3:DB42)+SUMPRODUCT((CZ3:CZ42=U51)*(DC3:DC42=U52)*DB3:DB42)</f>
        <v>0</v>
      </c>
      <c r="Z52" s="213">
        <f>SUMPRODUCT((CZ3:CZ42=U52)*(DC3:DC42=U53)*DB3:DB42)+SUMPRODUCT((CZ3:CZ42=U52)*(DC3:DC42=U54)*DB3:DB42)+SUMPRODUCT((CZ3:CZ42=U52)*(DC3:DC42=U55)*DB3:DB42)+SUMPRODUCT((CZ3:CZ42=U52)*(DC3:DC42=U51)*DB3:DB42)+SUMPRODUCT((CZ3:CZ42=U53)*(DC3:DC42=U52)*DA3:DA42)+SUMPRODUCT((CZ3:CZ42=U54)*(DC3:DC42=U52)*DA3:DA42)+SUMPRODUCT((CZ3:CZ42=U55)*(DC3:DC42=U52)*DA3:DA42)+SUMPRODUCT((CZ3:CZ42=U51)*(DC3:DC42=U52)*DA3:DA42)</f>
        <v>0</v>
      </c>
      <c r="AA52" s="213">
        <f>Y52-Z52+1000</f>
        <v>1000</v>
      </c>
      <c r="AB52" s="213" t="str">
        <f t="shared" si="77"/>
        <v/>
      </c>
      <c r="AC52" s="213" t="str">
        <f>IF(U52&lt;&gt;"",VLOOKUP(U52,B4:H40,7,FALSE),"")</f>
        <v/>
      </c>
      <c r="AD52" s="213" t="str">
        <f>IF(U52&lt;&gt;"",VLOOKUP(U52,B4:H40,5,FALSE),"")</f>
        <v/>
      </c>
      <c r="AE52" s="213" t="str">
        <f>IF(U52&lt;&gt;"",VLOOKUP(U52,B4:J40,9,FALSE),"")</f>
        <v/>
      </c>
      <c r="AF52" s="213" t="str">
        <f t="shared" ref="AF52:AF54" si="79">AB52</f>
        <v/>
      </c>
      <c r="AG52" s="213" t="str">
        <f>IF(U52&lt;&gt;"",RANK(AF52,AF51:AF54),"")</f>
        <v/>
      </c>
      <c r="AH52" s="213" t="str">
        <f>IF(U52&lt;&gt;"",SUMPRODUCT((AF51:AF54=AF52)*(AA51:AA54&gt;AA52)),"")</f>
        <v/>
      </c>
      <c r="AI52" s="213" t="str">
        <f>IF(U52&lt;&gt;"",SUMPRODUCT((AF51:AF54=AF52)*(AA51:AA54=AA52)*(Y51:Y54&gt;Y52)),"")</f>
        <v/>
      </c>
      <c r="AJ52" s="213" t="str">
        <f>IF(U52&lt;&gt;"",SUMPRODUCT((AF51:AF54=AF52)*(AA51:AA54=AA52)*(Y51:Y54=Y52)*(AC51:AC54&gt;AC52)),"")</f>
        <v/>
      </c>
      <c r="AK52" s="213" t="str">
        <f>IF(U52&lt;&gt;"",SUMPRODUCT((AF51:AF54=AF52)*(AA51:AA54=AA52)*(Y51:Y54=Y52)*(AC51:AC54=AC52)*(AD51:AD54&gt;AD52)),"")</f>
        <v/>
      </c>
      <c r="AL52" s="213" t="str">
        <f>IF(U52&lt;&gt;"",SUMPRODUCT((AF51:AF54=AF52)*(AA51:AA54=AA52)*(Y51:Y54=Y52)*(AC51:AC54=AC52)*(AD51:AD54=AD52)*(AE51:AE54&gt;AE52)),"")</f>
        <v/>
      </c>
      <c r="AM52" s="213" t="str">
        <f t="shared" ref="AM52:AM54" si="80">IF(U52&lt;&gt;"",SUM(AG52:AL52),"")</f>
        <v/>
      </c>
      <c r="AN52" s="213">
        <f>IF(AO12&lt;&gt;"",SUMPRODUCT((AV11:AV14=AV12)*(AU11:AU14=AU12)*(AS11:AS14=AS12)*(AT11:AT14=AT12)),"")</f>
        <v>1</v>
      </c>
      <c r="AO52" s="213" t="str">
        <f t="shared" ref="AO52:AO54" si="81">IF(AND(AN52&lt;&gt;"",AN52&gt;1),AO12,"")</f>
        <v/>
      </c>
      <c r="AP52" s="213">
        <f>SUMPRODUCT((CZ3:CZ42=AO52)*(DC3:DC42=AO53)*(DD3:DD42="W"))+SUMPRODUCT((CZ3:CZ42=AO52)*(DC3:DC42=AO54)*(DD3:DD42="W"))+SUMPRODUCT((CZ3:CZ42=AO52)*(DC3:DC42=AO55)*(DD3:DD42="W"))+SUMPRODUCT((CZ3:CZ42=AO53)*(DC3:DC42=AO52)*(DE3:DE42="W"))+SUMPRODUCT((CZ3:CZ42=AO54)*(DC3:DC42=AO52)*(DE3:DE42="W"))+SUMPRODUCT((CZ3:CZ42=AO55)*(DC3:DC42=AO52)*(DE3:DE42="W"))</f>
        <v>0</v>
      </c>
      <c r="AQ52" s="213">
        <f>SUMPRODUCT((CZ3:CZ42=AO52)*(DC3:DC42=AO53)*(DD3:DD42="D"))+SUMPRODUCT((CZ3:CZ42=AO52)*(DC3:DC42=AO54)*(DD3:DD42="D"))+SUMPRODUCT((CZ3:CZ42=AO52)*(DC3:DC42=AO55)*(DD3:DD42="D"))+SUMPRODUCT((CZ3:CZ42=AO53)*(DC3:DC42=AO52)*(DD3:DD42="D"))+SUMPRODUCT((CZ3:CZ42=AO54)*(DC3:DC42=AO52)*(DD3:DD42="D"))+SUMPRODUCT((CZ3:CZ42=AO55)*(DC3:DC42=AO52)*(DD3:DD42="D"))</f>
        <v>0</v>
      </c>
      <c r="AR52" s="213">
        <f>SUMPRODUCT((CZ3:CZ42=AO52)*(DC3:DC42=AO53)*(DD3:DD42="L"))+SUMPRODUCT((CZ3:CZ42=AO52)*(DC3:DC42=AO54)*(DD3:DD42="L"))+SUMPRODUCT((CZ3:CZ42=AO52)*(DC3:DC42=AO55)*(DD3:DD42="L"))+SUMPRODUCT((CZ3:CZ42=AO53)*(DC3:DC42=AO52)*(DE3:DE42="L"))+SUMPRODUCT((CZ3:CZ42=AO54)*(DC3:DC42=AO52)*(DE3:DE42="L"))+SUMPRODUCT((CZ3:CZ42=AO55)*(DC3:DC42=AO52)*(DE3:DE42="L"))</f>
        <v>0</v>
      </c>
      <c r="AS52" s="213">
        <f>SUMPRODUCT((CZ3:CZ42=AO52)*(DC3:DC42=AO53)*DA3:DA42)+SUMPRODUCT((CZ3:CZ42=AO52)*(DC3:DC42=AO54)*DA3:DA42)+SUMPRODUCT((CZ3:CZ42=AO52)*(DC3:DC42=AO55)*DA3:DA42)+SUMPRODUCT((CZ3:CZ42=AO52)*(DC3:DC42=AO51)*DA3:DA42)+SUMPRODUCT((CZ3:CZ42=AO53)*(DC3:DC42=AO52)*DB3:DB42)+SUMPRODUCT((CZ3:CZ42=AO54)*(DC3:DC42=AO52)*DB3:DB42)+SUMPRODUCT((CZ3:CZ42=AO55)*(DC3:DC42=AO52)*DB3:DB42)+SUMPRODUCT((CZ3:CZ42=AO51)*(DC3:DC42=AO52)*DB3:DB42)</f>
        <v>0</v>
      </c>
      <c r="AT52" s="213">
        <f>SUMPRODUCT((CZ3:CZ42=AO52)*(DC3:DC42=AO53)*DB3:DB42)+SUMPRODUCT((CZ3:CZ42=AO52)*(DC3:DC42=AO54)*DB3:DB42)+SUMPRODUCT((CZ3:CZ42=AO52)*(DC3:DC42=AO55)*DB3:DB42)+SUMPRODUCT((CZ3:CZ42=AO52)*(DC3:DC42=AO51)*DB3:DB42)+SUMPRODUCT((CZ3:CZ42=AO53)*(DC3:DC42=AO52)*DA3:DA42)+SUMPRODUCT((CZ3:CZ42=AO54)*(DC3:DC42=AO52)*DA3:DA42)+SUMPRODUCT((CZ3:CZ42=AO55)*(DC3:DC42=AO52)*DA3:DA42)+SUMPRODUCT((CZ3:CZ42=AO51)*(DC3:DC42=AO52)*DA3:DA42)</f>
        <v>0</v>
      </c>
      <c r="AU52" s="213">
        <f>AS52-AT52+1000</f>
        <v>1000</v>
      </c>
      <c r="AV52" s="213" t="str">
        <f t="shared" ref="AV52:AV54" si="82">IF(AO52&lt;&gt;"",AP52*3+AQ52*1,"")</f>
        <v/>
      </c>
      <c r="AW52" s="213" t="str">
        <f>IF(AO52&lt;&gt;"",VLOOKUP(AO52,B4:H40,7,FALSE),"")</f>
        <v/>
      </c>
      <c r="AX52" s="213" t="str">
        <f>IF(AO52&lt;&gt;"",VLOOKUP(AO52,B4:H40,5,FALSE),"")</f>
        <v/>
      </c>
      <c r="AY52" s="213" t="str">
        <f>IF(AO52&lt;&gt;"",VLOOKUP(AO52,B4:J40,9,FALSE),"")</f>
        <v/>
      </c>
      <c r="AZ52" s="213" t="str">
        <f t="shared" ref="AZ52:AZ54" si="83">AV52</f>
        <v/>
      </c>
      <c r="BA52" s="213" t="str">
        <f>IF(AO52&lt;&gt;"",RANK(AZ52,AZ51:AZ54),"")</f>
        <v/>
      </c>
      <c r="BB52" s="213" t="str">
        <f>IF(AO52&lt;&gt;"",SUMPRODUCT((AZ51:AZ54=AZ52)*(AU51:AU54&gt;AU52)),"")</f>
        <v/>
      </c>
      <c r="BC52" s="213" t="str">
        <f>IF(AO52&lt;&gt;"",SUMPRODUCT((AZ51:AZ54=AZ52)*(AU51:AU54=AU52)*(AS51:AS54&gt;AS52)),"")</f>
        <v/>
      </c>
      <c r="BD52" s="213" t="str">
        <f>IF(AO52&lt;&gt;"",SUMPRODUCT((AZ51:AZ54=AZ52)*(AU51:AU54=AU52)*(AS51:AS54=AS52)*(AW51:AW54&gt;AW52)),"")</f>
        <v/>
      </c>
      <c r="BE52" s="213" t="str">
        <f>IF(AO52&lt;&gt;"",SUMPRODUCT((AZ51:AZ54=AZ52)*(AU51:AU54=AU52)*(AS51:AS54=AS52)*(AW51:AW54=AW52)*(AX51:AX54&gt;AX52)),"")</f>
        <v/>
      </c>
      <c r="BF52" s="213" t="str">
        <f>IF(AO52&lt;&gt;"",SUMPRODUCT((AZ51:AZ54=AZ52)*(AU51:AU54=AU52)*(AS51:AS54=AS52)*(AW51:AW54=AW52)*(AX51:AX54=AX52)*(AY51:AY54&gt;AY52)),"")</f>
        <v/>
      </c>
      <c r="BG52" s="213" t="str">
        <f>IF(AO52&lt;&gt;"",SUM(BA52:BF52)+1,"")</f>
        <v/>
      </c>
    </row>
    <row r="53" spans="2:59" x14ac:dyDescent="0.15">
      <c r="B53" s="213" t="str">
        <f t="shared" si="76"/>
        <v>Switzerland</v>
      </c>
      <c r="C53" s="213" t="s">
        <v>101</v>
      </c>
      <c r="I53" s="213">
        <f>SUMPRODUCT((I11:I14=I13)*(H11:H14=H13)*(F11:F14&gt;F13))+1</f>
        <v>1</v>
      </c>
      <c r="T53" s="213" t="str">
        <f>IF(U13&lt;&gt;"",SUMPRODUCT((AB11:AB14=AB13)*(AA11:AA14=AA13)*(Y11:Y14=Y13)*(Z11:Z14=Z13)),"")</f>
        <v/>
      </c>
      <c r="U53" s="213" t="str">
        <f t="shared" si="78"/>
        <v/>
      </c>
      <c r="V53" s="213">
        <f>SUMPRODUCT((CZ3:CZ42=U53)*(DC3:DC42=U54)*(DD3:DD42="W"))+SUMPRODUCT((CZ3:CZ42=U53)*(DC3:DC42=U55)*(DD3:DD42="W"))+SUMPRODUCT((CZ3:CZ42=U53)*(DC3:DC42=U51)*(DD3:DD42="W"))+SUMPRODUCT((CZ3:CZ42=U53)*(DC3:DC42=U52)*(DD3:DD42="W"))+SUMPRODUCT((CZ3:CZ42=U54)*(DC3:DC42=U53)*(DE3:DE42="W"))+SUMPRODUCT((CZ3:CZ42=U55)*(DC3:DC42=U53)*(DE3:DE42="W"))+SUMPRODUCT((CZ3:CZ42=U51)*(DC3:DC42=U53)*(DE3:DE42="W"))+SUMPRODUCT((CZ3:CZ42=U52)*(DC3:DC42=U53)*(DE3:DE42="W"))</f>
        <v>0</v>
      </c>
      <c r="W53" s="213">
        <f>SUMPRODUCT((CZ3:CZ42=U53)*(DC3:DC42=U54)*(DD3:DD42="D"))+SUMPRODUCT((CZ3:CZ42=U53)*(DC3:DC42=U55)*(DD3:DD42="D"))+SUMPRODUCT((CZ3:CZ42=U53)*(DC3:DC42=U51)*(DD3:DD42="D"))+SUMPRODUCT((CZ3:CZ42=U53)*(DC3:DC42=U52)*(DD3:DD42="D"))+SUMPRODUCT((CZ3:CZ42=U54)*(DC3:DC42=U53)*(DD3:DD42="D"))+SUMPRODUCT((CZ3:CZ42=U55)*(DC3:DC42=U53)*(DD3:DD42="D"))+SUMPRODUCT((CZ3:CZ42=U51)*(DC3:DC42=U53)*(DD3:DD42="D"))+SUMPRODUCT((CZ3:CZ42=U52)*(DC3:DC42=U53)*(DD3:DD42="D"))</f>
        <v>0</v>
      </c>
      <c r="X53" s="213">
        <f>SUMPRODUCT((CZ3:CZ42=U53)*(DC3:DC42=U54)*(DD3:DD42="L"))+SUMPRODUCT((CZ3:CZ42=U53)*(DC3:DC42=U55)*(DD3:DD42="L"))+SUMPRODUCT((CZ3:CZ42=U53)*(DC3:DC42=U51)*(DD3:DD42="L"))+SUMPRODUCT((CZ3:CZ42=U53)*(DC3:DC42=U52)*(DD3:DD42="L"))+SUMPRODUCT((CZ3:CZ42=U54)*(DC3:DC42=U53)*(DE3:DE42="L"))+SUMPRODUCT((CZ3:CZ42=U55)*(DC3:DC42=U53)*(DE3:DE42="L"))+SUMPRODUCT((CZ3:CZ42=U51)*(DC3:DC42=U53)*(DE3:DE42="L"))+SUMPRODUCT((CZ3:CZ42=U52)*(DC3:DC42=U53)*(DE3:DE42="L"))</f>
        <v>0</v>
      </c>
      <c r="Y53" s="213">
        <f>SUMPRODUCT((CZ3:CZ42=U53)*(DC3:DC42=U54)*DA3:DA42)+SUMPRODUCT((CZ3:CZ42=U53)*(DC3:DC42=U55)*DA3:DA42)+SUMPRODUCT((CZ3:CZ42=U53)*(DC3:DC42=U51)*DA3:DA42)+SUMPRODUCT((CZ3:CZ42=U53)*(DC3:DC42=U52)*DA3:DA42)+SUMPRODUCT((CZ3:CZ42=U54)*(DC3:DC42=U53)*DB3:DB42)+SUMPRODUCT((CZ3:CZ42=U55)*(DC3:DC42=U53)*DB3:DB42)+SUMPRODUCT((CZ3:CZ42=U51)*(DC3:DC42=U53)*DB3:DB42)+SUMPRODUCT((CZ3:CZ42=U52)*(DC3:DC42=U53)*DB3:DB42)</f>
        <v>0</v>
      </c>
      <c r="Z53" s="213">
        <f>SUMPRODUCT((CZ3:CZ42=U53)*(DC3:DC42=U54)*DB3:DB42)+SUMPRODUCT((CZ3:CZ42=U53)*(DC3:DC42=U55)*DB3:DB42)+SUMPRODUCT((CZ3:CZ42=U53)*(DC3:DC42=U51)*DB3:DB42)+SUMPRODUCT((CZ3:CZ42=U53)*(DC3:DC42=U52)*DB3:DB42)+SUMPRODUCT((CZ3:CZ42=U54)*(DC3:DC42=U53)*DA3:DA42)+SUMPRODUCT((CZ3:CZ42=U55)*(DC3:DC42=U53)*DA3:DA42)+SUMPRODUCT((CZ3:CZ42=U51)*(DC3:DC42=U53)*DA3:DA42)+SUMPRODUCT((CZ3:CZ42=U52)*(DC3:DC42=U53)*DA3:DA42)</f>
        <v>0</v>
      </c>
      <c r="AA53" s="213">
        <f>Y53-Z53+1000</f>
        <v>1000</v>
      </c>
      <c r="AB53" s="213" t="str">
        <f t="shared" si="77"/>
        <v/>
      </c>
      <c r="AC53" s="213" t="str">
        <f>IF(U53&lt;&gt;"",VLOOKUP(U53,B4:H40,7,FALSE),"")</f>
        <v/>
      </c>
      <c r="AD53" s="213" t="str">
        <f>IF(U53&lt;&gt;"",VLOOKUP(U53,B4:H40,5,FALSE),"")</f>
        <v/>
      </c>
      <c r="AE53" s="213" t="str">
        <f>IF(U53&lt;&gt;"",VLOOKUP(U53,B4:J40,9,FALSE),"")</f>
        <v/>
      </c>
      <c r="AF53" s="213" t="str">
        <f t="shared" si="79"/>
        <v/>
      </c>
      <c r="AG53" s="213" t="str">
        <f>IF(U53&lt;&gt;"",RANK(AF53,AF51:AF54),"")</f>
        <v/>
      </c>
      <c r="AH53" s="213" t="str">
        <f>IF(U53&lt;&gt;"",SUMPRODUCT((AF51:AF54=AF53)*(AA51:AA54&gt;AA53)),"")</f>
        <v/>
      </c>
      <c r="AI53" s="213" t="str">
        <f>IF(U53&lt;&gt;"",SUMPRODUCT((AF51:AF54=AF53)*(AA51:AA54=AA53)*(Y51:Y54&gt;Y53)),"")</f>
        <v/>
      </c>
      <c r="AJ53" s="213" t="str">
        <f>IF(U53&lt;&gt;"",SUMPRODUCT((AF51:AF54=AF53)*(AA51:AA54=AA53)*(Y51:Y54=Y53)*(AC51:AC54&gt;AC53)),"")</f>
        <v/>
      </c>
      <c r="AK53" s="213" t="str">
        <f>IF(U53&lt;&gt;"",SUMPRODUCT((AF51:AF54=AF53)*(AA51:AA54=AA53)*(Y51:Y54=Y53)*(AC51:AC54=AC53)*(AD51:AD54&gt;AD53)),"")</f>
        <v/>
      </c>
      <c r="AL53" s="213" t="str">
        <f>IF(U53&lt;&gt;"",SUMPRODUCT((AF51:AF54=AF53)*(AA51:AA54=AA53)*(Y51:Y54=Y53)*(AC51:AC54=AC53)*(AD51:AD54=AD53)*(AE51:AE54&gt;AE53)),"")</f>
        <v/>
      </c>
      <c r="AM53" s="213" t="str">
        <f t="shared" si="80"/>
        <v/>
      </c>
      <c r="AN53" s="213">
        <f>IF(AO13&lt;&gt;"",SUMPRODUCT((AV11:AV14=AV13)*(AU11:AU14=AU13)*(AS11:AS14=AS13)*(AT11:AT14=AT13)),"")</f>
        <v>1</v>
      </c>
      <c r="AO53" s="213" t="str">
        <f t="shared" si="81"/>
        <v/>
      </c>
      <c r="AP53" s="213">
        <f>SUMPRODUCT((CZ3:CZ42=AO53)*(DC3:DC42=AO54)*(DD3:DD42="W"))+SUMPRODUCT((CZ3:CZ42=AO53)*(DC3:DC42=AO55)*(DD3:DD42="W"))+SUMPRODUCT((CZ3:CZ42=AO53)*(DC3:DC42=AO52)*(DD3:DD42="W"))+SUMPRODUCT((CZ3:CZ42=AO54)*(DC3:DC42=AO53)*(DE3:DE42="W"))+SUMPRODUCT((CZ3:CZ42=AO55)*(DC3:DC42=AO53)*(DE3:DE42="W"))+SUMPRODUCT((CZ3:CZ42=AO52)*(DC3:DC42=AO53)*(DE3:DE42="W"))</f>
        <v>0</v>
      </c>
      <c r="AQ53" s="213">
        <f>SUMPRODUCT((CZ3:CZ42=AO53)*(DC3:DC42=AO54)*(DD3:DD42="D"))+SUMPRODUCT((CZ3:CZ42=AO53)*(DC3:DC42=AO55)*(DD3:DD42="D"))+SUMPRODUCT((CZ3:CZ42=AO53)*(DC3:DC42=AO52)*(DD3:DD42="D"))+SUMPRODUCT((CZ3:CZ42=AO54)*(DC3:DC42=AO53)*(DD3:DD42="D"))+SUMPRODUCT((CZ3:CZ42=AO55)*(DC3:DC42=AO53)*(DD3:DD42="D"))+SUMPRODUCT((CZ3:CZ42=AO52)*(DC3:DC42=AO53)*(DD3:DD42="D"))</f>
        <v>0</v>
      </c>
      <c r="AR53" s="213">
        <f>SUMPRODUCT((CZ3:CZ42=AO53)*(DC3:DC42=AO54)*(DD3:DD42="L"))+SUMPRODUCT((CZ3:CZ42=AO53)*(DC3:DC42=AO55)*(DD3:DD42="L"))+SUMPRODUCT((CZ3:CZ42=AO53)*(DC3:DC42=AO52)*(DD3:DD42="L"))+SUMPRODUCT((CZ3:CZ42=AO54)*(DC3:DC42=AO53)*(DE3:DE42="L"))+SUMPRODUCT((CZ3:CZ42=AO55)*(DC3:DC42=AO53)*(DE3:DE42="L"))+SUMPRODUCT((CZ3:CZ42=AO52)*(DC3:DC42=AO53)*(DE3:DE42="L"))</f>
        <v>0</v>
      </c>
      <c r="AS53" s="213">
        <f>SUMPRODUCT((CZ3:CZ42=AO53)*(DC3:DC42=AO54)*DA3:DA42)+SUMPRODUCT((CZ3:CZ42=AO53)*(DC3:DC42=AO55)*DA3:DA42)+SUMPRODUCT((CZ3:CZ42=AO53)*(DC3:DC42=AO51)*DA3:DA42)+SUMPRODUCT((CZ3:CZ42=AO53)*(DC3:DC42=AO52)*DA3:DA42)+SUMPRODUCT((CZ3:CZ42=AO54)*(DC3:DC42=AO53)*DB3:DB42)+SUMPRODUCT((CZ3:CZ42=AO55)*(DC3:DC42=AO53)*DB3:DB42)+SUMPRODUCT((CZ3:CZ42=AO51)*(DC3:DC42=AO53)*DB3:DB42)+SUMPRODUCT((CZ3:CZ42=AO52)*(DC3:DC42=AO53)*DB3:DB42)</f>
        <v>0</v>
      </c>
      <c r="AT53" s="213">
        <f>SUMPRODUCT((CZ3:CZ42=AO53)*(DC3:DC42=AO54)*DB3:DB42)+SUMPRODUCT((CZ3:CZ42=AO53)*(DC3:DC42=AO55)*DB3:DB42)+SUMPRODUCT((CZ3:CZ42=AO53)*(DC3:DC42=AO51)*DB3:DB42)+SUMPRODUCT((CZ3:CZ42=AO53)*(DC3:DC42=AO52)*DB3:DB42)+SUMPRODUCT((CZ3:CZ42=AO54)*(DC3:DC42=AO53)*DA3:DA42)+SUMPRODUCT((CZ3:CZ42=AO55)*(DC3:DC42=AO53)*DA3:DA42)+SUMPRODUCT((CZ3:CZ42=AO51)*(DC3:DC42=AO53)*DA3:DA42)+SUMPRODUCT((CZ3:CZ42=AO52)*(DC3:DC42=AO53)*DA3:DA42)</f>
        <v>0</v>
      </c>
      <c r="AU53" s="213">
        <f>AS53-AT53+1000</f>
        <v>1000</v>
      </c>
      <c r="AV53" s="213" t="str">
        <f t="shared" si="82"/>
        <v/>
      </c>
      <c r="AW53" s="213" t="str">
        <f>IF(AO53&lt;&gt;"",VLOOKUP(AO53,B4:H40,7,FALSE),"")</f>
        <v/>
      </c>
      <c r="AX53" s="213" t="str">
        <f>IF(AO53&lt;&gt;"",VLOOKUP(AO53,B4:H40,5,FALSE),"")</f>
        <v/>
      </c>
      <c r="AY53" s="213" t="str">
        <f>IF(AO53&lt;&gt;"",VLOOKUP(AO53,B4:J40,9,FALSE),"")</f>
        <v/>
      </c>
      <c r="AZ53" s="213" t="str">
        <f t="shared" si="83"/>
        <v/>
      </c>
      <c r="BA53" s="213" t="str">
        <f>IF(AO53&lt;&gt;"",RANK(AZ53,AZ51:AZ54),"")</f>
        <v/>
      </c>
      <c r="BB53" s="213" t="str">
        <f>IF(AO53&lt;&gt;"",SUMPRODUCT((AZ51:AZ54=AZ53)*(AU51:AU54&gt;AU53)),"")</f>
        <v/>
      </c>
      <c r="BC53" s="213" t="str">
        <f>IF(AO53&lt;&gt;"",SUMPRODUCT((AZ51:AZ54=AZ53)*(AU51:AU54=AU53)*(AS51:AS54&gt;AS53)),"")</f>
        <v/>
      </c>
      <c r="BD53" s="213" t="str">
        <f>IF(AO53&lt;&gt;"",SUMPRODUCT((AZ51:AZ54=AZ53)*(AU51:AU54=AU53)*(AS51:AS54=AS53)*(AW51:AW54&gt;AW53)),"")</f>
        <v/>
      </c>
      <c r="BE53" s="213" t="str">
        <f>IF(AO53&lt;&gt;"",SUMPRODUCT((AZ51:AZ54=AZ53)*(AU51:AU54=AU53)*(AS51:AS54=AS53)*(AW51:AW54=AW53)*(AX51:AX54&gt;AX53)),"")</f>
        <v/>
      </c>
      <c r="BF53" s="213" t="str">
        <f>IF(AO53&lt;&gt;"",SUMPRODUCT((AZ51:AZ54=AZ53)*(AU51:AU54=AU53)*(AS51:AS54=AS53)*(AW51:AW54=AW53)*(AX51:AX54=AX53)*(AY51:AY54&gt;AY53)),"")</f>
        <v/>
      </c>
      <c r="BG53" s="213" t="str">
        <f t="shared" ref="BG53:BG54" si="84">IF(AO53&lt;&gt;"",SUM(BA53:BF53)+1,"")</f>
        <v/>
      </c>
    </row>
    <row r="54" spans="2:59" x14ac:dyDescent="0.15">
      <c r="C54" s="213" t="s">
        <v>102</v>
      </c>
      <c r="I54" s="213">
        <f>SUMPRODUCT((I11:I14=I14)*(H11:H14=H14)*(F11:F14&gt;F14))+1</f>
        <v>1</v>
      </c>
      <c r="T54" s="213" t="str">
        <f>IF(U14&lt;&gt;"",SUMPRODUCT((AB11:AB14=AB14)*(AA11:AA14=AA14)*(Y11:Y14=Y14)*(Z11:Z14=Z14)),"")</f>
        <v/>
      </c>
      <c r="U54" s="213" t="str">
        <f t="shared" si="78"/>
        <v/>
      </c>
      <c r="V54" s="213">
        <f>SUMPRODUCT((CZ3:CZ42=U54)*(DC3:DC42=U55)*(DD3:DD42="W"))+SUMPRODUCT((CZ3:CZ42=U54)*(DC3:DC42=U51)*(DD3:DD42="W"))+SUMPRODUCT((CZ3:CZ42=U54)*(DC3:DC42=U52)*(DD3:DD42="W"))+SUMPRODUCT((CZ3:CZ42=U54)*(DC3:DC42=U53)*(DD3:DD42="W"))+SUMPRODUCT((CZ3:CZ42=U55)*(DC3:DC42=U54)*(DE3:DE42="W"))+SUMPRODUCT((CZ3:CZ42=U51)*(DC3:DC42=U54)*(DE3:DE42="W"))+SUMPRODUCT((CZ3:CZ42=U52)*(DC3:DC42=U54)*(DE3:DE42="W"))+SUMPRODUCT((CZ3:CZ42=U53)*(DC3:DC42=U54)*(DE3:DE42="W"))</f>
        <v>0</v>
      </c>
      <c r="W54" s="213">
        <f>SUMPRODUCT((CZ3:CZ42=U54)*(DC3:DC42=U55)*(DD3:DD42="D"))+SUMPRODUCT((CZ3:CZ42=U54)*(DC3:DC42=U51)*(DD3:DD42="D"))+SUMPRODUCT((CZ3:CZ42=U54)*(DC3:DC42=U52)*(DD3:DD42="D"))+SUMPRODUCT((CZ3:CZ42=U54)*(DC3:DC42=U53)*(DD3:DD42="D"))+SUMPRODUCT((CZ3:CZ42=U55)*(DC3:DC42=U54)*(DD3:DD42="D"))+SUMPRODUCT((CZ3:CZ42=U51)*(DC3:DC42=U54)*(DD3:DD42="D"))+SUMPRODUCT((CZ3:CZ42=U52)*(DC3:DC42=U54)*(DD3:DD42="D"))+SUMPRODUCT((CZ3:CZ42=U53)*(DC3:DC42=U54)*(DD3:DD42="D"))</f>
        <v>0</v>
      </c>
      <c r="X54" s="213">
        <f>SUMPRODUCT((CZ3:CZ42=U54)*(DC3:DC42=U55)*(DD3:DD42="L"))+SUMPRODUCT((CZ3:CZ42=U54)*(DC3:DC42=U51)*(DD3:DD42="L"))+SUMPRODUCT((CZ3:CZ42=U54)*(DC3:DC42=U52)*(DD3:DD42="L"))+SUMPRODUCT((CZ3:CZ42=U54)*(DC3:DC42=U53)*(DD3:DD42="L"))+SUMPRODUCT((CZ3:CZ42=U55)*(DC3:DC42=U54)*(DE3:DE42="L"))+SUMPRODUCT((CZ3:CZ42=U51)*(DC3:DC42=U54)*(DE3:DE42="L"))+SUMPRODUCT((CZ3:CZ42=U52)*(DC3:DC42=U54)*(DE3:DE42="L"))+SUMPRODUCT((CZ3:CZ42=U53)*(DC3:DC42=U54)*(DE3:DE42="L"))</f>
        <v>0</v>
      </c>
      <c r="Y54" s="213">
        <f>SUMPRODUCT((CZ3:CZ42=U54)*(DC3:DC42=U55)*DA3:DA42)+SUMPRODUCT((CZ3:CZ42=U54)*(DC3:DC42=U51)*DA3:DA42)+SUMPRODUCT((CZ3:CZ42=U54)*(DC3:DC42=U52)*DA3:DA42)+SUMPRODUCT((CZ3:CZ42=U54)*(DC3:DC42=U53)*DA3:DA42)+SUMPRODUCT((CZ3:CZ42=U55)*(DC3:DC42=U54)*DB3:DB42)+SUMPRODUCT((CZ3:CZ42=U51)*(DC3:DC42=U54)*DB3:DB42)+SUMPRODUCT((CZ3:CZ42=U52)*(DC3:DC42=U54)*DB3:DB42)+SUMPRODUCT((CZ3:CZ42=U53)*(DC3:DC42=U54)*DB3:DB42)</f>
        <v>0</v>
      </c>
      <c r="Z54" s="213">
        <f>SUMPRODUCT((CZ3:CZ42=U54)*(DC3:DC42=U55)*DB3:DB42)+SUMPRODUCT((CZ3:CZ42=U54)*(DC3:DC42=U51)*DB3:DB42)+SUMPRODUCT((CZ3:CZ42=U54)*(DC3:DC42=U52)*DB3:DB42)+SUMPRODUCT((CZ3:CZ42=U54)*(DC3:DC42=U53)*DB3:DB42)+SUMPRODUCT((CZ3:CZ42=U55)*(DC3:DC42=U54)*DA3:DA42)+SUMPRODUCT((CZ3:CZ42=U51)*(DC3:DC42=U54)*DA3:DA42)+SUMPRODUCT((CZ3:CZ42=U52)*(DC3:DC42=U54)*DA3:DA42)+SUMPRODUCT((CZ3:CZ42=U53)*(DC3:DC42=U54)*DA3:DA42)</f>
        <v>0</v>
      </c>
      <c r="AA54" s="213">
        <f>Y54-Z54+1000</f>
        <v>1000</v>
      </c>
      <c r="AB54" s="213" t="str">
        <f t="shared" si="77"/>
        <v/>
      </c>
      <c r="AC54" s="213" t="str">
        <f>IF(U54&lt;&gt;"",VLOOKUP(U54,B4:H40,7,FALSE),"")</f>
        <v/>
      </c>
      <c r="AD54" s="213" t="str">
        <f>IF(U54&lt;&gt;"",VLOOKUP(U54,B4:H40,5,FALSE),"")</f>
        <v/>
      </c>
      <c r="AE54" s="213" t="str">
        <f>IF(U54&lt;&gt;"",VLOOKUP(U54,B4:J40,9,FALSE),"")</f>
        <v/>
      </c>
      <c r="AF54" s="213" t="str">
        <f t="shared" si="79"/>
        <v/>
      </c>
      <c r="AG54" s="213" t="str">
        <f>IF(U54&lt;&gt;"",RANK(AF54,AF51:AF54),"")</f>
        <v/>
      </c>
      <c r="AH54" s="213" t="str">
        <f>IF(U54&lt;&gt;"",SUMPRODUCT((AF51:AF54=AF54)*(AA51:AA54&gt;AA54)),"")</f>
        <v/>
      </c>
      <c r="AI54" s="213" t="str">
        <f>IF(U54&lt;&gt;"",SUMPRODUCT((AF51:AF54=AF54)*(AA51:AA54=AA54)*(Y51:Y54&gt;Y54)),"")</f>
        <v/>
      </c>
      <c r="AJ54" s="213" t="str">
        <f>IF(U54&lt;&gt;"",SUMPRODUCT((AF51:AF54=AF54)*(AA51:AA54=AA54)*(Y51:Y54=Y54)*(AC51:AC54&gt;AC54)),"")</f>
        <v/>
      </c>
      <c r="AK54" s="213" t="str">
        <f>IF(U54&lt;&gt;"",SUMPRODUCT((AF51:AF54=AF54)*(AA51:AA54=AA54)*(Y51:Y54=Y54)*(AC51:AC54=AC54)*(AD51:AD54&gt;AD54)),"")</f>
        <v/>
      </c>
      <c r="AL54" s="213" t="str">
        <f>IF(U54&lt;&gt;"",SUMPRODUCT((AF51:AF54=AF54)*(AA51:AA54=AA54)*(Y51:Y54=Y54)*(AC51:AC54=AC54)*(AD51:AD54=AD54)*(AE51:AE54&gt;AE54)),"")</f>
        <v/>
      </c>
      <c r="AM54" s="213" t="str">
        <f t="shared" si="80"/>
        <v/>
      </c>
      <c r="AN54" s="213">
        <f>IF(AO14&lt;&gt;"",SUMPRODUCT((AV11:AV14=AV14)*(AU11:AU14=AU14)*(AS11:AS14=AS14)*(AT11:AT14=AT14)),"")</f>
        <v>1</v>
      </c>
      <c r="AO54" s="213" t="str">
        <f t="shared" si="81"/>
        <v/>
      </c>
      <c r="AP54" s="213" t="str">
        <f>IF(AO54&lt;&gt;"",SUMPRODUCT((CZ3:CZ42=AO54)*(DC3:DC42=AO55)*(DD3:DD42="W"))+SUMPRODUCT((CZ3:CZ42=AO54)*(DC3:DC42=AO52)*(DD3:DD42="W"))+SUMPRODUCT((CZ3:CZ42=AO54)*(DC3:DC42=AO53)*(DD3:DD42="W"))+SUMPRODUCT((CZ3:CZ42=AO55)*(DC3:DC42=AO54)*(DE3:DE42="W"))+SUMPRODUCT((CZ3:CZ42=AO52)*(DC3:DC42=AO54)*(DE3:DE42="W"))+SUMPRODUCT((CZ3:CZ42=AO53)*(DC3:DC42=AO54)*(DE3:DE42="W")),"")</f>
        <v/>
      </c>
      <c r="AQ54" s="213" t="str">
        <f>IF(AO54&lt;&gt;"",SUMPRODUCT((CZ3:CZ42=AO54)*(DC3:DC42=AO55)*(DD3:DD42="D"))+SUMPRODUCT((CZ3:CZ42=AO54)*(DC3:DC42=AO52)*(DD3:DD42="D"))+SUMPRODUCT((CZ3:CZ42=AO54)*(DC3:DC42=AO53)*(DD3:DD42="D"))+SUMPRODUCT((CZ3:CZ42=AO55)*(DC3:DC42=AO54)*(DD3:DD42="D"))+SUMPRODUCT((CZ3:CZ42=AO52)*(DC3:DC42=AO54)*(DD3:DD42="D"))+SUMPRODUCT((CZ3:CZ42=AO53)*(DC3:DC42=AO54)*(DD3:DD42="D")),"")</f>
        <v/>
      </c>
      <c r="AR54" s="213" t="str">
        <f>IF(AO54&lt;&gt;"",SUMPRODUCT((CZ3:CZ42=AO54)*(DC3:DC42=AO55)*(DD3:DD42="L"))+SUMPRODUCT((CZ3:CZ42=AO54)*(DC3:DC42=AO52)*(DD3:DD42="L"))+SUMPRODUCT((CZ3:CZ42=AO54)*(DC3:DC42=AO53)*(DD3:DD42="L"))+SUMPRODUCT((CZ3:CZ42=AO55)*(DC3:DC42=AO54)*(DE3:DE42="L"))+SUMPRODUCT((CZ3:CZ42=AO52)*(DC3:DC42=AO54)*(DE3:DE42="L"))+SUMPRODUCT((CZ3:CZ42=AO53)*(DC3:DC42=AO54)*(DE3:DE42="L")),"")</f>
        <v/>
      </c>
      <c r="AS54" s="213">
        <f>SUMPRODUCT((CZ3:CZ42=AO54)*(DC3:DC42=AO55)*DA3:DA42)+SUMPRODUCT((CZ3:CZ42=AO54)*(DC3:DC42=AO51)*DA3:DA42)+SUMPRODUCT((CZ3:CZ42=AO54)*(DC3:DC42=AO52)*DA3:DA42)+SUMPRODUCT((CZ3:CZ42=AO54)*(DC3:DC42=AO53)*DA3:DA42)+SUMPRODUCT((CZ3:CZ42=AO55)*(DC3:DC42=AO54)*DB3:DB42)+SUMPRODUCT((CZ3:CZ42=AO51)*(DC3:DC42=AO54)*DB3:DB42)+SUMPRODUCT((CZ3:CZ42=AO52)*(DC3:DC42=AO54)*DB3:DB42)+SUMPRODUCT((CZ3:CZ42=AO53)*(DC3:DC42=AO54)*DB3:DB42)</f>
        <v>0</v>
      </c>
      <c r="AT54" s="213">
        <f>SUMPRODUCT((CZ3:CZ42=AO54)*(DC3:DC42=AO55)*DB3:DB42)+SUMPRODUCT((CZ3:CZ42=AO54)*(DC3:DC42=AO51)*DB3:DB42)+SUMPRODUCT((CZ3:CZ42=AO54)*(DC3:DC42=AO52)*DB3:DB42)+SUMPRODUCT((CZ3:CZ42=AO54)*(DC3:DC42=AO53)*DB3:DB42)+SUMPRODUCT((CZ3:CZ42=AO55)*(DC3:DC42=AO54)*DA3:DA42)+SUMPRODUCT((CZ3:CZ42=AO51)*(DC3:DC42=AO54)*DA3:DA42)+SUMPRODUCT((CZ3:CZ42=AO52)*(DC3:DC42=AO54)*DA3:DA42)+SUMPRODUCT((CZ3:CZ42=AO53)*(DC3:DC42=AO54)*DA3:DA42)</f>
        <v>0</v>
      </c>
      <c r="AU54" s="213">
        <f>AS54-AT54+1000</f>
        <v>1000</v>
      </c>
      <c r="AV54" s="213" t="str">
        <f t="shared" si="82"/>
        <v/>
      </c>
      <c r="AW54" s="213" t="str">
        <f>IF(AO54&lt;&gt;"",VLOOKUP(AO54,B4:H40,7,FALSE),"")</f>
        <v/>
      </c>
      <c r="AX54" s="213" t="str">
        <f>IF(AO54&lt;&gt;"",VLOOKUP(AO54,B4:H40,5,FALSE),"")</f>
        <v/>
      </c>
      <c r="AY54" s="213" t="str">
        <f>IF(AO54&lt;&gt;"",VLOOKUP(AO54,B4:J40,9,FALSE),"")</f>
        <v/>
      </c>
      <c r="AZ54" s="213" t="str">
        <f t="shared" si="83"/>
        <v/>
      </c>
      <c r="BA54" s="213" t="str">
        <f>IF(AO54&lt;&gt;"",RANK(AZ54,AZ51:AZ54),"")</f>
        <v/>
      </c>
      <c r="BB54" s="213" t="str">
        <f>IF(AO54&lt;&gt;"",SUMPRODUCT((AZ51:AZ54=AZ54)*(AU51:AU54&gt;AU54)),"")</f>
        <v/>
      </c>
      <c r="BC54" s="213" t="str">
        <f>IF(AO54&lt;&gt;"",SUMPRODUCT((AZ51:AZ54=AZ54)*(AU51:AU54=AU54)*(AS51:AS54&gt;AS54)),"")</f>
        <v/>
      </c>
      <c r="BD54" s="213" t="str">
        <f>IF(AO54&lt;&gt;"",SUMPRODUCT((AZ51:AZ54=AZ54)*(AU51:AU54=AU54)*(AS51:AS54=AS54)*(AW51:AW54&gt;AW54)),"")</f>
        <v/>
      </c>
      <c r="BE54" s="213" t="str">
        <f>IF(AO54&lt;&gt;"",SUMPRODUCT((AZ51:AZ54=AZ54)*(AU51:AU54=AU54)*(AS51:AS54=AS54)*(AW51:AW54=AW54)*(AX51:AX54&gt;AX54)),"")</f>
        <v/>
      </c>
      <c r="BF54" s="213" t="str">
        <f>IF(AO54&lt;&gt;"",SUMPRODUCT((AZ51:AZ54=AZ54)*(AU51:AU54=AU54)*(AS51:AS54=AS54)*(AW51:AW54=AW54)*(AX51:AX54=AX54)*(AY51:AY54&gt;AY54)),"")</f>
        <v/>
      </c>
      <c r="BG54" s="213" t="str">
        <f t="shared" si="84"/>
        <v/>
      </c>
    </row>
    <row r="55" spans="2:59" x14ac:dyDescent="0.15">
      <c r="C55" s="213" t="s">
        <v>103</v>
      </c>
    </row>
    <row r="56" spans="2:59" x14ac:dyDescent="0.15">
      <c r="C56" s="213" t="s">
        <v>104</v>
      </c>
    </row>
    <row r="57" spans="2:59" x14ac:dyDescent="0.15">
      <c r="C57" s="213" t="s">
        <v>105</v>
      </c>
      <c r="T57" s="213">
        <f>IF(U58="",SUM(AG18:AL18),IF(U59="",SUM(AG19:AL19),IF(U60="",SUM(AG20:AL20),IF(U61="",SUM(AG21:AL21),0))))</f>
        <v>0</v>
      </c>
      <c r="AN57" s="213">
        <f>IF(AO59="",SUM(BA19:BF19),IF(AO60="",SUM(BA20:BF20),IF(AO61="",SUM(BA21:BF21),0)))</f>
        <v>0</v>
      </c>
    </row>
    <row r="58" spans="2:59" x14ac:dyDescent="0.15">
      <c r="C58" s="213" t="s">
        <v>106</v>
      </c>
      <c r="I58" s="213">
        <f>SUMPRODUCT((I18:I21=I18)*(H18:H21=H18)*(F18:F21&gt;F18))+1</f>
        <v>1</v>
      </c>
      <c r="T58" s="213" t="str">
        <f>IF(U18&lt;&gt;"",SUMPRODUCT((AB18:AB21=AB18)*(AA18:AA21=AA18)*(Y18:Y21=Y18)*(Z18:Z21=Z18)),"")</f>
        <v/>
      </c>
      <c r="U58" s="213" t="str">
        <f>IF(AND(T58&lt;&gt;"",T58&gt;1),U18,"")</f>
        <v/>
      </c>
      <c r="V58" s="213">
        <f>SUMPRODUCT((CZ3:CZ42=U58)*(DC3:DC42=U59)*(DD3:DD42="W"))+SUMPRODUCT((CZ3:CZ42=U58)*(DC3:DC42=U60)*(DD3:DD42="W"))+SUMPRODUCT((CZ3:CZ42=U58)*(DC3:DC42=U61)*(DD3:DD42="W"))+SUMPRODUCT((CZ3:CZ42=U58)*(DC3:DC42=U62)*(DD3:DD42="W"))+SUMPRODUCT((CZ3:CZ42=U59)*(DC3:DC42=U58)*(DE3:DE42="W"))+SUMPRODUCT((CZ3:CZ42=U60)*(DC3:DC42=U58)*(DE3:DE42="W"))+SUMPRODUCT((CZ3:CZ42=U61)*(DC3:DC42=U58)*(DE3:DE42="W"))+SUMPRODUCT((CZ3:CZ42=U62)*(DC3:DC42=U58)*(DE3:DE42="W"))</f>
        <v>0</v>
      </c>
      <c r="W58" s="213">
        <f>SUMPRODUCT((CZ3:CZ42=U58)*(DC3:DC42=U59)*(DD3:DD42="D"))+SUMPRODUCT((CZ3:CZ42=U58)*(DC3:DC42=U60)*(DD3:DD42="D"))+SUMPRODUCT((CZ3:CZ42=U58)*(DC3:DC42=U61)*(DD3:DD42="D"))+SUMPRODUCT((CZ3:CZ42=U58)*(DC3:DC42=U62)*(DD3:DD42="D"))+SUMPRODUCT((CZ3:CZ42=U59)*(DC3:DC42=U58)*(DD3:DD42="D"))+SUMPRODUCT((CZ3:CZ42=U60)*(DC3:DC42=U58)*(DD3:DD42="D"))+SUMPRODUCT((CZ3:CZ42=U61)*(DC3:DC42=U58)*(DD3:DD42="D"))+SUMPRODUCT((CZ3:CZ42=U62)*(DC3:DC42=U58)*(DD3:DD42="D"))</f>
        <v>0</v>
      </c>
      <c r="X58" s="213">
        <f>SUMPRODUCT((CZ3:CZ42=U58)*(DC3:DC42=U59)*(DD3:DD42="L"))+SUMPRODUCT((CZ3:CZ42=U58)*(DC3:DC42=U60)*(DD3:DD42="L"))+SUMPRODUCT((CZ3:CZ42=U58)*(DC3:DC42=U61)*(DD3:DD42="L"))+SUMPRODUCT((CZ3:CZ42=U58)*(DC3:DC42=U62)*(DD3:DD42="L"))+SUMPRODUCT((CZ3:CZ42=U59)*(DC3:DC42=U58)*(DE3:DE42="L"))+SUMPRODUCT((CZ3:CZ42=U60)*(DC3:DC42=U58)*(DE3:DE42="L"))+SUMPRODUCT((CZ3:CZ42=U61)*(DC3:DC42=U58)*(DE3:DE42="L"))+SUMPRODUCT((CZ3:CZ42=U62)*(DC3:DC42=U58)*(DE3:DE42="L"))</f>
        <v>0</v>
      </c>
      <c r="Y58" s="213">
        <f>SUMPRODUCT((CZ3:CZ42=U58)*(DC3:DC42=U59)*DA3:DA42)+SUMPRODUCT((CZ3:CZ42=U58)*(DC3:DC42=U60)*DA3:DA42)+SUMPRODUCT((CZ3:CZ42=U58)*(DC3:DC42=U61)*DA3:DA42)+SUMPRODUCT((CZ3:CZ42=U58)*(DC3:DC42=U62)*DA3:DA42)+SUMPRODUCT((CZ3:CZ42=U59)*(DC3:DC42=U58)*DB3:DB42)+SUMPRODUCT((CZ3:CZ42=U60)*(DC3:DC42=U58)*DB3:DB42)+SUMPRODUCT((CZ3:CZ42=U61)*(DC3:DC42=U58)*DB3:DB42)+SUMPRODUCT((CZ3:CZ42=U62)*(DC3:DC42=U58)*DB3:DB42)</f>
        <v>0</v>
      </c>
      <c r="Z58" s="213">
        <f>SUMPRODUCT((CZ3:CZ42=U58)*(DC3:DC42=U59)*DB3:DB42)+SUMPRODUCT((CZ3:CZ42=U58)*(DC3:DC42=U60)*DB3:DB42)+SUMPRODUCT((CZ3:CZ42=U58)*(DC3:DC42=U61)*DB3:DB42)+SUMPRODUCT((CZ3:CZ42=U58)*(DC3:DC42=U62)*DB3:DB42)+SUMPRODUCT((CZ3:CZ42=U59)*(DC3:DC42=U58)*DA3:DA42)+SUMPRODUCT((CZ3:CZ42=U60)*(DC3:DC42=U58)*DA3:DA42)+SUMPRODUCT((CZ3:CZ42=U61)*(DC3:DC42=U58)*DA3:DA42)+SUMPRODUCT((CZ3:CZ42=U62)*(DC3:DC42=U58)*DA3:DA42)</f>
        <v>0</v>
      </c>
      <c r="AA58" s="213">
        <f>Y58-Z58+1000</f>
        <v>1000</v>
      </c>
      <c r="AB58" s="213" t="str">
        <f>IF(U58&lt;&gt;"",V58*3+W58*1,"")</f>
        <v/>
      </c>
      <c r="AC58" s="213" t="str">
        <f>IF(U58&lt;&gt;"",VLOOKUP(U58,B4:H40,7,FALSE),"")</f>
        <v/>
      </c>
      <c r="AD58" s="213" t="str">
        <f>IF(U58&lt;&gt;"",VLOOKUP(U58,B4:H40,5,FALSE),"")</f>
        <v/>
      </c>
      <c r="AE58" s="213" t="str">
        <f>IF(U58&lt;&gt;"",VLOOKUP(U58,B4:J40,9,FALSE),"")</f>
        <v/>
      </c>
      <c r="AF58" s="213" t="str">
        <f>AB58</f>
        <v/>
      </c>
      <c r="AG58" s="213" t="str">
        <f>IF(U58&lt;&gt;"",RANK(AF58,AF58:AF61),"")</f>
        <v/>
      </c>
      <c r="AH58" s="213" t="str">
        <f>IF(U58&lt;&gt;"",SUMPRODUCT((AF58:AF61=AF58)*(AA58:AA61&gt;AA58)),"")</f>
        <v/>
      </c>
      <c r="AI58" s="213" t="str">
        <f>IF(U58&lt;&gt;"",SUMPRODUCT((AF58:AF61=AF58)*(AA58:AA61=AA58)*(Y58:Y61&gt;Y58)),"")</f>
        <v/>
      </c>
      <c r="AJ58" s="213" t="str">
        <f>IF(U58&lt;&gt;"",SUMPRODUCT((AF58:AF61=AF58)*(AA58:AA61=AA58)*(Y58:Y61=Y58)*(AC58:AC61&gt;AC58)),"")</f>
        <v/>
      </c>
      <c r="AK58" s="213" t="str">
        <f>IF(U58&lt;&gt;"",SUMPRODUCT((AF58:AF61=AF58)*(AA58:AA61=AA58)*(Y58:Y61=Y58)*(AC58:AC61=AC58)*(AD58:AD61&gt;AD58)),"")</f>
        <v/>
      </c>
      <c r="AL58" s="213" t="str">
        <f>IF(U58&lt;&gt;"",SUMPRODUCT((AF58:AF61=AF58)*(AA58:AA61=AA58)*(Y58:Y61=Y58)*(AC58:AC61=AC58)*(AD58:AD61=AD58)*(AE58:AE61&gt;AE58)),"")</f>
        <v/>
      </c>
      <c r="AM58" s="213" t="str">
        <f>IF(U58&lt;&gt;"",SUM(AG58:AL58),"")</f>
        <v/>
      </c>
    </row>
    <row r="59" spans="2:59" x14ac:dyDescent="0.15">
      <c r="C59" s="213" t="s">
        <v>107</v>
      </c>
      <c r="I59" s="213">
        <f>SUMPRODUCT((I18:I21=I19)*(H18:H21=H19)*(F18:F21&gt;F19))+1</f>
        <v>1</v>
      </c>
      <c r="T59" s="213" t="str">
        <f>IF(U19&lt;&gt;"",SUMPRODUCT((AB18:AB21=AB19)*(AA18:AA21=AA19)*(Y18:Y21=Y19)*(Z18:Z21=Z19)),"")</f>
        <v/>
      </c>
      <c r="U59" s="213" t="str">
        <f t="shared" ref="U59:U61" si="85">IF(AND(T59&lt;&gt;"",T59&gt;1),U19,"")</f>
        <v/>
      </c>
      <c r="V59" s="213">
        <f>SUMPRODUCT((CZ3:CZ42=U59)*(DC3:DC42=U60)*(DD3:DD42="W"))+SUMPRODUCT((CZ3:CZ42=U59)*(DC3:DC42=U61)*(DD3:DD42="W"))+SUMPRODUCT((CZ3:CZ42=U59)*(DC3:DC42=U62)*(DD3:DD42="W"))+SUMPRODUCT((CZ3:CZ42=U59)*(DC3:DC42=U58)*(DD3:DD42="W"))+SUMPRODUCT((CZ3:CZ42=U60)*(DC3:DC42=U59)*(DE3:DE42="W"))+SUMPRODUCT((CZ3:CZ42=U61)*(DC3:DC42=U59)*(DE3:DE42="W"))+SUMPRODUCT((CZ3:CZ42=U62)*(DC3:DC42=U59)*(DE3:DE42="W"))+SUMPRODUCT((CZ3:CZ42=U58)*(DC3:DC42=U59)*(DE3:DE42="W"))</f>
        <v>0</v>
      </c>
      <c r="W59" s="213">
        <f>SUMPRODUCT((CZ3:CZ42=U59)*(DC3:DC42=U60)*(DD3:DD42="D"))+SUMPRODUCT((CZ3:CZ42=U59)*(DC3:DC42=U61)*(DD3:DD42="D"))+SUMPRODUCT((CZ3:CZ42=U59)*(DC3:DC42=U62)*(DD3:DD42="D"))+SUMPRODUCT((CZ3:CZ42=U59)*(DC3:DC42=U58)*(DD3:DD42="D"))+SUMPRODUCT((CZ3:CZ42=U60)*(DC3:DC42=U59)*(DD3:DD42="D"))+SUMPRODUCT((CZ3:CZ42=U61)*(DC3:DC42=U59)*(DD3:DD42="D"))+SUMPRODUCT((CZ3:CZ42=U62)*(DC3:DC42=U59)*(DD3:DD42="D"))+SUMPRODUCT((CZ3:CZ42=U58)*(DC3:DC42=U59)*(DD3:DD42="D"))</f>
        <v>0</v>
      </c>
      <c r="X59" s="213">
        <f>SUMPRODUCT((CZ3:CZ42=U59)*(DC3:DC42=U60)*(DD3:DD42="L"))+SUMPRODUCT((CZ3:CZ42=U59)*(DC3:DC42=U61)*(DD3:DD42="L"))+SUMPRODUCT((CZ3:CZ42=U59)*(DC3:DC42=U62)*(DD3:DD42="L"))+SUMPRODUCT((CZ3:CZ42=U59)*(DC3:DC42=U58)*(DD3:DD42="L"))+SUMPRODUCT((CZ3:CZ42=U60)*(DC3:DC42=U59)*(DE3:DE42="L"))+SUMPRODUCT((CZ3:CZ42=U61)*(DC3:DC42=U59)*(DE3:DE42="L"))+SUMPRODUCT((CZ3:CZ42=U62)*(DC3:DC42=U59)*(DE3:DE42="L"))+SUMPRODUCT((CZ3:CZ42=U58)*(DC3:DC42=U59)*(DE3:DE42="L"))</f>
        <v>0</v>
      </c>
      <c r="Y59" s="213">
        <f>SUMPRODUCT((CZ3:CZ42=U59)*(DC3:DC42=U60)*DA3:DA42)+SUMPRODUCT((CZ3:CZ42=U59)*(DC3:DC42=U61)*DA3:DA42)+SUMPRODUCT((CZ3:CZ42=U59)*(DC3:DC42=U62)*DA3:DA42)+SUMPRODUCT((CZ3:CZ42=U59)*(DC3:DC42=U58)*DA3:DA42)+SUMPRODUCT((CZ3:CZ42=U60)*(DC3:DC42=U59)*DB3:DB42)+SUMPRODUCT((CZ3:CZ42=U61)*(DC3:DC42=U59)*DB3:DB42)+SUMPRODUCT((CZ3:CZ42=U62)*(DC3:DC42=U59)*DB3:DB42)+SUMPRODUCT((CZ3:CZ42=U58)*(DC3:DC42=U59)*DB3:DB42)</f>
        <v>0</v>
      </c>
      <c r="Z59" s="213">
        <f>SUMPRODUCT((CZ3:CZ42=U59)*(DC3:DC42=U60)*DB3:DB42)+SUMPRODUCT((CZ3:CZ42=U59)*(DC3:DC42=U61)*DB3:DB42)+SUMPRODUCT((CZ3:CZ42=U59)*(DC3:DC42=U62)*DB3:DB42)+SUMPRODUCT((CZ3:CZ42=U59)*(DC3:DC42=U58)*DB3:DB42)+SUMPRODUCT((CZ3:CZ42=U60)*(DC3:DC42=U59)*DA3:DA42)+SUMPRODUCT((CZ3:CZ42=U61)*(DC3:DC42=U59)*DA3:DA42)+SUMPRODUCT((CZ3:CZ42=U62)*(DC3:DC42=U59)*DA3:DA42)+SUMPRODUCT((CZ3:CZ42=U58)*(DC3:DC42=U59)*DA3:DA42)</f>
        <v>0</v>
      </c>
      <c r="AA59" s="213">
        <f>Y59-Z59+1000</f>
        <v>1000</v>
      </c>
      <c r="AB59" s="213" t="str">
        <f t="shared" ref="AB59:AB61" si="86">IF(U59&lt;&gt;"",V59*3+W59*1,"")</f>
        <v/>
      </c>
      <c r="AC59" s="213" t="str">
        <f>IF(U59&lt;&gt;"",VLOOKUP(U59,B4:H40,7,FALSE),"")</f>
        <v/>
      </c>
      <c r="AD59" s="213" t="str">
        <f>IF(U59&lt;&gt;"",VLOOKUP(U59,B4:H40,5,FALSE),"")</f>
        <v/>
      </c>
      <c r="AE59" s="213" t="str">
        <f>IF(U59&lt;&gt;"",VLOOKUP(U59,B4:J40,9,FALSE),"")</f>
        <v/>
      </c>
      <c r="AF59" s="213" t="str">
        <f t="shared" ref="AF59:AF61" si="87">AB59</f>
        <v/>
      </c>
      <c r="AG59" s="213" t="str">
        <f>IF(U59&lt;&gt;"",RANK(AF59,AF58:AF61),"")</f>
        <v/>
      </c>
      <c r="AH59" s="213" t="str">
        <f>IF(U59&lt;&gt;"",SUMPRODUCT((AF58:AF61=AF59)*(AA58:AA61&gt;AA59)),"")</f>
        <v/>
      </c>
      <c r="AI59" s="213" t="str">
        <f>IF(U59&lt;&gt;"",SUMPRODUCT((AF58:AF61=AF59)*(AA58:AA61=AA59)*(Y58:Y61&gt;Y59)),"")</f>
        <v/>
      </c>
      <c r="AJ59" s="213" t="str">
        <f>IF(U59&lt;&gt;"",SUMPRODUCT((AF58:AF61=AF59)*(AA58:AA61=AA59)*(Y58:Y61=Y59)*(AC58:AC61&gt;AC59)),"")</f>
        <v/>
      </c>
      <c r="AK59" s="213" t="str">
        <f>IF(U59&lt;&gt;"",SUMPRODUCT((AF58:AF61=AF59)*(AA58:AA61=AA59)*(Y58:Y61=Y59)*(AC58:AC61=AC59)*(AD58:AD61&gt;AD59)),"")</f>
        <v/>
      </c>
      <c r="AL59" s="213" t="str">
        <f>IF(U59&lt;&gt;"",SUMPRODUCT((AF58:AF61=AF59)*(AA58:AA61=AA59)*(Y58:Y61=Y59)*(AC58:AC61=AC59)*(AD58:AD61=AD59)*(AE58:AE61&gt;AE59)),"")</f>
        <v/>
      </c>
      <c r="AM59" s="213" t="str">
        <f>IF(U59&lt;&gt;"",SUM(AG59:AL59),"")</f>
        <v/>
      </c>
      <c r="AN59" s="213" t="str">
        <f>IF(AO19&lt;&gt;"",SUMPRODUCT((AV18:AV21=AV19)*(AU18:AU21=AU19)*(AS18:AS21=AS19)*(AT18:AT21=AT19)),"")</f>
        <v/>
      </c>
      <c r="AO59" s="213" t="str">
        <f t="shared" ref="AO59:AO61" si="88">IF(AND(AN59&lt;&gt;"",AN59&gt;1),AO19,"")</f>
        <v/>
      </c>
      <c r="AP59" s="213">
        <f>SUMPRODUCT((CZ3:CZ42=AO59)*(DC3:DC42=AO60)*(DD3:DD42="W"))+SUMPRODUCT((CZ3:CZ42=AO59)*(DC3:DC42=AO61)*(DD3:DD42="W"))+SUMPRODUCT((CZ3:CZ42=AO59)*(DC3:DC42=AO62)*(DD3:DD42="W"))+SUMPRODUCT((CZ3:CZ42=AO60)*(DC3:DC42=AO59)*(DE3:DE42="W"))+SUMPRODUCT((CZ3:CZ42=AO61)*(DC3:DC42=AO59)*(DE3:DE42="W"))+SUMPRODUCT((CZ3:CZ42=AO62)*(DC3:DC42=AO59)*(DE3:DE42="W"))</f>
        <v>0</v>
      </c>
      <c r="AQ59" s="213">
        <f>SUMPRODUCT((CZ3:CZ42=AO59)*(DC3:DC42=AO60)*(DD3:DD42="D"))+SUMPRODUCT((CZ3:CZ42=AO59)*(DC3:DC42=AO61)*(DD3:DD42="D"))+SUMPRODUCT((CZ3:CZ42=AO59)*(DC3:DC42=AO62)*(DD3:DD42="D"))+SUMPRODUCT((CZ3:CZ42=AO60)*(DC3:DC42=AO59)*(DD3:DD42="D"))+SUMPRODUCT((CZ3:CZ42=AO61)*(DC3:DC42=AO59)*(DD3:DD42="D"))+SUMPRODUCT((CZ3:CZ42=AO62)*(DC3:DC42=AO59)*(DD3:DD42="D"))</f>
        <v>0</v>
      </c>
      <c r="AR59" s="213">
        <f>SUMPRODUCT((CZ3:CZ42=AO59)*(DC3:DC42=AO60)*(DD3:DD42="L"))+SUMPRODUCT((CZ3:CZ42=AO59)*(DC3:DC42=AO61)*(DD3:DD42="L"))+SUMPRODUCT((CZ3:CZ42=AO59)*(DC3:DC42=AO62)*(DD3:DD42="L"))+SUMPRODUCT((CZ3:CZ42=AO60)*(DC3:DC42=AO59)*(DE3:DE42="L"))+SUMPRODUCT((CZ3:CZ42=AO61)*(DC3:DC42=AO59)*(DE3:DE42="L"))+SUMPRODUCT((CZ3:CZ42=AO62)*(DC3:DC42=AO59)*(DE3:DE42="L"))</f>
        <v>0</v>
      </c>
      <c r="AS59" s="213">
        <f>SUMPRODUCT((CZ3:CZ42=AO59)*(DC3:DC42=AO60)*DA3:DA42)+SUMPRODUCT((CZ3:CZ42=AO59)*(DC3:DC42=AO61)*DA3:DA42)+SUMPRODUCT((CZ3:CZ42=AO59)*(DC3:DC42=AO62)*DA3:DA42)+SUMPRODUCT((CZ3:CZ42=AO59)*(DC3:DC42=AO58)*DA3:DA42)+SUMPRODUCT((CZ3:CZ42=AO60)*(DC3:DC42=AO59)*DB3:DB42)+SUMPRODUCT((CZ3:CZ42=AO61)*(DC3:DC42=AO59)*DB3:DB42)+SUMPRODUCT((CZ3:CZ42=AO62)*(DC3:DC42=AO59)*DB3:DB42)+SUMPRODUCT((CZ3:CZ42=AO58)*(DC3:DC42=AO59)*DB3:DB42)</f>
        <v>0</v>
      </c>
      <c r="AT59" s="213">
        <f>SUMPRODUCT((CZ3:CZ42=AO59)*(DC3:DC42=AO60)*DB3:DB42)+SUMPRODUCT((CZ3:CZ42=AO59)*(DC3:DC42=AO61)*DB3:DB42)+SUMPRODUCT((CZ3:CZ42=AO59)*(DC3:DC42=AO62)*DB3:DB42)+SUMPRODUCT((CZ3:CZ42=AO59)*(DC3:DC42=AO58)*DB3:DB42)+SUMPRODUCT((CZ3:CZ42=AO60)*(DC3:DC42=AO59)*DA3:DA42)+SUMPRODUCT((CZ3:CZ42=AO61)*(DC3:DC42=AO59)*DA3:DA42)+SUMPRODUCT((CZ3:CZ42=AO62)*(DC3:DC42=AO59)*DA3:DA42)+SUMPRODUCT((CZ3:CZ42=AO58)*(DC3:DC42=AO59)*DA3:DA42)</f>
        <v>0</v>
      </c>
      <c r="AU59" s="213">
        <f>AS59-AT59+1000</f>
        <v>1000</v>
      </c>
      <c r="AV59" s="213" t="str">
        <f t="shared" ref="AV59:AV61" si="89">IF(AO59&lt;&gt;"",AP59*3+AQ59*1,"")</f>
        <v/>
      </c>
      <c r="AW59" s="213" t="str">
        <f>IF(AO59&lt;&gt;"",VLOOKUP(AO59,B4:H40,7,FALSE),"")</f>
        <v/>
      </c>
      <c r="AX59" s="213" t="str">
        <f>IF(AO59&lt;&gt;"",VLOOKUP(AO59,B4:H40,5,FALSE),"")</f>
        <v/>
      </c>
      <c r="AY59" s="213" t="str">
        <f>IF(AO59&lt;&gt;"",VLOOKUP(AO59,B4:J40,9,FALSE),"")</f>
        <v/>
      </c>
      <c r="AZ59" s="213" t="str">
        <f t="shared" ref="AZ59:AZ61" si="90">AV59</f>
        <v/>
      </c>
      <c r="BA59" s="213" t="str">
        <f>IF(AO59&lt;&gt;"",RANK(AZ59,AZ58:AZ61),"")</f>
        <v/>
      </c>
      <c r="BB59" s="213" t="str">
        <f>IF(AO59&lt;&gt;"",SUMPRODUCT((AZ58:AZ61=AZ59)*(AU58:AU61&gt;AU59)),"")</f>
        <v/>
      </c>
      <c r="BC59" s="213" t="str">
        <f>IF(AO59&lt;&gt;"",SUMPRODUCT((AZ58:AZ61=AZ59)*(AU58:AU61=AU59)*(AS58:AS61&gt;AS59)),"")</f>
        <v/>
      </c>
      <c r="BD59" s="213" t="str">
        <f>IF(AO59&lt;&gt;"",SUMPRODUCT((AZ58:AZ61=AZ59)*(AU58:AU61=AU59)*(AS58:AS61=AS59)*(AW58:AW61&gt;AW59)),"")</f>
        <v/>
      </c>
      <c r="BE59" s="213" t="str">
        <f>IF(AO59&lt;&gt;"",SUMPRODUCT((AZ58:AZ61=AZ59)*(AU58:AU61=AU59)*(AS58:AS61=AS59)*(AW58:AW61=AW59)*(AX58:AX61&gt;AX59)),"")</f>
        <v/>
      </c>
      <c r="BF59" s="213" t="str">
        <f>IF(AO59&lt;&gt;"",SUMPRODUCT((AZ58:AZ61=AZ59)*(AU58:AU61=AU59)*(AS58:AS61=AS59)*(AW58:AW61=AW59)*(AX58:AX61=AX59)*(AY58:AY61&gt;AY59)),"")</f>
        <v/>
      </c>
      <c r="BG59" s="213" t="str">
        <f>IF(AO59&lt;&gt;"",SUM(BA59:BF59)+1,"")</f>
        <v/>
      </c>
    </row>
    <row r="60" spans="2:59" x14ac:dyDescent="0.15">
      <c r="I60" s="213">
        <f>SUMPRODUCT((I18:I21=I20)*(H18:H21=H20)*(F18:F21&gt;F20))+1</f>
        <v>1</v>
      </c>
      <c r="T60" s="213" t="str">
        <f>IF(U20&lt;&gt;"",SUMPRODUCT((AB18:AB21=AB20)*(AA18:AA21=AA20)*(Y18:Y21=Y20)*(Z18:Z21=Z20)),"")</f>
        <v/>
      </c>
      <c r="U60" s="213" t="str">
        <f t="shared" si="85"/>
        <v/>
      </c>
      <c r="V60" s="213">
        <f>SUMPRODUCT((CZ3:CZ42=U60)*(DC3:DC42=U61)*(DD3:DD42="W"))+SUMPRODUCT((CZ3:CZ42=U60)*(DC3:DC42=U62)*(DD3:DD42="W"))+SUMPRODUCT((CZ3:CZ42=U60)*(DC3:DC42=U58)*(DD3:DD42="W"))+SUMPRODUCT((CZ3:CZ42=U60)*(DC3:DC42=U59)*(DD3:DD42="W"))+SUMPRODUCT((CZ3:CZ42=U61)*(DC3:DC42=U60)*(DE3:DE42="W"))+SUMPRODUCT((CZ3:CZ42=U62)*(DC3:DC42=U60)*(DE3:DE42="W"))+SUMPRODUCT((CZ3:CZ42=U58)*(DC3:DC42=U60)*(DE3:DE42="W"))+SUMPRODUCT((CZ3:CZ42=U59)*(DC3:DC42=U60)*(DE3:DE42="W"))</f>
        <v>0</v>
      </c>
      <c r="W60" s="213">
        <f>SUMPRODUCT((CZ3:CZ42=U60)*(DC3:DC42=U61)*(DD3:DD42="D"))+SUMPRODUCT((CZ3:CZ42=U60)*(DC3:DC42=U62)*(DD3:DD42="D"))+SUMPRODUCT((CZ3:CZ42=U60)*(DC3:DC42=U58)*(DD3:DD42="D"))+SUMPRODUCT((CZ3:CZ42=U60)*(DC3:DC42=U59)*(DD3:DD42="D"))+SUMPRODUCT((CZ3:CZ42=U61)*(DC3:DC42=U60)*(DD3:DD42="D"))+SUMPRODUCT((CZ3:CZ42=U62)*(DC3:DC42=U60)*(DD3:DD42="D"))+SUMPRODUCT((CZ3:CZ42=U58)*(DC3:DC42=U60)*(DD3:DD42="D"))+SUMPRODUCT((CZ3:CZ42=U59)*(DC3:DC42=U60)*(DD3:DD42="D"))</f>
        <v>0</v>
      </c>
      <c r="X60" s="213">
        <f>SUMPRODUCT((CZ3:CZ42=U60)*(DC3:DC42=U61)*(DD3:DD42="L"))+SUMPRODUCT((CZ3:CZ42=U60)*(DC3:DC42=U62)*(DD3:DD42="L"))+SUMPRODUCT((CZ3:CZ42=U60)*(DC3:DC42=U58)*(DD3:DD42="L"))+SUMPRODUCT((CZ3:CZ42=U60)*(DC3:DC42=U59)*(DD3:DD42="L"))+SUMPRODUCT((CZ3:CZ42=U61)*(DC3:DC42=U60)*(DE3:DE42="L"))+SUMPRODUCT((CZ3:CZ42=U62)*(DC3:DC42=U60)*(DE3:DE42="L"))+SUMPRODUCT((CZ3:CZ42=U58)*(DC3:DC42=U60)*(DE3:DE42="L"))+SUMPRODUCT((CZ3:CZ42=U59)*(DC3:DC42=U60)*(DE3:DE42="L"))</f>
        <v>0</v>
      </c>
      <c r="Y60" s="213">
        <f>SUMPRODUCT((CZ3:CZ42=U60)*(DC3:DC42=U61)*DA3:DA42)+SUMPRODUCT((CZ3:CZ42=U60)*(DC3:DC42=U62)*DA3:DA42)+SUMPRODUCT((CZ3:CZ42=U60)*(DC3:DC42=U58)*DA3:DA42)+SUMPRODUCT((CZ3:CZ42=U60)*(DC3:DC42=U59)*DA3:DA42)+SUMPRODUCT((CZ3:CZ42=U61)*(DC3:DC42=U60)*DB3:DB42)+SUMPRODUCT((CZ3:CZ42=U62)*(DC3:DC42=U60)*DB3:DB42)+SUMPRODUCT((CZ3:CZ42=U58)*(DC3:DC42=U60)*DB3:DB42)+SUMPRODUCT((CZ3:CZ42=U59)*(DC3:DC42=U60)*DB3:DB42)</f>
        <v>0</v>
      </c>
      <c r="Z60" s="213">
        <f>SUMPRODUCT((CZ3:CZ42=U60)*(DC3:DC42=U61)*DB3:DB42)+SUMPRODUCT((CZ3:CZ42=U60)*(DC3:DC42=U62)*DB3:DB42)+SUMPRODUCT((CZ3:CZ42=U60)*(DC3:DC42=U58)*DB3:DB42)+SUMPRODUCT((CZ3:CZ42=U60)*(DC3:DC42=U59)*DB3:DB42)+SUMPRODUCT((CZ3:CZ42=U61)*(DC3:DC42=U60)*DA3:DA42)+SUMPRODUCT((CZ3:CZ42=U62)*(DC3:DC42=U60)*DA3:DA42)+SUMPRODUCT((CZ3:CZ42=U58)*(DC3:DC42=U60)*DA3:DA42)+SUMPRODUCT((CZ3:CZ42=U59)*(DC3:DC42=U60)*DA3:DA42)</f>
        <v>0</v>
      </c>
      <c r="AA60" s="213">
        <f>Y60-Z60+1000</f>
        <v>1000</v>
      </c>
      <c r="AB60" s="213" t="str">
        <f t="shared" si="86"/>
        <v/>
      </c>
      <c r="AC60" s="213" t="str">
        <f>IF(U60&lt;&gt;"",VLOOKUP(U60,B4:H40,7,FALSE),"")</f>
        <v/>
      </c>
      <c r="AD60" s="213" t="str">
        <f>IF(U60&lt;&gt;"",VLOOKUP(U60,B4:H40,5,FALSE),"")</f>
        <v/>
      </c>
      <c r="AE60" s="213" t="str">
        <f>IF(U60&lt;&gt;"",VLOOKUP(U60,B4:J40,9,FALSE),"")</f>
        <v/>
      </c>
      <c r="AF60" s="213" t="str">
        <f t="shared" si="87"/>
        <v/>
      </c>
      <c r="AG60" s="213" t="str">
        <f>IF(U60&lt;&gt;"",RANK(AF60,AF58:AF61),"")</f>
        <v/>
      </c>
      <c r="AH60" s="213" t="str">
        <f>IF(U60&lt;&gt;"",SUMPRODUCT((AF58:AF61=AF60)*(AA58:AA61&gt;AA60)),"")</f>
        <v/>
      </c>
      <c r="AI60" s="213" t="str">
        <f>IF(U60&lt;&gt;"",SUMPRODUCT((AF58:AF61=AF60)*(AA58:AA61=AA60)*(Y58:Y61&gt;Y60)),"")</f>
        <v/>
      </c>
      <c r="AJ60" s="213" t="str">
        <f>IF(U60&lt;&gt;"",SUMPRODUCT((AF58:AF61=AF60)*(AA58:AA61=AA60)*(Y58:Y61=Y60)*(AC58:AC61&gt;AC60)),"")</f>
        <v/>
      </c>
      <c r="AK60" s="213" t="str">
        <f>IF(U60&lt;&gt;"",SUMPRODUCT((AF58:AF61=AF60)*(AA58:AA61=AA60)*(Y58:Y61=Y60)*(AC58:AC61=AC60)*(AD58:AD61&gt;AD60)),"")</f>
        <v/>
      </c>
      <c r="AL60" s="213" t="str">
        <f>IF(U60&lt;&gt;"",SUMPRODUCT((AF58:AF61=AF60)*(AA58:AA61=AA60)*(Y58:Y61=Y60)*(AC58:AC61=AC60)*(AD58:AD61=AD60)*(AE58:AE61&gt;AE60)),"")</f>
        <v/>
      </c>
      <c r="AM60" s="213" t="str">
        <f>IF(U60&lt;&gt;"",SUM(AG60:AL60),"")</f>
        <v/>
      </c>
      <c r="AN60" s="213" t="str">
        <f>IF(AO20&lt;&gt;"",SUMPRODUCT((AV18:AV21=AV20)*(AU18:AU21=AU20)*(AS18:AS21=AS20)*(AT18:AT21=AT20)),"")</f>
        <v/>
      </c>
      <c r="AO60" s="213" t="str">
        <f t="shared" si="88"/>
        <v/>
      </c>
      <c r="AP60" s="213">
        <f>SUMPRODUCT((CZ3:CZ42=AO60)*(DC3:DC42=AO61)*(DD3:DD42="W"))+SUMPRODUCT((CZ3:CZ42=AO60)*(DC3:DC42=AO62)*(DD3:DD42="W"))+SUMPRODUCT((CZ3:CZ42=AO60)*(DC3:DC42=AO59)*(DD3:DD42="W"))+SUMPRODUCT((CZ3:CZ42=AO61)*(DC3:DC42=AO60)*(DE3:DE42="W"))+SUMPRODUCT((CZ3:CZ42=AO62)*(DC3:DC42=AO60)*(DE3:DE42="W"))+SUMPRODUCT((CZ3:CZ42=AO59)*(DC3:DC42=AO60)*(DE3:DE42="W"))</f>
        <v>0</v>
      </c>
      <c r="AQ60" s="213">
        <f>SUMPRODUCT((CZ3:CZ42=AO60)*(DC3:DC42=AO61)*(DD3:DD42="D"))+SUMPRODUCT((CZ3:CZ42=AO60)*(DC3:DC42=AO62)*(DD3:DD42="D"))+SUMPRODUCT((CZ3:CZ42=AO60)*(DC3:DC42=AO59)*(DD3:DD42="D"))+SUMPRODUCT((CZ3:CZ42=AO61)*(DC3:DC42=AO60)*(DD3:DD42="D"))+SUMPRODUCT((CZ3:CZ42=AO62)*(DC3:DC42=AO60)*(DD3:DD42="D"))+SUMPRODUCT((CZ3:CZ42=AO59)*(DC3:DC42=AO60)*(DD3:DD42="D"))</f>
        <v>0</v>
      </c>
      <c r="AR60" s="213">
        <f>SUMPRODUCT((CZ3:CZ42=AO60)*(DC3:DC42=AO61)*(DD3:DD42="L"))+SUMPRODUCT((CZ3:CZ42=AO60)*(DC3:DC42=AO62)*(DD3:DD42="L"))+SUMPRODUCT((CZ3:CZ42=AO60)*(DC3:DC42=AO59)*(DD3:DD42="L"))+SUMPRODUCT((CZ3:CZ42=AO61)*(DC3:DC42=AO60)*(DE3:DE42="L"))+SUMPRODUCT((CZ3:CZ42=AO62)*(DC3:DC42=AO60)*(DE3:DE42="L"))+SUMPRODUCT((CZ3:CZ42=AO59)*(DC3:DC42=AO60)*(DE3:DE42="L"))</f>
        <v>0</v>
      </c>
      <c r="AS60" s="213">
        <f>SUMPRODUCT((CZ3:CZ42=AO60)*(DC3:DC42=AO61)*DA3:DA42)+SUMPRODUCT((CZ3:CZ42=AO60)*(DC3:DC42=AO62)*DA3:DA42)+SUMPRODUCT((CZ3:CZ42=AO60)*(DC3:DC42=AO58)*DA3:DA42)+SUMPRODUCT((CZ3:CZ42=AO60)*(DC3:DC42=AO59)*DA3:DA42)+SUMPRODUCT((CZ3:CZ42=AO61)*(DC3:DC42=AO60)*DB3:DB42)+SUMPRODUCT((CZ3:CZ42=AO62)*(DC3:DC42=AO60)*DB3:DB42)+SUMPRODUCT((CZ3:CZ42=AO58)*(DC3:DC42=AO60)*DB3:DB42)+SUMPRODUCT((CZ3:CZ42=AO59)*(DC3:DC42=AO60)*DB3:DB42)</f>
        <v>0</v>
      </c>
      <c r="AT60" s="213">
        <f>SUMPRODUCT((CZ3:CZ42=AO60)*(DC3:DC42=AO61)*DB3:DB42)+SUMPRODUCT((CZ3:CZ42=AO60)*(DC3:DC42=AO62)*DB3:DB42)+SUMPRODUCT((CZ3:CZ42=AO60)*(DC3:DC42=AO58)*DB3:DB42)+SUMPRODUCT((CZ3:CZ42=AO60)*(DC3:DC42=AO59)*DB3:DB42)+SUMPRODUCT((CZ3:CZ42=AO61)*(DC3:DC42=AO60)*DA3:DA42)+SUMPRODUCT((CZ3:CZ42=AO62)*(DC3:DC42=AO60)*DA3:DA42)+SUMPRODUCT((CZ3:CZ42=AO58)*(DC3:DC42=AO60)*DA3:DA42)+SUMPRODUCT((CZ3:CZ42=AO59)*(DC3:DC42=AO60)*DA3:DA42)</f>
        <v>0</v>
      </c>
      <c r="AU60" s="213">
        <f>AS60-AT60+1000</f>
        <v>1000</v>
      </c>
      <c r="AV60" s="213" t="str">
        <f t="shared" si="89"/>
        <v/>
      </c>
      <c r="AW60" s="213" t="str">
        <f>IF(AO60&lt;&gt;"",VLOOKUP(AO60,B4:H40,7,FALSE),"")</f>
        <v/>
      </c>
      <c r="AX60" s="213" t="str">
        <f>IF(AO60&lt;&gt;"",VLOOKUP(AO60,B4:H40,5,FALSE),"")</f>
        <v/>
      </c>
      <c r="AY60" s="213" t="str">
        <f>IF(AO60&lt;&gt;"",VLOOKUP(AO60,B4:J40,9,FALSE),"")</f>
        <v/>
      </c>
      <c r="AZ60" s="213" t="str">
        <f t="shared" si="90"/>
        <v/>
      </c>
      <c r="BA60" s="213" t="str">
        <f>IF(AO60&lt;&gt;"",RANK(AZ60,AZ58:AZ61),"")</f>
        <v/>
      </c>
      <c r="BB60" s="213" t="str">
        <f>IF(AO60&lt;&gt;"",SUMPRODUCT((AZ58:AZ61=AZ60)*(AU58:AU61&gt;AU60)),"")</f>
        <v/>
      </c>
      <c r="BC60" s="213" t="str">
        <f>IF(AO60&lt;&gt;"",SUMPRODUCT((AZ58:AZ61=AZ60)*(AU58:AU61=AU60)*(AS58:AS61&gt;AS60)),"")</f>
        <v/>
      </c>
      <c r="BD60" s="213" t="str">
        <f>IF(AO60&lt;&gt;"",SUMPRODUCT((AZ58:AZ61=AZ60)*(AU58:AU61=AU60)*(AS58:AS61=AS60)*(AW58:AW61&gt;AW60)),"")</f>
        <v/>
      </c>
      <c r="BE60" s="213" t="str">
        <f>IF(AO60&lt;&gt;"",SUMPRODUCT((AZ58:AZ61=AZ60)*(AU58:AU61=AU60)*(AS58:AS61=AS60)*(AW58:AW61=AW60)*(AX58:AX61&gt;AX60)),"")</f>
        <v/>
      </c>
      <c r="BF60" s="213" t="str">
        <f>IF(AO60&lt;&gt;"",SUMPRODUCT((AZ58:AZ61=AZ60)*(AU58:AU61=AU60)*(AS58:AS61=AS60)*(AW58:AW61=AW60)*(AX58:AX61=AX60)*(AY58:AY61&gt;AY60)),"")</f>
        <v/>
      </c>
      <c r="BG60" s="213" t="str">
        <f t="shared" ref="BG60:BG61" si="91">IF(AO60&lt;&gt;"",SUM(BA60:BF60)+1,"")</f>
        <v/>
      </c>
    </row>
    <row r="61" spans="2:59" x14ac:dyDescent="0.15">
      <c r="I61" s="213">
        <f>SUMPRODUCT((I18:I21=I21)*(H18:H21=H21)*(F18:F21&gt;F21))+1</f>
        <v>1</v>
      </c>
      <c r="T61" s="213" t="str">
        <f>IF(U21&lt;&gt;"",SUMPRODUCT((AB18:AB21=AB21)*(AA18:AA21=AA21)*(Y18:Y21=Y21)*(Z18:Z21=Z21)),"")</f>
        <v/>
      </c>
      <c r="U61" s="213" t="str">
        <f t="shared" si="85"/>
        <v/>
      </c>
      <c r="V61" s="213">
        <f>SUMPRODUCT((CZ3:CZ42=U61)*(DC3:DC42=U62)*(DD3:DD42="W"))+SUMPRODUCT((CZ3:CZ42=U61)*(DC3:DC42=U58)*(DD3:DD42="W"))+SUMPRODUCT((CZ3:CZ42=U61)*(DC3:DC42=U59)*(DD3:DD42="W"))+SUMPRODUCT((CZ3:CZ42=U61)*(DC3:DC42=U60)*(DD3:DD42="W"))+SUMPRODUCT((CZ3:CZ42=U62)*(DC3:DC42=U61)*(DE3:DE42="W"))+SUMPRODUCT((CZ3:CZ42=U58)*(DC3:DC42=U61)*(DE3:DE42="W"))+SUMPRODUCT((CZ3:CZ42=U59)*(DC3:DC42=U61)*(DE3:DE42="W"))+SUMPRODUCT((CZ3:CZ42=U60)*(DC3:DC42=U61)*(DE3:DE42="W"))</f>
        <v>0</v>
      </c>
      <c r="W61" s="213">
        <f>SUMPRODUCT((CZ3:CZ42=U61)*(DC3:DC42=U62)*(DD3:DD42="D"))+SUMPRODUCT((CZ3:CZ42=U61)*(DC3:DC42=U58)*(DD3:DD42="D"))+SUMPRODUCT((CZ3:CZ42=U61)*(DC3:DC42=U59)*(DD3:DD42="D"))+SUMPRODUCT((CZ3:CZ42=U61)*(DC3:DC42=U60)*(DD3:DD42="D"))+SUMPRODUCT((CZ3:CZ42=U62)*(DC3:DC42=U61)*(DD3:DD42="D"))+SUMPRODUCT((CZ3:CZ42=U58)*(DC3:DC42=U61)*(DD3:DD42="D"))+SUMPRODUCT((CZ3:CZ42=U59)*(DC3:DC42=U61)*(DD3:DD42="D"))+SUMPRODUCT((CZ3:CZ42=U60)*(DC3:DC42=U61)*(DD3:DD42="D"))</f>
        <v>0</v>
      </c>
      <c r="X61" s="213">
        <f>SUMPRODUCT((CZ3:CZ42=U61)*(DC3:DC42=U62)*(DD3:DD42="L"))+SUMPRODUCT((CZ3:CZ42=U61)*(DC3:DC42=U58)*(DD3:DD42="L"))+SUMPRODUCT((CZ3:CZ42=U61)*(DC3:DC42=U59)*(DD3:DD42="L"))+SUMPRODUCT((CZ3:CZ42=U61)*(DC3:DC42=U60)*(DD3:DD42="L"))+SUMPRODUCT((CZ3:CZ42=U62)*(DC3:DC42=U61)*(DE3:DE42="L"))+SUMPRODUCT((CZ3:CZ42=U58)*(DC3:DC42=U61)*(DE3:DE42="L"))+SUMPRODUCT((CZ3:CZ42=U59)*(DC3:DC42=U61)*(DE3:DE42="L"))+SUMPRODUCT((CZ3:CZ42=U60)*(DC3:DC42=U61)*(DE3:DE42="L"))</f>
        <v>0</v>
      </c>
      <c r="Y61" s="213">
        <f>SUMPRODUCT((CZ3:CZ42=U61)*(DC3:DC42=U62)*DA3:DA42)+SUMPRODUCT((CZ3:CZ42=U61)*(DC3:DC42=U58)*DA3:DA42)+SUMPRODUCT((CZ3:CZ42=U61)*(DC3:DC42=U59)*DA3:DA42)+SUMPRODUCT((CZ3:CZ42=U61)*(DC3:DC42=U60)*DA3:DA42)+SUMPRODUCT((CZ3:CZ42=U62)*(DC3:DC42=U61)*DB3:DB42)+SUMPRODUCT((CZ3:CZ42=U58)*(DC3:DC42=U61)*DB3:DB42)+SUMPRODUCT((CZ3:CZ42=U59)*(DC3:DC42=U61)*DB3:DB42)+SUMPRODUCT((CZ3:CZ42=U60)*(DC3:DC42=U61)*DB3:DB42)</f>
        <v>0</v>
      </c>
      <c r="Z61" s="213">
        <f>SUMPRODUCT((CZ3:CZ42=U61)*(DC3:DC42=U62)*DB3:DB42)+SUMPRODUCT((CZ3:CZ42=U61)*(DC3:DC42=U58)*DB3:DB42)+SUMPRODUCT((CZ3:CZ42=U61)*(DC3:DC42=U59)*DB3:DB42)+SUMPRODUCT((CZ3:CZ42=U61)*(DC3:DC42=U60)*DB3:DB42)+SUMPRODUCT((CZ3:CZ42=U62)*(DC3:DC42=U61)*DA3:DA42)+SUMPRODUCT((CZ3:CZ42=U58)*(DC3:DC42=U61)*DA3:DA42)+SUMPRODUCT((CZ3:CZ42=U59)*(DC3:DC42=U61)*DA3:DA42)+SUMPRODUCT((CZ3:CZ42=U60)*(DC3:DC42=U61)*DA3:DA42)</f>
        <v>0</v>
      </c>
      <c r="AA61" s="213">
        <f>Y61-Z61+1000</f>
        <v>1000</v>
      </c>
      <c r="AB61" s="213" t="str">
        <f t="shared" si="86"/>
        <v/>
      </c>
      <c r="AC61" s="213" t="str">
        <f>IF(U61&lt;&gt;"",VLOOKUP(U61,B4:H40,7,FALSE),"")</f>
        <v/>
      </c>
      <c r="AD61" s="213" t="str">
        <f>IF(U61&lt;&gt;"",VLOOKUP(U61,B4:H40,5,FALSE),"")</f>
        <v/>
      </c>
      <c r="AE61" s="213" t="str">
        <f>IF(U61&lt;&gt;"",VLOOKUP(U61,B4:J40,9,FALSE),"")</f>
        <v/>
      </c>
      <c r="AF61" s="213" t="str">
        <f t="shared" si="87"/>
        <v/>
      </c>
      <c r="AG61" s="213" t="str">
        <f>IF(U61&lt;&gt;"",RANK(AF61,AF58:AF61),"")</f>
        <v/>
      </c>
      <c r="AH61" s="213" t="str">
        <f>IF(U61&lt;&gt;"",SUMPRODUCT((AF58:AF61=AF61)*(AA58:AA61&gt;AA61)),"")</f>
        <v/>
      </c>
      <c r="AI61" s="213" t="str">
        <f>IF(U61&lt;&gt;"",SUMPRODUCT((AF58:AF61=AF61)*(AA58:AA61=AA61)*(Y58:Y61&gt;Y61)),"")</f>
        <v/>
      </c>
      <c r="AJ61" s="213" t="str">
        <f>IF(U61&lt;&gt;"",SUMPRODUCT((AF58:AF61=AF61)*(AA58:AA61=AA61)*(Y58:Y61=Y61)*(AC58:AC61&gt;AC61)),"")</f>
        <v/>
      </c>
      <c r="AK61" s="213" t="str">
        <f>IF(U61&lt;&gt;"",SUMPRODUCT((AF58:AF61=AF61)*(AA58:AA61=AA61)*(Y58:Y61=Y61)*(AC58:AC61=AC61)*(AD58:AD61&gt;AD61)),"")</f>
        <v/>
      </c>
      <c r="AL61" s="213" t="str">
        <f>IF(U61&lt;&gt;"",SUMPRODUCT((AF58:AF61=AF61)*(AA58:AA61=AA61)*(Y58:Y61=Y61)*(AC58:AC61=AC61)*(AD58:AD61=AD61)*(AE58:AE61&gt;AE61)),"")</f>
        <v/>
      </c>
      <c r="AM61" s="213" t="str">
        <f>IF(U61&lt;&gt;"",SUM(AG61:AL61),"")</f>
        <v/>
      </c>
      <c r="AN61" s="213" t="str">
        <f>IF(AO21&lt;&gt;"",SUMPRODUCT((AV18:AV21=AV21)*(AU18:AU21=AU21)*(AS18:AS21=AS21)*(AT18:AT21=AT21)),"")</f>
        <v/>
      </c>
      <c r="AO61" s="213" t="str">
        <f t="shared" si="88"/>
        <v/>
      </c>
      <c r="AP61" s="213" t="str">
        <f>IF(AO61&lt;&gt;"",SUMPRODUCT((CZ3:CZ42=AO61)*(DC3:DC42=AO62)*(DD3:DD42="W"))+SUMPRODUCT((CZ3:CZ42=AO61)*(DC3:DC42=AO59)*(DD3:DD42="W"))+SUMPRODUCT((CZ3:CZ42=AO61)*(DC3:DC42=AO60)*(DD3:DD42="W"))+SUMPRODUCT((CZ3:CZ42=AO62)*(DC3:DC42=AO61)*(DE3:DE42="W"))+SUMPRODUCT((CZ3:CZ42=AO59)*(DC3:DC42=AO61)*(DE3:DE42="W"))+SUMPRODUCT((CZ3:CZ42=AO60)*(DC3:DC42=AO61)*(DE3:DE42="W")),"")</f>
        <v/>
      </c>
      <c r="AQ61" s="213" t="str">
        <f>IF(AO61&lt;&gt;"",SUMPRODUCT((CZ3:CZ42=AO61)*(DC3:DC42=AO62)*(DD3:DD42="D"))+SUMPRODUCT((CZ3:CZ42=AO61)*(DC3:DC42=AO59)*(DD3:DD42="D"))+SUMPRODUCT((CZ3:CZ42=AO61)*(DC3:DC42=AO60)*(DD3:DD42="D"))+SUMPRODUCT((CZ3:CZ42=AO62)*(DC3:DC42=AO61)*(DD3:DD42="D"))+SUMPRODUCT((CZ3:CZ42=AO59)*(DC3:DC42=AO61)*(DD3:DD42="D"))+SUMPRODUCT((CZ3:CZ42=AO60)*(DC3:DC42=AO61)*(DD3:DD42="D")),"")</f>
        <v/>
      </c>
      <c r="AR61" s="213" t="str">
        <f>IF(AO61&lt;&gt;"",SUMPRODUCT((CZ3:CZ42=AO61)*(DC3:DC42=AO62)*(DD3:DD42="L"))+SUMPRODUCT((CZ3:CZ42=AO61)*(DC3:DC42=AO59)*(DD3:DD42="L"))+SUMPRODUCT((CZ3:CZ42=AO61)*(DC3:DC42=AO60)*(DD3:DD42="L"))+SUMPRODUCT((CZ3:CZ42=AO62)*(DC3:DC42=AO61)*(DE3:DE42="L"))+SUMPRODUCT((CZ3:CZ42=AO59)*(DC3:DC42=AO61)*(DE3:DE42="L"))+SUMPRODUCT((CZ3:CZ42=AO60)*(DC3:DC42=AO61)*(DE3:DE42="L")),"")</f>
        <v/>
      </c>
      <c r="AS61" s="213">
        <f>SUMPRODUCT((CZ3:CZ42=AO61)*(DC3:DC42=AO62)*DA3:DA42)+SUMPRODUCT((CZ3:CZ42=AO61)*(DC3:DC42=AO58)*DA3:DA42)+SUMPRODUCT((CZ3:CZ42=AO61)*(DC3:DC42=AO59)*DA3:DA42)+SUMPRODUCT((CZ3:CZ42=AO61)*(DC3:DC42=AO60)*DA3:DA42)+SUMPRODUCT((CZ3:CZ42=AO62)*(DC3:DC42=AO61)*DB3:DB42)+SUMPRODUCT((CZ3:CZ42=AO58)*(DC3:DC42=AO61)*DB3:DB42)+SUMPRODUCT((CZ3:CZ42=AO59)*(DC3:DC42=AO61)*DB3:DB42)+SUMPRODUCT((CZ3:CZ42=AO60)*(DC3:DC42=AO61)*DB3:DB42)</f>
        <v>0</v>
      </c>
      <c r="AT61" s="213">
        <f>SUMPRODUCT((CZ3:CZ42=AO61)*(DC3:DC42=AO62)*DB3:DB42)+SUMPRODUCT((CZ3:CZ42=AO61)*(DC3:DC42=AO58)*DB3:DB42)+SUMPRODUCT((CZ3:CZ42=AO61)*(DC3:DC42=AO59)*DB3:DB42)+SUMPRODUCT((CZ3:CZ42=AO61)*(DC3:DC42=AO60)*DB3:DB42)+SUMPRODUCT((CZ3:CZ42=AO62)*(DC3:DC42=AO61)*DA3:DA42)+SUMPRODUCT((CZ3:CZ42=AO58)*(DC3:DC42=AO61)*DA3:DA42)+SUMPRODUCT((CZ3:CZ42=AO59)*(DC3:DC42=AO61)*DA3:DA42)+SUMPRODUCT((CZ3:CZ42=AO60)*(DC3:DC42=AO61)*DA3:DA42)</f>
        <v>0</v>
      </c>
      <c r="AU61" s="213">
        <f>AS61-AT61+1000</f>
        <v>1000</v>
      </c>
      <c r="AV61" s="213" t="str">
        <f t="shared" si="89"/>
        <v/>
      </c>
      <c r="AW61" s="213" t="str">
        <f>IF(AO61&lt;&gt;"",VLOOKUP(AO61,B4:H40,7,FALSE),"")</f>
        <v/>
      </c>
      <c r="AX61" s="213" t="str">
        <f>IF(AO61&lt;&gt;"",VLOOKUP(AO61,B4:H40,5,FALSE),"")</f>
        <v/>
      </c>
      <c r="AY61" s="213" t="str">
        <f>IF(AO61&lt;&gt;"",VLOOKUP(AO61,B4:J40,9,FALSE),"")</f>
        <v/>
      </c>
      <c r="AZ61" s="213" t="str">
        <f t="shared" si="90"/>
        <v/>
      </c>
      <c r="BA61" s="213" t="str">
        <f>IF(AO61&lt;&gt;"",RANK(AZ61,AZ58:AZ61),"")</f>
        <v/>
      </c>
      <c r="BB61" s="213" t="str">
        <f>IF(AO61&lt;&gt;"",SUMPRODUCT((AZ58:AZ61=AZ61)*(AU58:AU61&gt;AU61)),"")</f>
        <v/>
      </c>
      <c r="BC61" s="213" t="str">
        <f>IF(AO61&lt;&gt;"",SUMPRODUCT((AZ58:AZ61=AZ61)*(AU58:AU61=AU61)*(AS58:AS61&gt;AS61)),"")</f>
        <v/>
      </c>
      <c r="BD61" s="213" t="str">
        <f>IF(AO61&lt;&gt;"",SUMPRODUCT((AZ58:AZ61=AZ61)*(AU58:AU61=AU61)*(AS58:AS61=AS61)*(AW58:AW61&gt;AW61)),"")</f>
        <v/>
      </c>
      <c r="BE61" s="213" t="str">
        <f>IF(AO61&lt;&gt;"",SUMPRODUCT((AZ58:AZ61=AZ61)*(AU58:AU61=AU61)*(AS58:AS61=AS61)*(AW58:AW61=AW61)*(AX58:AX61&gt;AX61)),"")</f>
        <v/>
      </c>
      <c r="BF61" s="213" t="str">
        <f>IF(AO61&lt;&gt;"",SUMPRODUCT((AZ58:AZ61=AZ61)*(AU58:AU61=AU61)*(AS58:AS61=AS61)*(AW58:AW61=AW61)*(AX58:AX61=AX61)*(AY58:AY61&gt;AY61)),"")</f>
        <v/>
      </c>
      <c r="BG61" s="213" t="str">
        <f t="shared" si="91"/>
        <v/>
      </c>
    </row>
    <row r="64" spans="2:59" x14ac:dyDescent="0.15">
      <c r="T64" s="213">
        <f>IF(U65="",SUM(AG25:AL25),IF(U66="",SUM(AG26:AL26),IF(U67="",SUM(AG27:AL27),IF(U68="",SUM(AG28:AL28),0))))</f>
        <v>0</v>
      </c>
      <c r="AN64" s="213">
        <f>IF(AO66="",SUM(BA26:BF26),IF(AO67="",SUM(BA27:BF27),IF(AO68="",SUM(BA28:BF28),0)))</f>
        <v>0</v>
      </c>
    </row>
    <row r="65" spans="9:59" x14ac:dyDescent="0.15">
      <c r="I65" s="213">
        <f>SUMPRODUCT((I25:I28=I25)*(H25:H28=H25)*(F25:F28&gt;F25))+1</f>
        <v>1</v>
      </c>
      <c r="T65" s="213" t="str">
        <f>IF(U25&lt;&gt;"",SUMPRODUCT((AB25:AB28=AB25)*(AA25:AA28=AA25)*(Y25:Y28=Y25)*(Z25:Z28=Z25)),"")</f>
        <v/>
      </c>
      <c r="U65" s="213" t="str">
        <f>IF(AND(T65&lt;&gt;"",T65&gt;1),U25,"")</f>
        <v/>
      </c>
      <c r="V65" s="213">
        <f>SUMPRODUCT((CZ3:CZ42=U65)*(DC3:DC42=U66)*(DD3:DD42="W"))+SUMPRODUCT((CZ3:CZ42=U65)*(DC3:DC42=U67)*(DD3:DD42="W"))+SUMPRODUCT((CZ3:CZ42=U65)*(DC3:DC42=U68)*(DD3:DD42="W"))+SUMPRODUCT((CZ3:CZ42=U65)*(DC3:DC42=U69)*(DD3:DD42="W"))+SUMPRODUCT((CZ3:CZ42=U66)*(DC3:DC42=U65)*(DE3:DE42="W"))+SUMPRODUCT((CZ3:CZ42=U67)*(DC3:DC42=U65)*(DE3:DE42="W"))+SUMPRODUCT((CZ3:CZ42=U68)*(DC3:DC42=U65)*(DE3:DE42="W"))+SUMPRODUCT((CZ3:CZ42=U69)*(DC3:DC42=U65)*(DE3:DE42="W"))</f>
        <v>0</v>
      </c>
      <c r="W65" s="213">
        <f>SUMPRODUCT((CZ3:CZ42=U65)*(DC3:DC42=U66)*(DD3:DD42="D"))+SUMPRODUCT((CZ3:CZ42=U65)*(DC3:DC42=U67)*(DD3:DD42="D"))+SUMPRODUCT((CZ3:CZ42=U65)*(DC3:DC42=U68)*(DD3:DD42="D"))+SUMPRODUCT((CZ3:CZ42=U65)*(DC3:DC42=U69)*(DD3:DD42="D"))+SUMPRODUCT((CZ3:CZ42=U66)*(DC3:DC42=U65)*(DD3:DD42="D"))+SUMPRODUCT((CZ3:CZ42=U67)*(DC3:DC42=U65)*(DD3:DD42="D"))+SUMPRODUCT((CZ3:CZ42=U68)*(DC3:DC42=U65)*(DD3:DD42="D"))+SUMPRODUCT((CZ3:CZ42=U69)*(DC3:DC42=U65)*(DD3:DD42="D"))</f>
        <v>0</v>
      </c>
      <c r="X65" s="213">
        <f>SUMPRODUCT((CZ3:CZ42=U65)*(DC3:DC42=U66)*(DD3:DD42="L"))+SUMPRODUCT((CZ3:CZ42=U65)*(DC3:DC42=U67)*(DD3:DD42="L"))+SUMPRODUCT((CZ3:CZ42=U65)*(DC3:DC42=U68)*(DD3:DD42="L"))+SUMPRODUCT((CZ3:CZ42=U65)*(DC3:DC42=U69)*(DD3:DD42="L"))+SUMPRODUCT((CZ3:CZ42=U66)*(DC3:DC42=U65)*(DE3:DE42="L"))+SUMPRODUCT((CZ3:CZ42=U67)*(DC3:DC42=U65)*(DE3:DE42="L"))+SUMPRODUCT((CZ3:CZ42=U68)*(DC3:DC42=U65)*(DE3:DE42="L"))+SUMPRODUCT((CZ3:CZ42=U69)*(DC3:DC42=U65)*(DE3:DE42="L"))</f>
        <v>0</v>
      </c>
      <c r="Y65" s="213">
        <f>SUMPRODUCT((CZ3:CZ42=U65)*(DC3:DC42=U66)*DA3:DA42)+SUMPRODUCT((CZ3:CZ42=U65)*(DC3:DC42=U67)*DA3:DA42)+SUMPRODUCT((CZ3:CZ42=U65)*(DC3:DC42=U68)*DA3:DA42)+SUMPRODUCT((CZ3:CZ42=U65)*(DC3:DC42=U69)*DA3:DA42)+SUMPRODUCT((CZ3:CZ42=U66)*(DC3:DC42=U65)*DB3:DB42)+SUMPRODUCT((CZ3:CZ42=U67)*(DC3:DC42=U65)*DB3:DB42)+SUMPRODUCT((CZ3:CZ42=U68)*(DC3:DC42=U65)*DB3:DB42)+SUMPRODUCT((CZ3:CZ42=U69)*(DC3:DC42=U65)*DB3:DB42)</f>
        <v>0</v>
      </c>
      <c r="Z65" s="213">
        <f>SUMPRODUCT((CZ3:CZ42=U65)*(DC3:DC42=U66)*DB3:DB42)+SUMPRODUCT((CZ3:CZ42=U65)*(DC3:DC42=U67)*DB3:DB42)+SUMPRODUCT((CZ3:CZ42=U65)*(DC3:DC42=U68)*DB3:DB42)+SUMPRODUCT((CZ3:CZ42=U65)*(DC3:DC42=U69)*DB3:DB42)+SUMPRODUCT((CZ3:CZ42=U66)*(DC3:DC42=U65)*DA3:DA42)+SUMPRODUCT((CZ3:CZ42=U67)*(DC3:DC42=U65)*DA3:DA42)+SUMPRODUCT((CZ3:CZ42=U68)*(DC3:DC42=U65)*DA3:DA42)+SUMPRODUCT((CZ3:CZ42=U69)*(DC3:DC42=U65)*DA3:DA42)</f>
        <v>0</v>
      </c>
      <c r="AA65" s="213">
        <f>Y65-Z65+1000</f>
        <v>1000</v>
      </c>
      <c r="AB65" s="213" t="str">
        <f>IF(U65&lt;&gt;"",V65*3+W65*1,"")</f>
        <v/>
      </c>
      <c r="AC65" s="213" t="str">
        <f>IF(U65&lt;&gt;"",VLOOKUP(U65,B4:H40,7,FALSE),"")</f>
        <v/>
      </c>
      <c r="AD65" s="213" t="str">
        <f>IF(U65&lt;&gt;"",VLOOKUP(U65,B4:H40,5,FALSE),"")</f>
        <v/>
      </c>
      <c r="AE65" s="213" t="str">
        <f>IF(U65&lt;&gt;"",VLOOKUP(U65,B4:J40,9,FALSE),"")</f>
        <v/>
      </c>
      <c r="AF65" s="213" t="str">
        <f>AB65</f>
        <v/>
      </c>
      <c r="AG65" s="213" t="str">
        <f>IF(U65&lt;&gt;"",RANK(AF65,AF65:AF68),"")</f>
        <v/>
      </c>
      <c r="AH65" s="213" t="str">
        <f>IF(U65&lt;&gt;"",SUMPRODUCT((AF65:AF68=AF65)*(AA65:AA68&gt;AA65)),"")</f>
        <v/>
      </c>
      <c r="AI65" s="213" t="str">
        <f>IF(U65&lt;&gt;"",SUMPRODUCT((AF65:AF68=AF65)*(AA65:AA68=AA65)*(Y65:Y68&gt;Y65)),"")</f>
        <v/>
      </c>
      <c r="AJ65" s="213" t="str">
        <f>IF(U65&lt;&gt;"",SUMPRODUCT((AF65:AF68=AF65)*(AA65:AA68=AA65)*(Y65:Y68=Y65)*(AC65:AC68&gt;AC65)),"")</f>
        <v/>
      </c>
      <c r="AK65" s="213" t="str">
        <f>IF(U65&lt;&gt;"",SUMPRODUCT((AF65:AF68=AF65)*(AA65:AA68=AA65)*(Y65:Y68=Y65)*(AC65:AC68=AC65)*(AD65:AD68&gt;AD65)),"")</f>
        <v/>
      </c>
      <c r="AL65" s="213" t="str">
        <f>IF(U65&lt;&gt;"",SUMPRODUCT((AF65:AF68=AF65)*(AA65:AA68=AA65)*(Y65:Y68=Y65)*(AC65:AC68=AC65)*(AD65:AD68=AD65)*(AE65:AE68&gt;AE65)),"")</f>
        <v/>
      </c>
      <c r="AM65" s="213" t="str">
        <f>IF(U65&lt;&gt;"",SUM(AG65:AL65),"")</f>
        <v/>
      </c>
    </row>
    <row r="66" spans="9:59" x14ac:dyDescent="0.15">
      <c r="I66" s="213">
        <f>SUMPRODUCT((I25:I28=I26)*(H25:H28=H26)*(F25:F28&gt;F26))+1</f>
        <v>2</v>
      </c>
      <c r="T66" s="213" t="str">
        <f>IF(U26&lt;&gt;"",SUMPRODUCT((AB25:AB28=AB26)*(AA25:AA28=AA26)*(Y25:Y28=Y26)*(Z25:Z28=Z26)),"")</f>
        <v/>
      </c>
      <c r="U66" s="213" t="str">
        <f t="shared" ref="U66:U68" si="92">IF(AND(T66&lt;&gt;"",T66&gt;1),U26,"")</f>
        <v/>
      </c>
      <c r="V66" s="213">
        <f>SUMPRODUCT((CZ3:CZ42=U66)*(DC3:DC42=U67)*(DD3:DD42="W"))+SUMPRODUCT((CZ3:CZ42=U66)*(DC3:DC42=U68)*(DD3:DD42="W"))+SUMPRODUCT((CZ3:CZ42=U66)*(DC3:DC42=U69)*(DD3:DD42="W"))+SUMPRODUCT((CZ3:CZ42=U66)*(DC3:DC42=U65)*(DD3:DD42="W"))+SUMPRODUCT((CZ3:CZ42=U67)*(DC3:DC42=U66)*(DE3:DE42="W"))+SUMPRODUCT((CZ3:CZ42=U68)*(DC3:DC42=U66)*(DE3:DE42="W"))+SUMPRODUCT((CZ3:CZ42=U69)*(DC3:DC42=U66)*(DE3:DE42="W"))+SUMPRODUCT((CZ3:CZ42=U65)*(DC3:DC42=U66)*(DE3:DE42="W"))</f>
        <v>0</v>
      </c>
      <c r="W66" s="213">
        <f>SUMPRODUCT((CZ3:CZ42=U66)*(DC3:DC42=U67)*(DD3:DD42="D"))+SUMPRODUCT((CZ3:CZ42=U66)*(DC3:DC42=U68)*(DD3:DD42="D"))+SUMPRODUCT((CZ3:CZ42=U66)*(DC3:DC42=U69)*(DD3:DD42="D"))+SUMPRODUCT((CZ3:CZ42=U66)*(DC3:DC42=U65)*(DD3:DD42="D"))+SUMPRODUCT((CZ3:CZ42=U67)*(DC3:DC42=U66)*(DD3:DD42="D"))+SUMPRODUCT((CZ3:CZ42=U68)*(DC3:DC42=U66)*(DD3:DD42="D"))+SUMPRODUCT((CZ3:CZ42=U69)*(DC3:DC42=U66)*(DD3:DD42="D"))+SUMPRODUCT((CZ3:CZ42=U65)*(DC3:DC42=U66)*(DD3:DD42="D"))</f>
        <v>0</v>
      </c>
      <c r="X66" s="213">
        <f>SUMPRODUCT((CZ3:CZ42=U66)*(DC3:DC42=U67)*(DD3:DD42="L"))+SUMPRODUCT((CZ3:CZ42=U66)*(DC3:DC42=U68)*(DD3:DD42="L"))+SUMPRODUCT((CZ3:CZ42=U66)*(DC3:DC42=U69)*(DD3:DD42="L"))+SUMPRODUCT((CZ3:CZ42=U66)*(DC3:DC42=U65)*(DD3:DD42="L"))+SUMPRODUCT((CZ3:CZ42=U67)*(DC3:DC42=U66)*(DE3:DE42="L"))+SUMPRODUCT((CZ3:CZ42=U68)*(DC3:DC42=U66)*(DE3:DE42="L"))+SUMPRODUCT((CZ3:CZ42=U69)*(DC3:DC42=U66)*(DE3:DE42="L"))+SUMPRODUCT((CZ3:CZ42=U65)*(DC3:DC42=U66)*(DE3:DE42="L"))</f>
        <v>0</v>
      </c>
      <c r="Y66" s="213">
        <f>SUMPRODUCT((CZ3:CZ42=U66)*(DC3:DC42=U67)*DA3:DA42)+SUMPRODUCT((CZ3:CZ42=U66)*(DC3:DC42=U68)*DA3:DA42)+SUMPRODUCT((CZ3:CZ42=U66)*(DC3:DC42=U69)*DA3:DA42)+SUMPRODUCT((CZ3:CZ42=U66)*(DC3:DC42=U65)*DA3:DA42)+SUMPRODUCT((CZ3:CZ42=U67)*(DC3:DC42=U66)*DB3:DB42)+SUMPRODUCT((CZ3:CZ42=U68)*(DC3:DC42=U66)*DB3:DB42)+SUMPRODUCT((CZ3:CZ42=U69)*(DC3:DC42=U66)*DB3:DB42)+SUMPRODUCT((CZ3:CZ42=U65)*(DC3:DC42=U66)*DB3:DB42)</f>
        <v>0</v>
      </c>
      <c r="Z66" s="213">
        <f>SUMPRODUCT((CZ3:CZ42=U66)*(DC3:DC42=U67)*DB3:DB42)+SUMPRODUCT((CZ3:CZ42=U66)*(DC3:DC42=U68)*DB3:DB42)+SUMPRODUCT((CZ3:CZ42=U66)*(DC3:DC42=U69)*DB3:DB42)+SUMPRODUCT((CZ3:CZ42=U66)*(DC3:DC42=U65)*DB3:DB42)+SUMPRODUCT((CZ3:CZ42=U67)*(DC3:DC42=U66)*DA3:DA42)+SUMPRODUCT((CZ3:CZ42=U68)*(DC3:DC42=U66)*DA3:DA42)+SUMPRODUCT((CZ3:CZ42=U69)*(DC3:DC42=U66)*DA3:DA42)+SUMPRODUCT((CZ3:CZ42=U65)*(DC3:DC42=U66)*DA3:DA42)</f>
        <v>0</v>
      </c>
      <c r="AA66" s="213">
        <f>Y66-Z66+1000</f>
        <v>1000</v>
      </c>
      <c r="AB66" s="213" t="str">
        <f t="shared" ref="AB66:AB68" si="93">IF(U66&lt;&gt;"",V66*3+W66*1,"")</f>
        <v/>
      </c>
      <c r="AC66" s="213" t="str">
        <f>IF(U66&lt;&gt;"",VLOOKUP(U66,B4:H40,7,FALSE),"")</f>
        <v/>
      </c>
      <c r="AD66" s="213" t="str">
        <f>IF(U66&lt;&gt;"",VLOOKUP(U66,B4:H40,5,FALSE),"")</f>
        <v/>
      </c>
      <c r="AE66" s="213" t="str">
        <f>IF(U66&lt;&gt;"",VLOOKUP(U66,B4:J40,9,FALSE),"")</f>
        <v/>
      </c>
      <c r="AF66" s="213" t="str">
        <f t="shared" ref="AF66:AF68" si="94">AB66</f>
        <v/>
      </c>
      <c r="AG66" s="213" t="str">
        <f>IF(U66&lt;&gt;"",RANK(AF66,AF65:AF68),"")</f>
        <v/>
      </c>
      <c r="AH66" s="213" t="str">
        <f>IF(U66&lt;&gt;"",SUMPRODUCT((AF65:AF68=AF66)*(AA65:AA68&gt;AA66)),"")</f>
        <v/>
      </c>
      <c r="AI66" s="213" t="str">
        <f>IF(U66&lt;&gt;"",SUMPRODUCT((AF65:AF68=AF66)*(AA65:AA68=AA66)*(Y65:Y68&gt;Y66)),"")</f>
        <v/>
      </c>
      <c r="AJ66" s="213" t="str">
        <f>IF(U66&lt;&gt;"",SUMPRODUCT((AF65:AF68=AF66)*(AA65:AA68=AA66)*(Y65:Y68=Y66)*(AC65:AC68&gt;AC66)),"")</f>
        <v/>
      </c>
      <c r="AK66" s="213" t="str">
        <f>IF(U66&lt;&gt;"",SUMPRODUCT((AF65:AF68=AF66)*(AA65:AA68=AA66)*(Y65:Y68=Y66)*(AC65:AC68=AC66)*(AD65:AD68&gt;AD66)),"")</f>
        <v/>
      </c>
      <c r="AL66" s="213" t="str">
        <f>IF(U66&lt;&gt;"",SUMPRODUCT((AF65:AF68=AF66)*(AA65:AA68=AA66)*(Y65:Y68=Y66)*(AC65:AC68=AC66)*(AD65:AD68=AD66)*(AE65:AE68&gt;AE66)),"")</f>
        <v/>
      </c>
      <c r="AM66" s="213" t="str">
        <f>IF(U66&lt;&gt;"",SUM(AG66:AL66),"")</f>
        <v/>
      </c>
      <c r="AN66" s="213">
        <f>IF(AO26&lt;&gt;"",SUMPRODUCT((AV25:AV28=AV26)*(AU25:AU28=AU26)*(AS25:AS28=AS26)*(AT25:AT28=AT26)),"")</f>
        <v>2</v>
      </c>
      <c r="AO66" s="213" t="str">
        <f t="shared" ref="AO66:AO68" si="95">IF(AND(AN66&lt;&gt;"",AN66&gt;1),AO26,"")</f>
        <v>Czech Republic</v>
      </c>
      <c r="AP66" s="213">
        <f>SUMPRODUCT((CZ3:CZ42=AO66)*(DC3:DC42=AO67)*(DD3:DD42="W"))+SUMPRODUCT((CZ3:CZ42=AO66)*(DC3:DC42=AO68)*(DD3:DD42="W"))+SUMPRODUCT((CZ3:CZ42=AO66)*(DC3:DC42=AO69)*(DD3:DD42="W"))+SUMPRODUCT((CZ3:CZ42=AO67)*(DC3:DC42=AO66)*(DE3:DE42="W"))+SUMPRODUCT((CZ3:CZ42=AO68)*(DC3:DC42=AO66)*(DE3:DE42="W"))+SUMPRODUCT((CZ3:CZ42=AO69)*(DC3:DC42=AO66)*(DE3:DE42="W"))</f>
        <v>0</v>
      </c>
      <c r="AQ66" s="213">
        <f>SUMPRODUCT((CZ3:CZ42=AO66)*(DC3:DC42=AO67)*(DD3:DD42="D"))+SUMPRODUCT((CZ3:CZ42=AO66)*(DC3:DC42=AO68)*(DD3:DD42="D"))+SUMPRODUCT((CZ3:CZ42=AO66)*(DC3:DC42=AO69)*(DD3:DD42="D"))+SUMPRODUCT((CZ3:CZ42=AO67)*(DC3:DC42=AO66)*(DD3:DD42="D"))+SUMPRODUCT((CZ3:CZ42=AO68)*(DC3:DC42=AO66)*(DD3:DD42="D"))+SUMPRODUCT((CZ3:CZ42=AO69)*(DC3:DC42=AO66)*(DD3:DD42="D"))</f>
        <v>1</v>
      </c>
      <c r="AR66" s="213">
        <f>SUMPRODUCT((CZ3:CZ42=AO66)*(DC3:DC42=AO67)*(DD3:DD42="L"))+SUMPRODUCT((CZ3:CZ42=AO66)*(DC3:DC42=AO68)*(DD3:DD42="L"))+SUMPRODUCT((CZ3:CZ42=AO66)*(DC3:DC42=AO69)*(DD3:DD42="L"))+SUMPRODUCT((CZ3:CZ42=AO67)*(DC3:DC42=AO66)*(DE3:DE42="L"))+SUMPRODUCT((CZ3:CZ42=AO68)*(DC3:DC42=AO66)*(DE3:DE42="L"))+SUMPRODUCT((CZ3:CZ42=AO69)*(DC3:DC42=AO66)*(DE3:DE42="L"))</f>
        <v>0</v>
      </c>
      <c r="AS66" s="213">
        <f>SUMPRODUCT((CZ3:CZ42=AO66)*(DC3:DC42=AO67)*DA3:DA42)+SUMPRODUCT((CZ3:CZ42=AO66)*(DC3:DC42=AO68)*DA3:DA42)+SUMPRODUCT((CZ3:CZ42=AO66)*(DC3:DC42=AO69)*DA3:DA42)+SUMPRODUCT((CZ3:CZ42=AO66)*(DC3:DC42=AO65)*DA3:DA42)+SUMPRODUCT((CZ3:CZ42=AO67)*(DC3:DC42=AO66)*DB3:DB42)+SUMPRODUCT((CZ3:CZ42=AO68)*(DC3:DC42=AO66)*DB3:DB42)+SUMPRODUCT((CZ3:CZ42=AO69)*(DC3:DC42=AO66)*DB3:DB42)+SUMPRODUCT((CZ3:CZ42=AO65)*(DC3:DC42=AO66)*DB3:DB42)</f>
        <v>1</v>
      </c>
      <c r="AT66" s="213">
        <f>SUMPRODUCT((CZ3:CZ42=AO66)*(DC3:DC42=AO67)*DB3:DB42)+SUMPRODUCT((CZ3:CZ42=AO66)*(DC3:DC42=AO68)*DB3:DB42)+SUMPRODUCT((CZ3:CZ42=AO66)*(DC3:DC42=AO69)*DB3:DB42)+SUMPRODUCT((CZ3:CZ42=AO66)*(DC3:DC42=AO65)*DB3:DB42)+SUMPRODUCT((CZ3:CZ42=AO67)*(DC3:DC42=AO66)*DA3:DA42)+SUMPRODUCT((CZ3:CZ42=AO68)*(DC3:DC42=AO66)*DA3:DA42)+SUMPRODUCT((CZ3:CZ42=AO69)*(DC3:DC42=AO66)*DA3:DA42)+SUMPRODUCT((CZ3:CZ42=AO65)*(DC3:DC42=AO66)*DA3:DA42)</f>
        <v>1</v>
      </c>
      <c r="AU66" s="213">
        <f>AS66-AT66+1000</f>
        <v>1000</v>
      </c>
      <c r="AV66" s="213">
        <f t="shared" ref="AV66:AV68" si="96">IF(AO66&lt;&gt;"",AP66*3+AQ66*1,"")</f>
        <v>1</v>
      </c>
      <c r="AW66" s="213">
        <f>IF(AO66&lt;&gt;"",VLOOKUP(AO66,B4:H40,7,FALSE),"")</f>
        <v>1001</v>
      </c>
      <c r="AX66" s="213">
        <f>IF(AO66&lt;&gt;"",VLOOKUP(AO66,B4:H40,5,FALSE),"")</f>
        <v>3</v>
      </c>
      <c r="AY66" s="213">
        <f>IF(AO66&lt;&gt;"",VLOOKUP(AO66,B4:J40,9,FALSE),"")</f>
        <v>38</v>
      </c>
      <c r="AZ66" s="213">
        <f t="shared" ref="AZ66:AZ68" si="97">AV66</f>
        <v>1</v>
      </c>
      <c r="BA66" s="213">
        <f>IF(AO66&lt;&gt;"",RANK(AZ66,AZ65:AZ68),"")</f>
        <v>1</v>
      </c>
      <c r="BB66" s="213">
        <f>IF(AO66&lt;&gt;"",SUMPRODUCT((AZ65:AZ68=AZ66)*(AU65:AU68&gt;AU66)),"")</f>
        <v>0</v>
      </c>
      <c r="BC66" s="213">
        <f>IF(AO66&lt;&gt;"",SUMPRODUCT((AZ65:AZ68=AZ66)*(AU65:AU68=AU66)*(AS65:AS68&gt;AS66)),"")</f>
        <v>0</v>
      </c>
      <c r="BD66" s="213">
        <f>IF(AO66&lt;&gt;"",SUMPRODUCT((AZ65:AZ68=AZ66)*(AU65:AU68=AU66)*(AS65:AS68=AS66)*(AW65:AW68&gt;AW66)),"")</f>
        <v>0</v>
      </c>
      <c r="BE66" s="213">
        <f>IF(AO66&lt;&gt;"",SUMPRODUCT((AZ65:AZ68=AZ66)*(AU65:AU68=AU66)*(AS65:AS68=AS66)*(AW65:AW68=AW66)*(AX65:AX68&gt;AX66)),"")</f>
        <v>1</v>
      </c>
      <c r="BF66" s="213">
        <f>IF(AO66&lt;&gt;"",SUMPRODUCT((AZ65:AZ68=AZ66)*(AU65:AU68=AU66)*(AS65:AS68=AS66)*(AW65:AW68=AW66)*(AX65:AX68=AX66)*(AY65:AY68&gt;AY66)),"")</f>
        <v>0</v>
      </c>
      <c r="BG66" s="213">
        <f>IF(AO66&lt;&gt;"",SUM(BA66:BF66)+1,"")</f>
        <v>3</v>
      </c>
    </row>
    <row r="67" spans="9:59" x14ac:dyDescent="0.15">
      <c r="I67" s="213">
        <f>SUMPRODUCT((I25:I28=I27)*(H25:H28=H27)*(F25:F28&gt;F27))+1</f>
        <v>1</v>
      </c>
      <c r="T67" s="213" t="str">
        <f>IF(U27&lt;&gt;"",SUMPRODUCT((AB25:AB28=AB27)*(AA25:AA28=AA27)*(Y25:Y28=Y27)*(Z25:Z28=Z27)),"")</f>
        <v/>
      </c>
      <c r="U67" s="213" t="str">
        <f t="shared" si="92"/>
        <v/>
      </c>
      <c r="V67" s="213">
        <f>SUMPRODUCT((CZ3:CZ42=U67)*(DC3:DC42=U68)*(DD3:DD42="W"))+SUMPRODUCT((CZ3:CZ42=U67)*(DC3:DC42=U69)*(DD3:DD42="W"))+SUMPRODUCT((CZ3:CZ42=U67)*(DC3:DC42=U65)*(DD3:DD42="W"))+SUMPRODUCT((CZ3:CZ42=U67)*(DC3:DC42=U66)*(DD3:DD42="W"))+SUMPRODUCT((CZ3:CZ42=U68)*(DC3:DC42=U67)*(DE3:DE42="W"))+SUMPRODUCT((CZ3:CZ42=U69)*(DC3:DC42=U67)*(DE3:DE42="W"))+SUMPRODUCT((CZ3:CZ42=U65)*(DC3:DC42=U67)*(DE3:DE42="W"))+SUMPRODUCT((CZ3:CZ42=U66)*(DC3:DC42=U67)*(DE3:DE42="W"))</f>
        <v>0</v>
      </c>
      <c r="W67" s="213">
        <f>SUMPRODUCT((CZ3:CZ42=U67)*(DC3:DC42=U68)*(DD3:DD42="D"))+SUMPRODUCT((CZ3:CZ42=U67)*(DC3:DC42=U69)*(DD3:DD42="D"))+SUMPRODUCT((CZ3:CZ42=U67)*(DC3:DC42=U65)*(DD3:DD42="D"))+SUMPRODUCT((CZ3:CZ42=U67)*(DC3:DC42=U66)*(DD3:DD42="D"))+SUMPRODUCT((CZ3:CZ42=U68)*(DC3:DC42=U67)*(DD3:DD42="D"))+SUMPRODUCT((CZ3:CZ42=U69)*(DC3:DC42=U67)*(DD3:DD42="D"))+SUMPRODUCT((CZ3:CZ42=U65)*(DC3:DC42=U67)*(DD3:DD42="D"))+SUMPRODUCT((CZ3:CZ42=U66)*(DC3:DC42=U67)*(DD3:DD42="D"))</f>
        <v>0</v>
      </c>
      <c r="X67" s="213">
        <f>SUMPRODUCT((CZ3:CZ42=U67)*(DC3:DC42=U68)*(DD3:DD42="L"))+SUMPRODUCT((CZ3:CZ42=U67)*(DC3:DC42=U69)*(DD3:DD42="L"))+SUMPRODUCT((CZ3:CZ42=U67)*(DC3:DC42=U65)*(DD3:DD42="L"))+SUMPRODUCT((CZ3:CZ42=U67)*(DC3:DC42=U66)*(DD3:DD42="L"))+SUMPRODUCT((CZ3:CZ42=U68)*(DC3:DC42=U67)*(DE3:DE42="L"))+SUMPRODUCT((CZ3:CZ42=U69)*(DC3:DC42=U67)*(DE3:DE42="L"))+SUMPRODUCT((CZ3:CZ42=U65)*(DC3:DC42=U67)*(DE3:DE42="L"))+SUMPRODUCT((CZ3:CZ42=U66)*(DC3:DC42=U67)*(DE3:DE42="L"))</f>
        <v>0</v>
      </c>
      <c r="Y67" s="213">
        <f>SUMPRODUCT((CZ3:CZ42=U67)*(DC3:DC42=U68)*DA3:DA42)+SUMPRODUCT((CZ3:CZ42=U67)*(DC3:DC42=U69)*DA3:DA42)+SUMPRODUCT((CZ3:CZ42=U67)*(DC3:DC42=U65)*DA3:DA42)+SUMPRODUCT((CZ3:CZ42=U67)*(DC3:DC42=U66)*DA3:DA42)+SUMPRODUCT((CZ3:CZ42=U68)*(DC3:DC42=U67)*DB3:DB42)+SUMPRODUCT((CZ3:CZ42=U69)*(DC3:DC42=U67)*DB3:DB42)+SUMPRODUCT((CZ3:CZ42=U65)*(DC3:DC42=U67)*DB3:DB42)+SUMPRODUCT((CZ3:CZ42=U66)*(DC3:DC42=U67)*DB3:DB42)</f>
        <v>0</v>
      </c>
      <c r="Z67" s="213">
        <f>SUMPRODUCT((CZ3:CZ42=U67)*(DC3:DC42=U68)*DB3:DB42)+SUMPRODUCT((CZ3:CZ42=U67)*(DC3:DC42=U69)*DB3:DB42)+SUMPRODUCT((CZ3:CZ42=U67)*(DC3:DC42=U65)*DB3:DB42)+SUMPRODUCT((CZ3:CZ42=U67)*(DC3:DC42=U66)*DB3:DB42)+SUMPRODUCT((CZ3:CZ42=U68)*(DC3:DC42=U67)*DA3:DA42)+SUMPRODUCT((CZ3:CZ42=U69)*(DC3:DC42=U67)*DA3:DA42)+SUMPRODUCT((CZ3:CZ42=U65)*(DC3:DC42=U67)*DA3:DA42)+SUMPRODUCT((CZ3:CZ42=U66)*(DC3:DC42=U67)*DA3:DA42)</f>
        <v>0</v>
      </c>
      <c r="AA67" s="213">
        <f>Y67-Z67+1000</f>
        <v>1000</v>
      </c>
      <c r="AB67" s="213" t="str">
        <f t="shared" si="93"/>
        <v/>
      </c>
      <c r="AC67" s="213" t="str">
        <f>IF(U67&lt;&gt;"",VLOOKUP(U67,B4:H40,7,FALSE),"")</f>
        <v/>
      </c>
      <c r="AD67" s="213" t="str">
        <f>IF(U67&lt;&gt;"",VLOOKUP(U67,B4:H40,5,FALSE),"")</f>
        <v/>
      </c>
      <c r="AE67" s="213" t="str">
        <f>IF(U67&lt;&gt;"",VLOOKUP(U67,B4:J40,9,FALSE),"")</f>
        <v/>
      </c>
      <c r="AF67" s="213" t="str">
        <f t="shared" si="94"/>
        <v/>
      </c>
      <c r="AG67" s="213" t="str">
        <f>IF(U67&lt;&gt;"",RANK(AF67,AF65:AF68),"")</f>
        <v/>
      </c>
      <c r="AH67" s="213" t="str">
        <f>IF(U67&lt;&gt;"",SUMPRODUCT((AF65:AF68=AF67)*(AA65:AA68&gt;AA67)),"")</f>
        <v/>
      </c>
      <c r="AI67" s="213" t="str">
        <f>IF(U67&lt;&gt;"",SUMPRODUCT((AF65:AF68=AF67)*(AA65:AA68=AA67)*(Y65:Y68&gt;Y67)),"")</f>
        <v/>
      </c>
      <c r="AJ67" s="213" t="str">
        <f>IF(U67&lt;&gt;"",SUMPRODUCT((AF65:AF68=AF67)*(AA65:AA68=AA67)*(Y65:Y68=Y67)*(AC65:AC68&gt;AC67)),"")</f>
        <v/>
      </c>
      <c r="AK67" s="213" t="str">
        <f>IF(U67&lt;&gt;"",SUMPRODUCT((AF65:AF68=AF67)*(AA65:AA68=AA67)*(Y65:Y68=Y67)*(AC65:AC68=AC67)*(AD65:AD68&gt;AD67)),"")</f>
        <v/>
      </c>
      <c r="AL67" s="213" t="str">
        <f>IF(U67&lt;&gt;"",SUMPRODUCT((AF65:AF68=AF67)*(AA65:AA68=AA67)*(Y65:Y68=Y67)*(AC65:AC68=AC67)*(AD65:AD68=AD67)*(AE65:AE68&gt;AE67)),"")</f>
        <v/>
      </c>
      <c r="AM67" s="213" t="str">
        <f>IF(U67&lt;&gt;"",SUM(AG67:AL67),"")</f>
        <v/>
      </c>
      <c r="AN67" s="213">
        <f>IF(AO27&lt;&gt;"",SUMPRODUCT((AV25:AV28=AV27)*(AU25:AU28=AU27)*(AS25:AS28=AS27)*(AT25:AT28=AT27)),"")</f>
        <v>2</v>
      </c>
      <c r="AO67" s="213" t="str">
        <f t="shared" si="95"/>
        <v>Croatia</v>
      </c>
      <c r="AP67" s="213">
        <f>SUMPRODUCT((CZ3:CZ42=AO67)*(DC3:DC42=AO68)*(DD3:DD42="W"))+SUMPRODUCT((CZ3:CZ42=AO67)*(DC3:DC42=AO69)*(DD3:DD42="W"))+SUMPRODUCT((CZ3:CZ42=AO67)*(DC3:DC42=AO66)*(DD3:DD42="W"))+SUMPRODUCT((CZ3:CZ42=AO68)*(DC3:DC42=AO67)*(DE3:DE42="W"))+SUMPRODUCT((CZ3:CZ42=AO69)*(DC3:DC42=AO67)*(DE3:DE42="W"))+SUMPRODUCT((CZ3:CZ42=AO66)*(DC3:DC42=AO67)*(DE3:DE42="W"))</f>
        <v>0</v>
      </c>
      <c r="AQ67" s="213">
        <f>SUMPRODUCT((CZ3:CZ42=AO67)*(DC3:DC42=AO68)*(DD3:DD42="D"))+SUMPRODUCT((CZ3:CZ42=AO67)*(DC3:DC42=AO69)*(DD3:DD42="D"))+SUMPRODUCT((CZ3:CZ42=AO67)*(DC3:DC42=AO66)*(DD3:DD42="D"))+SUMPRODUCT((CZ3:CZ42=AO68)*(DC3:DC42=AO67)*(DD3:DD42="D"))+SUMPRODUCT((CZ3:CZ42=AO69)*(DC3:DC42=AO67)*(DD3:DD42="D"))+SUMPRODUCT((CZ3:CZ42=AO66)*(DC3:DC42=AO67)*(DD3:DD42="D"))</f>
        <v>1</v>
      </c>
      <c r="AR67" s="213">
        <f>SUMPRODUCT((CZ3:CZ42=AO67)*(DC3:DC42=AO68)*(DD3:DD42="L"))+SUMPRODUCT((CZ3:CZ42=AO67)*(DC3:DC42=AO69)*(DD3:DD42="L"))+SUMPRODUCT((CZ3:CZ42=AO67)*(DC3:DC42=AO66)*(DD3:DD42="L"))+SUMPRODUCT((CZ3:CZ42=AO68)*(DC3:DC42=AO67)*(DE3:DE42="L"))+SUMPRODUCT((CZ3:CZ42=AO69)*(DC3:DC42=AO67)*(DE3:DE42="L"))+SUMPRODUCT((CZ3:CZ42=AO66)*(DC3:DC42=AO67)*(DE3:DE42="L"))</f>
        <v>0</v>
      </c>
      <c r="AS67" s="213">
        <f>SUMPRODUCT((CZ3:CZ42=AO67)*(DC3:DC42=AO68)*DA3:DA42)+SUMPRODUCT((CZ3:CZ42=AO67)*(DC3:DC42=AO69)*DA3:DA42)+SUMPRODUCT((CZ3:CZ42=AO67)*(DC3:DC42=AO65)*DA3:DA42)+SUMPRODUCT((CZ3:CZ42=AO67)*(DC3:DC42=AO66)*DA3:DA42)+SUMPRODUCT((CZ3:CZ42=AO68)*(DC3:DC42=AO67)*DB3:DB42)+SUMPRODUCT((CZ3:CZ42=AO69)*(DC3:DC42=AO67)*DB3:DB42)+SUMPRODUCT((CZ3:CZ42=AO65)*(DC3:DC42=AO67)*DB3:DB42)+SUMPRODUCT((CZ3:CZ42=AO66)*(DC3:DC42=AO67)*DB3:DB42)</f>
        <v>1</v>
      </c>
      <c r="AT67" s="213">
        <f>SUMPRODUCT((CZ3:CZ42=AO67)*(DC3:DC42=AO68)*DB3:DB42)+SUMPRODUCT((CZ3:CZ42=AO67)*(DC3:DC42=AO69)*DB3:DB42)+SUMPRODUCT((CZ3:CZ42=AO67)*(DC3:DC42=AO65)*DB3:DB42)+SUMPRODUCT((CZ3:CZ42=AO67)*(DC3:DC42=AO66)*DB3:DB42)+SUMPRODUCT((CZ3:CZ42=AO68)*(DC3:DC42=AO67)*DA3:DA42)+SUMPRODUCT((CZ3:CZ42=AO69)*(DC3:DC42=AO67)*DA3:DA42)+SUMPRODUCT((CZ3:CZ42=AO65)*(DC3:DC42=AO67)*DA3:DA42)+SUMPRODUCT((CZ3:CZ42=AO66)*(DC3:DC42=AO67)*DA3:DA42)</f>
        <v>1</v>
      </c>
      <c r="AU67" s="213">
        <f>AS67-AT67+1000</f>
        <v>1000</v>
      </c>
      <c r="AV67" s="213">
        <f t="shared" si="96"/>
        <v>1</v>
      </c>
      <c r="AW67" s="213">
        <f>IF(AO67&lt;&gt;"",VLOOKUP(AO67,B4:H40,7,FALSE),"")</f>
        <v>1001</v>
      </c>
      <c r="AX67" s="213">
        <f>IF(AO67&lt;&gt;"",VLOOKUP(AO67,B4:H40,5,FALSE),"")</f>
        <v>4</v>
      </c>
      <c r="AY67" s="213">
        <f>IF(AO67&lt;&gt;"",VLOOKUP(AO67,B4:J40,9,FALSE),"")</f>
        <v>46</v>
      </c>
      <c r="AZ67" s="213">
        <f t="shared" si="97"/>
        <v>1</v>
      </c>
      <c r="BA67" s="213">
        <f>IF(AO67&lt;&gt;"",RANK(AZ67,AZ65:AZ68),"")</f>
        <v>1</v>
      </c>
      <c r="BB67" s="213">
        <f>IF(AO67&lt;&gt;"",SUMPRODUCT((AZ65:AZ68=AZ67)*(AU65:AU68&gt;AU67)),"")</f>
        <v>0</v>
      </c>
      <c r="BC67" s="213">
        <f>IF(AO67&lt;&gt;"",SUMPRODUCT((AZ65:AZ68=AZ67)*(AU65:AU68=AU67)*(AS65:AS68&gt;AS67)),"")</f>
        <v>0</v>
      </c>
      <c r="BD67" s="213">
        <f>IF(AO67&lt;&gt;"",SUMPRODUCT((AZ65:AZ68=AZ67)*(AU65:AU68=AU67)*(AS65:AS68=AS67)*(AW65:AW68&gt;AW67)),"")</f>
        <v>0</v>
      </c>
      <c r="BE67" s="213">
        <f>IF(AO67&lt;&gt;"",SUMPRODUCT((AZ65:AZ68=AZ67)*(AU65:AU68=AU67)*(AS65:AS68=AS67)*(AW65:AW68=AW67)*(AX65:AX68&gt;AX67)),"")</f>
        <v>0</v>
      </c>
      <c r="BF67" s="213">
        <f>IF(AO67&lt;&gt;"",SUMPRODUCT((AZ65:AZ68=AZ67)*(AU65:AU68=AU67)*(AS65:AS68=AS67)*(AW65:AW68=AW67)*(AX65:AX68=AX67)*(AY65:AY68&gt;AY67)),"")</f>
        <v>0</v>
      </c>
      <c r="BG67" s="213">
        <f t="shared" ref="BG67:BG68" si="98">IF(AO67&lt;&gt;"",SUM(BA67:BF67)+1,"")</f>
        <v>2</v>
      </c>
    </row>
    <row r="68" spans="9:59" x14ac:dyDescent="0.15">
      <c r="I68" s="213">
        <f>SUMPRODUCT((I25:I28=I28)*(H25:H28=H28)*(F25:F28&gt;F28))+1</f>
        <v>1</v>
      </c>
      <c r="T68" s="213" t="str">
        <f>IF(U28&lt;&gt;"",SUMPRODUCT((AB25:AB28=AB28)*(AA25:AA28=AA28)*(Y25:Y28=Y28)*(Z25:Z28=Z28)),"")</f>
        <v/>
      </c>
      <c r="U68" s="213" t="str">
        <f t="shared" si="92"/>
        <v/>
      </c>
      <c r="V68" s="213">
        <f>SUMPRODUCT((CZ3:CZ42=U68)*(DC3:DC42=U69)*(DD3:DD42="W"))+SUMPRODUCT((CZ3:CZ42=U68)*(DC3:DC42=U65)*(DD3:DD42="W"))+SUMPRODUCT((CZ3:CZ42=U68)*(DC3:DC42=U66)*(DD3:DD42="W"))+SUMPRODUCT((CZ3:CZ42=U68)*(DC3:DC42=U67)*(DD3:DD42="W"))+SUMPRODUCT((CZ3:CZ42=U69)*(DC3:DC42=U68)*(DE3:DE42="W"))+SUMPRODUCT((CZ3:CZ42=U65)*(DC3:DC42=U68)*(DE3:DE42="W"))+SUMPRODUCT((CZ3:CZ42=U66)*(DC3:DC42=U68)*(DE3:DE42="W"))+SUMPRODUCT((CZ3:CZ42=U67)*(DC3:DC42=U68)*(DE3:DE42="W"))</f>
        <v>0</v>
      </c>
      <c r="W68" s="213">
        <f>SUMPRODUCT((CZ3:CZ42=U68)*(DC3:DC42=U69)*(DD3:DD42="D"))+SUMPRODUCT((CZ3:CZ42=U68)*(DC3:DC42=U65)*(DD3:DD42="D"))+SUMPRODUCT((CZ3:CZ42=U68)*(DC3:DC42=U66)*(DD3:DD42="D"))+SUMPRODUCT((CZ3:CZ42=U68)*(DC3:DC42=U67)*(DD3:DD42="D"))+SUMPRODUCT((CZ3:CZ42=U69)*(DC3:DC42=U68)*(DD3:DD42="D"))+SUMPRODUCT((CZ3:CZ42=U65)*(DC3:DC42=U68)*(DD3:DD42="D"))+SUMPRODUCT((CZ3:CZ42=U66)*(DC3:DC42=U68)*(DD3:DD42="D"))+SUMPRODUCT((CZ3:CZ42=U67)*(DC3:DC42=U68)*(DD3:DD42="D"))</f>
        <v>0</v>
      </c>
      <c r="X68" s="213">
        <f>SUMPRODUCT((CZ3:CZ42=U68)*(DC3:DC42=U69)*(DD3:DD42="L"))+SUMPRODUCT((CZ3:CZ42=U68)*(DC3:DC42=U65)*(DD3:DD42="L"))+SUMPRODUCT((CZ3:CZ42=U68)*(DC3:DC42=U66)*(DD3:DD42="L"))+SUMPRODUCT((CZ3:CZ42=U68)*(DC3:DC42=U67)*(DD3:DD42="L"))+SUMPRODUCT((CZ3:CZ42=U69)*(DC3:DC42=U68)*(DE3:DE42="L"))+SUMPRODUCT((CZ3:CZ42=U65)*(DC3:DC42=U68)*(DE3:DE42="L"))+SUMPRODUCT((CZ3:CZ42=U66)*(DC3:DC42=U68)*(DE3:DE42="L"))+SUMPRODUCT((CZ3:CZ42=U67)*(DC3:DC42=U68)*(DE3:DE42="L"))</f>
        <v>0</v>
      </c>
      <c r="Y68" s="213">
        <f>SUMPRODUCT((CZ3:CZ42=U68)*(DC3:DC42=U69)*DA3:DA42)+SUMPRODUCT((CZ3:CZ42=U68)*(DC3:DC42=U65)*DA3:DA42)+SUMPRODUCT((CZ3:CZ42=U68)*(DC3:DC42=U66)*DA3:DA42)+SUMPRODUCT((CZ3:CZ42=U68)*(DC3:DC42=U67)*DA3:DA42)+SUMPRODUCT((CZ3:CZ42=U69)*(DC3:DC42=U68)*DB3:DB42)+SUMPRODUCT((CZ3:CZ42=U65)*(DC3:DC42=U68)*DB3:DB42)+SUMPRODUCT((CZ3:CZ42=U66)*(DC3:DC42=U68)*DB3:DB42)+SUMPRODUCT((CZ3:CZ42=U67)*(DC3:DC42=U68)*DB3:DB42)</f>
        <v>0</v>
      </c>
      <c r="Z68" s="213">
        <f>SUMPRODUCT((CZ3:CZ42=U68)*(DC3:DC42=U69)*DB3:DB42)+SUMPRODUCT((CZ3:CZ42=U68)*(DC3:DC42=U65)*DB3:DB42)+SUMPRODUCT((CZ3:CZ42=U68)*(DC3:DC42=U66)*DB3:DB42)+SUMPRODUCT((CZ3:CZ42=U68)*(DC3:DC42=U67)*DB3:DB42)+SUMPRODUCT((CZ3:CZ42=U69)*(DC3:DC42=U68)*DA3:DA42)+SUMPRODUCT((CZ3:CZ42=U65)*(DC3:DC42=U68)*DA3:DA42)+SUMPRODUCT((CZ3:CZ42=U66)*(DC3:DC42=U68)*DA3:DA42)+SUMPRODUCT((CZ3:CZ42=U67)*(DC3:DC42=U68)*DA3:DA42)</f>
        <v>0</v>
      </c>
      <c r="AA68" s="213">
        <f>Y68-Z68+1000</f>
        <v>1000</v>
      </c>
      <c r="AB68" s="213" t="str">
        <f t="shared" si="93"/>
        <v/>
      </c>
      <c r="AC68" s="213" t="str">
        <f>IF(U68&lt;&gt;"",VLOOKUP(U68,B4:H40,7,FALSE),"")</f>
        <v/>
      </c>
      <c r="AD68" s="213" t="str">
        <f>IF(U68&lt;&gt;"",VLOOKUP(U68,B4:H40,5,FALSE),"")</f>
        <v/>
      </c>
      <c r="AE68" s="213" t="str">
        <f>IF(U68&lt;&gt;"",VLOOKUP(U68,B4:J40,9,FALSE),"")</f>
        <v/>
      </c>
      <c r="AF68" s="213" t="str">
        <f t="shared" si="94"/>
        <v/>
      </c>
      <c r="AG68" s="213" t="str">
        <f>IF(U68&lt;&gt;"",RANK(AF68,AF65:AF68),"")</f>
        <v/>
      </c>
      <c r="AH68" s="213" t="str">
        <f>IF(U68&lt;&gt;"",SUMPRODUCT((AF65:AF68=AF68)*(AA65:AA68&gt;AA68)),"")</f>
        <v/>
      </c>
      <c r="AI68" s="213" t="str">
        <f>IF(U68&lt;&gt;"",SUMPRODUCT((AF65:AF68=AF68)*(AA65:AA68=AA68)*(Y65:Y68&gt;Y68)),"")</f>
        <v/>
      </c>
      <c r="AJ68" s="213" t="str">
        <f>IF(U68&lt;&gt;"",SUMPRODUCT((AF65:AF68=AF68)*(AA65:AA68=AA68)*(Y65:Y68=Y68)*(AC65:AC68&gt;AC68)),"")</f>
        <v/>
      </c>
      <c r="AK68" s="213" t="str">
        <f>IF(U68&lt;&gt;"",SUMPRODUCT((AF65:AF68=AF68)*(AA65:AA68=AA68)*(Y65:Y68=Y68)*(AC65:AC68=AC68)*(AD65:AD68&gt;AD68)),"")</f>
        <v/>
      </c>
      <c r="AL68" s="213" t="str">
        <f>IF(U68&lt;&gt;"",SUMPRODUCT((AF65:AF68=AF68)*(AA65:AA68=AA68)*(Y65:Y68=Y68)*(AC65:AC68=AC68)*(AD65:AD68=AD68)*(AE65:AE68&gt;AE68)),"")</f>
        <v/>
      </c>
      <c r="AM68" s="213" t="str">
        <f>IF(U68&lt;&gt;"",SUM(AG68:AL68),"")</f>
        <v/>
      </c>
      <c r="AN68" s="213" t="str">
        <f>IF(AO28&lt;&gt;"",SUMPRODUCT((AV25:AV28=AV28)*(AU25:AU28=AU28)*(AS25:AS28=AS28)*(AT25:AT28=AT28)),"")</f>
        <v/>
      </c>
      <c r="AO68" s="213" t="str">
        <f t="shared" si="95"/>
        <v/>
      </c>
      <c r="AP68" s="213" t="str">
        <f>IF(AO68&lt;&gt;"",SUMPRODUCT((CZ3:CZ42=AO68)*(DC3:DC42=AO69)*(DD3:DD42="W"))+SUMPRODUCT((CZ3:CZ42=AO68)*(DC3:DC42=AO66)*(DD3:DD42="W"))+SUMPRODUCT((CZ3:CZ42=AO68)*(DC3:DC42=AO67)*(DD3:DD42="W"))+SUMPRODUCT((CZ3:CZ42=AO69)*(DC3:DC42=AO68)*(DE3:DE42="W"))+SUMPRODUCT((CZ3:CZ42=AO66)*(DC3:DC42=AO68)*(DE3:DE42="W"))+SUMPRODUCT((CZ3:CZ42=AO67)*(DC3:DC42=AO68)*(DE3:DE42="W")),"")</f>
        <v/>
      </c>
      <c r="AQ68" s="213" t="str">
        <f>IF(AO68&lt;&gt;"",SUMPRODUCT((CZ3:CZ42=AO68)*(DC3:DC42=AO69)*(DD3:DD42="D"))+SUMPRODUCT((CZ3:CZ42=AO68)*(DC3:DC42=AO66)*(DD3:DD42="D"))+SUMPRODUCT((CZ3:CZ42=AO68)*(DC3:DC42=AO67)*(DD3:DD42="D"))+SUMPRODUCT((CZ3:CZ42=AO69)*(DC3:DC42=AO68)*(DD3:DD42="D"))+SUMPRODUCT((CZ3:CZ42=AO66)*(DC3:DC42=AO68)*(DD3:DD42="D"))+SUMPRODUCT((CZ3:CZ42=AO67)*(DC3:DC42=AO68)*(DD3:DD42="D")),"")</f>
        <v/>
      </c>
      <c r="AR68" s="213" t="str">
        <f>IF(AO68&lt;&gt;"",SUMPRODUCT((CZ3:CZ42=AO68)*(DC3:DC42=AO69)*(DD3:DD42="L"))+SUMPRODUCT((CZ3:CZ42=AO68)*(DC3:DC42=AO66)*(DD3:DD42="L"))+SUMPRODUCT((CZ3:CZ42=AO68)*(DC3:DC42=AO67)*(DD3:DD42="L"))+SUMPRODUCT((CZ3:CZ42=AO69)*(DC3:DC42=AO68)*(DE3:DE42="L"))+SUMPRODUCT((CZ3:CZ42=AO66)*(DC3:DC42=AO68)*(DE3:DE42="L"))+SUMPRODUCT((CZ3:CZ42=AO67)*(DC3:DC42=AO68)*(DE3:DE42="L")),"")</f>
        <v/>
      </c>
      <c r="AS68" s="213">
        <f>SUMPRODUCT((CZ3:CZ42=AO68)*(DC3:DC42=AO69)*DA3:DA42)+SUMPRODUCT((CZ3:CZ42=AO68)*(DC3:DC42=AO65)*DA3:DA42)+SUMPRODUCT((CZ3:CZ42=AO68)*(DC3:DC42=AO66)*DA3:DA42)+SUMPRODUCT((CZ3:CZ42=AO68)*(DC3:DC42=AO67)*DA3:DA42)+SUMPRODUCT((CZ3:CZ42=AO69)*(DC3:DC42=AO68)*DB3:DB42)+SUMPRODUCT((CZ3:CZ42=AO65)*(DC3:DC42=AO68)*DB3:DB42)+SUMPRODUCT((CZ3:CZ42=AO66)*(DC3:DC42=AO68)*DB3:DB42)+SUMPRODUCT((CZ3:CZ42=AO67)*(DC3:DC42=AO68)*DB3:DB42)</f>
        <v>0</v>
      </c>
      <c r="AT68" s="213">
        <f>SUMPRODUCT((CZ3:CZ42=AO68)*(DC3:DC42=AO69)*DB3:DB42)+SUMPRODUCT((CZ3:CZ42=AO68)*(DC3:DC42=AO65)*DB3:DB42)+SUMPRODUCT((CZ3:CZ42=AO68)*(DC3:DC42=AO66)*DB3:DB42)+SUMPRODUCT((CZ3:CZ42=AO68)*(DC3:DC42=AO67)*DB3:DB42)+SUMPRODUCT((CZ3:CZ42=AO69)*(DC3:DC42=AO68)*DA3:DA42)+SUMPRODUCT((CZ3:CZ42=AO65)*(DC3:DC42=AO68)*DA3:DA42)+SUMPRODUCT((CZ3:CZ42=AO66)*(DC3:DC42=AO68)*DA3:DA42)+SUMPRODUCT((CZ3:CZ42=AO67)*(DC3:DC42=AO68)*DA3:DA42)</f>
        <v>0</v>
      </c>
      <c r="AU68" s="213">
        <f>AS68-AT68+1000</f>
        <v>1000</v>
      </c>
      <c r="AV68" s="213" t="str">
        <f t="shared" si="96"/>
        <v/>
      </c>
      <c r="AW68" s="213" t="str">
        <f>IF(AO68&lt;&gt;"",VLOOKUP(AO68,B4:H40,7,FALSE),"")</f>
        <v/>
      </c>
      <c r="AX68" s="213" t="str">
        <f>IF(AO68&lt;&gt;"",VLOOKUP(AO68,B4:H40,5,FALSE),"")</f>
        <v/>
      </c>
      <c r="AY68" s="213" t="str">
        <f>IF(AO68&lt;&gt;"",VLOOKUP(AO68,B4:J40,9,FALSE),"")</f>
        <v/>
      </c>
      <c r="AZ68" s="213" t="str">
        <f t="shared" si="97"/>
        <v/>
      </c>
      <c r="BA68" s="213" t="str">
        <f>IF(AO68&lt;&gt;"",RANK(AZ68,AZ65:AZ68),"")</f>
        <v/>
      </c>
      <c r="BB68" s="213" t="str">
        <f>IF(AO68&lt;&gt;"",SUMPRODUCT((AZ65:AZ68=AZ68)*(AU65:AU68&gt;AU68)),"")</f>
        <v/>
      </c>
      <c r="BC68" s="213" t="str">
        <f>IF(AO68&lt;&gt;"",SUMPRODUCT((AZ65:AZ68=AZ68)*(AU65:AU68=AU68)*(AS65:AS68&gt;AS68)),"")</f>
        <v/>
      </c>
      <c r="BD68" s="213" t="str">
        <f>IF(AO68&lt;&gt;"",SUMPRODUCT((AZ65:AZ68=AZ68)*(AU65:AU68=AU68)*(AS65:AS68=AS68)*(AW65:AW68&gt;AW68)),"")</f>
        <v/>
      </c>
      <c r="BE68" s="213" t="str">
        <f>IF(AO68&lt;&gt;"",SUMPRODUCT((AZ65:AZ68=AZ68)*(AU65:AU68=AU68)*(AS65:AS68=AS68)*(AW65:AW68=AW68)*(AX65:AX68&gt;AX68)),"")</f>
        <v/>
      </c>
      <c r="BF68" s="213" t="str">
        <f>IF(AO68&lt;&gt;"",SUMPRODUCT((AZ65:AZ68=AZ68)*(AU65:AU68=AU68)*(AS65:AS68=AS68)*(AW65:AW68=AW68)*(AX65:AX68=AX68)*(AY65:AY68&gt;AY68)),"")</f>
        <v/>
      </c>
      <c r="BG68" s="213" t="str">
        <f t="shared" si="98"/>
        <v/>
      </c>
    </row>
    <row r="70" spans="9:59" x14ac:dyDescent="0.15">
      <c r="T70" s="213">
        <f>IF(U71="",SUM(AG31:AL31),IF(U72="",SUM(AG32:AL32),IF(U73="",SUM(AG33:AL33),IF(U74="",SUM(AG34:AL34),0))))</f>
        <v>0</v>
      </c>
      <c r="AN70" s="213">
        <f>IF(AO72="",SUM(BA32:BF32),IF(AO73="",SUM(BA33:BF33),IF(AO74="",SUM(BA34:BF34),0)))</f>
        <v>0</v>
      </c>
    </row>
    <row r="71" spans="9:59" x14ac:dyDescent="0.15">
      <c r="I71" s="213">
        <f>SUMPRODUCT((I31:I34=I31)*(H31:H34=H31)*(F31:F34&gt;F31))+1</f>
        <v>1</v>
      </c>
      <c r="T71" s="213" t="str">
        <f>IF(U31&lt;&gt;"",SUMPRODUCT((AB31:AB34=AB31)*(AA31:AA34=AA31)*(Y31:Y34=Y31)*(Z31:Z34=Z31)),"")</f>
        <v/>
      </c>
      <c r="U71" s="213" t="str">
        <f>IF(AND(T71&lt;&gt;"",T71&gt;1),U31,"")</f>
        <v/>
      </c>
      <c r="V71" s="213">
        <f>SUMPRODUCT((CZ3:CZ42=U71)*(DC3:DC42=U72)*(DD3:DD42="W"))+SUMPRODUCT((CZ3:CZ42=U71)*(DC3:DC42=U73)*(DD3:DD42="W"))+SUMPRODUCT((CZ3:CZ42=U71)*(DC3:DC42=U74)*(DD3:DD42="W"))+SUMPRODUCT((CZ3:CZ42=U71)*(DC3:DC42=U75)*(DD3:DD42="W"))+SUMPRODUCT((CZ3:CZ42=U72)*(DC3:DC42=U71)*(DE3:DE42="W"))+SUMPRODUCT((CZ3:CZ42=U73)*(DC3:DC42=U71)*(DE3:DE42="W"))+SUMPRODUCT((CZ3:CZ42=U74)*(DC3:DC42=U71)*(DE3:DE42="W"))+SUMPRODUCT((CZ3:CZ42=U75)*(DC3:DC42=U71)*(DE3:DE42="W"))</f>
        <v>0</v>
      </c>
      <c r="W71" s="213">
        <f>SUMPRODUCT((CZ3:CZ42=U71)*(DC3:DC42=U72)*(DD3:DD42="D"))+SUMPRODUCT((CZ3:CZ42=U71)*(DC3:DC42=U73)*(DD3:DD42="D"))+SUMPRODUCT((CZ3:CZ42=U71)*(DC3:DC42=U74)*(DD3:DD42="D"))+SUMPRODUCT((CZ3:CZ42=U71)*(DC3:DC42=U75)*(DD3:DD42="D"))+SUMPRODUCT((CZ3:CZ42=U72)*(DC3:DC42=U71)*(DD3:DD42="D"))+SUMPRODUCT((CZ3:CZ42=U73)*(DC3:DC42=U71)*(DD3:DD42="D"))+SUMPRODUCT((CZ3:CZ42=U74)*(DC3:DC42=U71)*(DD3:DD42="D"))+SUMPRODUCT((CZ3:CZ42=U75)*(DC3:DC42=U71)*(DD3:DD42="D"))</f>
        <v>0</v>
      </c>
      <c r="X71" s="213">
        <f>SUMPRODUCT((CZ3:CZ42=U71)*(DC3:DC42=U72)*(DD3:DD42="L"))+SUMPRODUCT((CZ3:CZ42=U71)*(DC3:DC42=U73)*(DD3:DD42="L"))+SUMPRODUCT((CZ3:CZ42=U71)*(DC3:DC42=U74)*(DD3:DD42="L"))+SUMPRODUCT((CZ3:CZ42=U71)*(DC3:DC42=U75)*(DD3:DD42="L"))+SUMPRODUCT((CZ3:CZ42=U72)*(DC3:DC42=U71)*(DE3:DE42="L"))+SUMPRODUCT((CZ3:CZ42=U73)*(DC3:DC42=U71)*(DE3:DE42="L"))+SUMPRODUCT((CZ3:CZ42=U74)*(DC3:DC42=U71)*(DE3:DE42="L"))+SUMPRODUCT((CZ3:CZ42=U75)*(DC3:DC42=U71)*(DE3:DE42="L"))</f>
        <v>0</v>
      </c>
      <c r="Y71" s="213">
        <f>SUMPRODUCT((CZ3:CZ42=U71)*(DC3:DC42=U72)*DA3:DA42)+SUMPRODUCT((CZ3:CZ42=U71)*(DC3:DC42=U73)*DA3:DA42)+SUMPRODUCT((CZ3:CZ42=U71)*(DC3:DC42=U74)*DA3:DA42)+SUMPRODUCT((CZ3:CZ42=U71)*(DC3:DC42=U75)*DA3:DA42)+SUMPRODUCT((CZ3:CZ42=U72)*(DC3:DC42=U71)*DB3:DB42)+SUMPRODUCT((CZ3:CZ42=U73)*(DC3:DC42=U71)*DB3:DB42)+SUMPRODUCT((CZ3:CZ42=U74)*(DC3:DC42=U71)*DB3:DB42)+SUMPRODUCT((CZ3:CZ42=U75)*(DC3:DC42=U71)*DB3:DB42)</f>
        <v>0</v>
      </c>
      <c r="Z71" s="213">
        <f>SUMPRODUCT((CZ3:CZ42=U71)*(DC3:DC42=U72)*DB3:DB42)+SUMPRODUCT((CZ3:CZ42=U71)*(DC3:DC42=U73)*DB3:DB42)+SUMPRODUCT((CZ3:CZ42=U71)*(DC3:DC42=U74)*DB3:DB42)+SUMPRODUCT((CZ3:CZ42=U71)*(DC3:DC42=U75)*DB3:DB42)+SUMPRODUCT((CZ3:CZ42=U72)*(DC3:DC42=U71)*DA3:DA42)+SUMPRODUCT((CZ3:CZ42=U73)*(DC3:DC42=U71)*DA3:DA42)+SUMPRODUCT((CZ3:CZ42=U74)*(DC3:DC42=U71)*DA3:DA42)+SUMPRODUCT((CZ3:CZ42=U75)*(DC3:DC42=U71)*DA3:DA42)</f>
        <v>0</v>
      </c>
      <c r="AA71" s="213">
        <f>Y71-Z71+1000</f>
        <v>1000</v>
      </c>
      <c r="AB71" s="213" t="str">
        <f>IF(U71&lt;&gt;"",V71*3+W71*1,"")</f>
        <v/>
      </c>
      <c r="AC71" s="213" t="str">
        <f>IF(U71&lt;&gt;"",VLOOKUP(U71,B4:H40,7,FALSE),"")</f>
        <v/>
      </c>
      <c r="AD71" s="213" t="str">
        <f>IF(U71&lt;&gt;"",VLOOKUP(U71,B4:H40,5,FALSE),"")</f>
        <v/>
      </c>
      <c r="AE71" s="213" t="str">
        <f>IF(U71&lt;&gt;"",VLOOKUP(U71,B4:J40,9,FALSE),"")</f>
        <v/>
      </c>
      <c r="AF71" s="213" t="str">
        <f>AB71</f>
        <v/>
      </c>
      <c r="AG71" s="213" t="str">
        <f>IF(U71&lt;&gt;"",RANK(AF71,AF71:AF74),"")</f>
        <v/>
      </c>
      <c r="AH71" s="213" t="str">
        <f>IF(U71&lt;&gt;"",SUMPRODUCT((AF71:AF74=AF71)*(AA71:AA74&gt;AA71)),"")</f>
        <v/>
      </c>
      <c r="AI71" s="213" t="str">
        <f>IF(U71&lt;&gt;"",SUMPRODUCT((AF71:AF74=AF71)*(AA71:AA74=AA71)*(Y71:Y74&gt;Y71)),"")</f>
        <v/>
      </c>
      <c r="AJ71" s="213" t="str">
        <f>IF(U71&lt;&gt;"",SUMPRODUCT((AF71:AF74=AF71)*(AA71:AA74=AA71)*(Y71:Y74=Y71)*(AC71:AC74&gt;AC71)),"")</f>
        <v/>
      </c>
      <c r="AK71" s="213" t="str">
        <f>IF(U71&lt;&gt;"",SUMPRODUCT((AF71:AF74=AF71)*(AA71:AA74=AA71)*(Y71:Y74=Y71)*(AC71:AC74=AC71)*(AD71:AD74&gt;AD71)),"")</f>
        <v/>
      </c>
      <c r="AL71" s="213" t="str">
        <f>IF(U71&lt;&gt;"",SUMPRODUCT((AF71:AF74=AF71)*(AA71:AA74=AA71)*(Y71:Y74=Y71)*(AC71:AC74=AC71)*(AD71:AD74=AD71)*(AE71:AE74&gt;AE71)),"")</f>
        <v/>
      </c>
      <c r="AM71" s="213" t="str">
        <f>IF(U71&lt;&gt;"",SUM(AG71:AL71),"")</f>
        <v/>
      </c>
    </row>
    <row r="72" spans="9:59" x14ac:dyDescent="0.15">
      <c r="I72" s="213">
        <f>SUMPRODUCT((I31:I34=I32)*(H31:H34=H32)*(F31:F34&gt;F32))+1</f>
        <v>1</v>
      </c>
      <c r="T72" s="213" t="str">
        <f>IF(U32&lt;&gt;"",SUMPRODUCT((AB31:AB34=AB32)*(AA31:AA34=AA32)*(Y31:Y34=Y32)*(Z31:Z34=Z32)),"")</f>
        <v/>
      </c>
      <c r="U72" s="213" t="str">
        <f t="shared" ref="U72:U74" si="99">IF(AND(T72&lt;&gt;"",T72&gt;1),U32,"")</f>
        <v/>
      </c>
      <c r="V72" s="213">
        <f>SUMPRODUCT((CZ3:CZ42=U72)*(DC3:DC42=U73)*(DD3:DD42="W"))+SUMPRODUCT((CZ3:CZ42=U72)*(DC3:DC42=U74)*(DD3:DD42="W"))+SUMPRODUCT((CZ3:CZ42=U72)*(DC3:DC42=U75)*(DD3:DD42="W"))+SUMPRODUCT((CZ3:CZ42=U72)*(DC3:DC42=U71)*(DD3:DD42="W"))+SUMPRODUCT((CZ3:CZ42=U73)*(DC3:DC42=U72)*(DE3:DE42="W"))+SUMPRODUCT((CZ3:CZ42=U74)*(DC3:DC42=U72)*(DE3:DE42="W"))+SUMPRODUCT((CZ3:CZ42=U75)*(DC3:DC42=U72)*(DE3:DE42="W"))+SUMPRODUCT((CZ3:CZ42=U71)*(DC3:DC42=U72)*(DE3:DE42="W"))</f>
        <v>0</v>
      </c>
      <c r="W72" s="213">
        <f>SUMPRODUCT((CZ3:CZ42=U72)*(DC3:DC42=U73)*(DD3:DD42="D"))+SUMPRODUCT((CZ3:CZ42=U72)*(DC3:DC42=U74)*(DD3:DD42="D"))+SUMPRODUCT((CZ3:CZ42=U72)*(DC3:DC42=U75)*(DD3:DD42="D"))+SUMPRODUCT((CZ3:CZ42=U72)*(DC3:DC42=U71)*(DD3:DD42="D"))+SUMPRODUCT((CZ3:CZ42=U73)*(DC3:DC42=U72)*(DD3:DD42="D"))+SUMPRODUCT((CZ3:CZ42=U74)*(DC3:DC42=U72)*(DD3:DD42="D"))+SUMPRODUCT((CZ3:CZ42=U75)*(DC3:DC42=U72)*(DD3:DD42="D"))+SUMPRODUCT((CZ3:CZ42=U71)*(DC3:DC42=U72)*(DD3:DD42="D"))</f>
        <v>0</v>
      </c>
      <c r="X72" s="213">
        <f>SUMPRODUCT((CZ3:CZ42=U72)*(DC3:DC42=U73)*(DD3:DD42="L"))+SUMPRODUCT((CZ3:CZ42=U72)*(DC3:DC42=U74)*(DD3:DD42="L"))+SUMPRODUCT((CZ3:CZ42=U72)*(DC3:DC42=U75)*(DD3:DD42="L"))+SUMPRODUCT((CZ3:CZ42=U72)*(DC3:DC42=U71)*(DD3:DD42="L"))+SUMPRODUCT((CZ3:CZ42=U73)*(DC3:DC42=U72)*(DE3:DE42="L"))+SUMPRODUCT((CZ3:CZ42=U74)*(DC3:DC42=U72)*(DE3:DE42="L"))+SUMPRODUCT((CZ3:CZ42=U75)*(DC3:DC42=U72)*(DE3:DE42="L"))+SUMPRODUCT((CZ3:CZ42=U71)*(DC3:DC42=U72)*(DE3:DE42="L"))</f>
        <v>0</v>
      </c>
      <c r="Y72" s="213">
        <f>SUMPRODUCT((CZ3:CZ42=U72)*(DC3:DC42=U73)*DA3:DA42)+SUMPRODUCT((CZ3:CZ42=U72)*(DC3:DC42=U74)*DA3:DA42)+SUMPRODUCT((CZ3:CZ42=U72)*(DC3:DC42=U75)*DA3:DA42)+SUMPRODUCT((CZ3:CZ42=U72)*(DC3:DC42=U71)*DA3:DA42)+SUMPRODUCT((CZ3:CZ42=U73)*(DC3:DC42=U72)*DB3:DB42)+SUMPRODUCT((CZ3:CZ42=U74)*(DC3:DC42=U72)*DB3:DB42)+SUMPRODUCT((CZ3:CZ42=U75)*(DC3:DC42=U72)*DB3:DB42)+SUMPRODUCT((CZ3:CZ42=U71)*(DC3:DC42=U72)*DB3:DB42)</f>
        <v>0</v>
      </c>
      <c r="Z72" s="213">
        <f>SUMPRODUCT((CZ3:CZ42=U72)*(DC3:DC42=U73)*DB3:DB42)+SUMPRODUCT((CZ3:CZ42=U72)*(DC3:DC42=U74)*DB3:DB42)+SUMPRODUCT((CZ3:CZ42=U72)*(DC3:DC42=U75)*DB3:DB42)+SUMPRODUCT((CZ3:CZ42=U72)*(DC3:DC42=U71)*DB3:DB42)+SUMPRODUCT((CZ3:CZ42=U73)*(DC3:DC42=U72)*DA3:DA42)+SUMPRODUCT((CZ3:CZ42=U74)*(DC3:DC42=U72)*DA3:DA42)+SUMPRODUCT((CZ3:CZ42=U75)*(DC3:DC42=U72)*DA3:DA42)+SUMPRODUCT((CZ3:CZ42=U71)*(DC3:DC42=U72)*DA3:DA42)</f>
        <v>0</v>
      </c>
      <c r="AA72" s="213">
        <f>Y72-Z72+1000</f>
        <v>1000</v>
      </c>
      <c r="AB72" s="213" t="str">
        <f t="shared" ref="AB72:AB74" si="100">IF(U72&lt;&gt;"",V72*3+W72*1,"")</f>
        <v/>
      </c>
      <c r="AC72" s="213" t="str">
        <f>IF(U72&lt;&gt;"",VLOOKUP(U72,B4:H40,7,FALSE),"")</f>
        <v/>
      </c>
      <c r="AD72" s="213" t="str">
        <f>IF(U72&lt;&gt;"",VLOOKUP(U72,B4:H40,5,FALSE),"")</f>
        <v/>
      </c>
      <c r="AE72" s="213" t="str">
        <f>IF(U72&lt;&gt;"",VLOOKUP(U72,B4:J40,9,FALSE),"")</f>
        <v/>
      </c>
      <c r="AF72" s="213" t="str">
        <f t="shared" ref="AF72:AF74" si="101">AB72</f>
        <v/>
      </c>
      <c r="AG72" s="213" t="str">
        <f>IF(U72&lt;&gt;"",RANK(AF72,AF71:AF74),"")</f>
        <v/>
      </c>
      <c r="AH72" s="213" t="str">
        <f>IF(U72&lt;&gt;"",SUMPRODUCT((AF71:AF74=AF72)*(AA71:AA74&gt;AA72)),"")</f>
        <v/>
      </c>
      <c r="AI72" s="213" t="str">
        <f>IF(U72&lt;&gt;"",SUMPRODUCT((AF71:AF74=AF72)*(AA71:AA74=AA72)*(Y71:Y74&gt;Y72)),"")</f>
        <v/>
      </c>
      <c r="AJ72" s="213" t="str">
        <f>IF(U72&lt;&gt;"",SUMPRODUCT((AF71:AF74=AF72)*(AA71:AA74=AA72)*(Y71:Y74=Y72)*(AC71:AC74&gt;AC72)),"")</f>
        <v/>
      </c>
      <c r="AK72" s="213" t="str">
        <f>IF(U72&lt;&gt;"",SUMPRODUCT((AF71:AF74=AF72)*(AA71:AA74=AA72)*(Y71:Y74=Y72)*(AC71:AC74=AC72)*(AD71:AD74&gt;AD72)),"")</f>
        <v/>
      </c>
      <c r="AL72" s="213" t="str">
        <f>IF(U72&lt;&gt;"",SUMPRODUCT((AF71:AF74=AF72)*(AA71:AA74=AA72)*(Y71:Y74=Y72)*(AC71:AC74=AC72)*(AD71:AD74=AD72)*(AE71:AE74&gt;AE72)),"")</f>
        <v/>
      </c>
      <c r="AM72" s="213" t="str">
        <f>IF(U72&lt;&gt;"",SUM(AG72:AL72),"")</f>
        <v/>
      </c>
      <c r="AN72" s="213" t="str">
        <f>IF(AO32&lt;&gt;"",SUMPRODUCT((AV31:AV34=AV32)*(AU31:AU34=AU32)*(AS31:AS34=AS32)*(AT31:AT34=AT32)),"")</f>
        <v/>
      </c>
      <c r="AO72" s="213" t="str">
        <f t="shared" ref="AO72:AO74" si="102">IF(AND(AN72&lt;&gt;"",AN72&gt;1),AO32,"")</f>
        <v/>
      </c>
      <c r="AP72" s="213">
        <f>SUMPRODUCT((CZ3:CZ42=AO72)*(DC3:DC42=AO73)*(DD3:DD42="W"))+SUMPRODUCT((CZ3:CZ42=AO72)*(DC3:DC42=AO74)*(DD3:DD42="W"))+SUMPRODUCT((CZ3:CZ42=AO72)*(DC3:DC42=AO75)*(DD3:DD42="W"))+SUMPRODUCT((CZ3:CZ42=AO73)*(DC3:DC42=AO72)*(DE3:DE42="W"))+SUMPRODUCT((CZ3:CZ42=AO74)*(DC3:DC42=AO72)*(DE3:DE42="W"))+SUMPRODUCT((CZ3:CZ42=AO75)*(DC3:DC42=AO72)*(DE3:DE42="W"))</f>
        <v>0</v>
      </c>
      <c r="AQ72" s="213">
        <f>SUMPRODUCT((CZ3:CZ42=AO72)*(DC3:DC42=AO73)*(DD3:DD42="D"))+SUMPRODUCT((CZ3:CZ42=AO72)*(DC3:DC42=AO74)*(DD3:DD42="D"))+SUMPRODUCT((CZ3:CZ42=AO72)*(DC3:DC42=AO75)*(DD3:DD42="D"))+SUMPRODUCT((CZ3:CZ42=AO73)*(DC3:DC42=AO72)*(DD3:DD42="D"))+SUMPRODUCT((CZ3:CZ42=AO74)*(DC3:DC42=AO72)*(DD3:DD42="D"))+SUMPRODUCT((CZ3:CZ42=AO75)*(DC3:DC42=AO72)*(DD3:DD42="D"))</f>
        <v>0</v>
      </c>
      <c r="AR72" s="213">
        <f>SUMPRODUCT((CZ3:CZ42=AO72)*(DC3:DC42=AO73)*(DD3:DD42="L"))+SUMPRODUCT((CZ3:CZ42=AO72)*(DC3:DC42=AO74)*(DD3:DD42="L"))+SUMPRODUCT((CZ3:CZ42=AO72)*(DC3:DC42=AO75)*(DD3:DD42="L"))+SUMPRODUCT((CZ3:CZ42=AO73)*(DC3:DC42=AO72)*(DE3:DE42="L"))+SUMPRODUCT((CZ3:CZ42=AO74)*(DC3:DC42=AO72)*(DE3:DE42="L"))+SUMPRODUCT((CZ3:CZ42=AO75)*(DC3:DC42=AO72)*(DE3:DE42="L"))</f>
        <v>0</v>
      </c>
      <c r="AS72" s="213">
        <f>SUMPRODUCT((CZ3:CZ42=AO72)*(DC3:DC42=AO73)*DA3:DA42)+SUMPRODUCT((CZ3:CZ42=AO72)*(DC3:DC42=AO74)*DA3:DA42)+SUMPRODUCT((CZ3:CZ42=AO72)*(DC3:DC42=AO75)*DA3:DA42)+SUMPRODUCT((CZ3:CZ42=AO72)*(DC3:DC42=AO71)*DA3:DA42)+SUMPRODUCT((CZ3:CZ42=AO73)*(DC3:DC42=AO72)*DB3:DB42)+SUMPRODUCT((CZ3:CZ42=AO74)*(DC3:DC42=AO72)*DB3:DB42)+SUMPRODUCT((CZ3:CZ42=AO75)*(DC3:DC42=AO72)*DB3:DB42)+SUMPRODUCT((CZ3:CZ42=AO71)*(DC3:DC42=AO72)*DB3:DB42)</f>
        <v>0</v>
      </c>
      <c r="AT72" s="213">
        <f>SUMPRODUCT((CZ3:CZ42=AO72)*(DC3:DC42=AO73)*DB3:DB42)+SUMPRODUCT((CZ3:CZ42=AO72)*(DC3:DC42=AO74)*DB3:DB42)+SUMPRODUCT((CZ3:CZ42=AO72)*(DC3:DC42=AO75)*DB3:DB42)+SUMPRODUCT((CZ3:CZ42=AO72)*(DC3:DC42=AO71)*DB3:DB42)+SUMPRODUCT((CZ3:CZ42=AO73)*(DC3:DC42=AO72)*DA3:DA42)+SUMPRODUCT((CZ3:CZ42=AO74)*(DC3:DC42=AO72)*DA3:DA42)+SUMPRODUCT((CZ3:CZ42=AO75)*(DC3:DC42=AO72)*DA3:DA42)+SUMPRODUCT((CZ3:CZ42=AO71)*(DC3:DC42=AO72)*DA3:DA42)</f>
        <v>0</v>
      </c>
      <c r="AU72" s="213">
        <f>AS72-AT72+1000</f>
        <v>1000</v>
      </c>
      <c r="AV72" s="213" t="str">
        <f t="shared" ref="AV72:AV74" si="103">IF(AO72&lt;&gt;"",AP72*3+AQ72*1,"")</f>
        <v/>
      </c>
      <c r="AW72" s="213" t="str">
        <f>IF(AO72&lt;&gt;"",VLOOKUP(AO72,B4:H40,7,FALSE),"")</f>
        <v/>
      </c>
      <c r="AX72" s="213" t="str">
        <f>IF(AO72&lt;&gt;"",VLOOKUP(AO72,B4:H40,5,FALSE),"")</f>
        <v/>
      </c>
      <c r="AY72" s="213" t="str">
        <f>IF(AO72&lt;&gt;"",VLOOKUP(AO72,B4:J40,9,FALSE),"")</f>
        <v/>
      </c>
      <c r="AZ72" s="213" t="str">
        <f t="shared" ref="AZ72:AZ74" si="104">AV72</f>
        <v/>
      </c>
      <c r="BA72" s="213" t="str">
        <f>IF(AO72&lt;&gt;"",RANK(AZ72,AZ71:AZ74),"")</f>
        <v/>
      </c>
      <c r="BB72" s="213" t="str">
        <f>IF(AO72&lt;&gt;"",SUMPRODUCT((AZ71:AZ74=AZ72)*(AU71:AU74&gt;AU72)),"")</f>
        <v/>
      </c>
      <c r="BC72" s="213" t="str">
        <f>IF(AO72&lt;&gt;"",SUMPRODUCT((AZ71:AZ74=AZ72)*(AU71:AU74=AU72)*(AS71:AS74&gt;AS72)),"")</f>
        <v/>
      </c>
      <c r="BD72" s="213" t="str">
        <f>IF(AO72&lt;&gt;"",SUMPRODUCT((AZ71:AZ74=AZ72)*(AU71:AU74=AU72)*(AS71:AS74=AS72)*(AW71:AW74&gt;AW72)),"")</f>
        <v/>
      </c>
      <c r="BE72" s="213" t="str">
        <f>IF(AO72&lt;&gt;"",SUMPRODUCT((AZ71:AZ74=AZ72)*(AU71:AU74=AU72)*(AS71:AS74=AS72)*(AW71:AW74=AW72)*(AX71:AX74&gt;AX72)),"")</f>
        <v/>
      </c>
      <c r="BF72" s="213" t="str">
        <f>IF(AO72&lt;&gt;"",SUMPRODUCT((AZ71:AZ74=AZ72)*(AU71:AU74=AU72)*(AS71:AS74=AS72)*(AW71:AW74=AW72)*(AX71:AX74=AX72)*(AY71:AY74&gt;AY72)),"")</f>
        <v/>
      </c>
      <c r="BG72" s="213" t="str">
        <f>IF(AO72&lt;&gt;"",SUM(BA72:BF72)+1,"")</f>
        <v/>
      </c>
    </row>
    <row r="73" spans="9:59" x14ac:dyDescent="0.15">
      <c r="I73" s="213">
        <f>SUMPRODUCT((I31:I34=I33)*(H31:H34=H33)*(F31:F34&gt;F33))+1</f>
        <v>1</v>
      </c>
      <c r="T73" s="213" t="str">
        <f>IF(U33&lt;&gt;"",SUMPRODUCT((AB31:AB34=AB33)*(AA31:AA34=AA33)*(Y31:Y34=Y33)*(Z31:Z34=Z33)),"")</f>
        <v/>
      </c>
      <c r="U73" s="213" t="str">
        <f t="shared" si="99"/>
        <v/>
      </c>
      <c r="V73" s="213">
        <f>SUMPRODUCT((CZ3:CZ42=U73)*(DC3:DC42=U74)*(DD3:DD42="W"))+SUMPRODUCT((CZ3:CZ42=U73)*(DC3:DC42=U75)*(DD3:DD42="W"))+SUMPRODUCT((CZ3:CZ42=U73)*(DC3:DC42=U71)*(DD3:DD42="W"))+SUMPRODUCT((CZ3:CZ42=U73)*(DC3:DC42=U72)*(DD3:DD42="W"))+SUMPRODUCT((CZ3:CZ42=U74)*(DC3:DC42=U73)*(DE3:DE42="W"))+SUMPRODUCT((CZ3:CZ42=U75)*(DC3:DC42=U73)*(DE3:DE42="W"))+SUMPRODUCT((CZ3:CZ42=U71)*(DC3:DC42=U73)*(DE3:DE42="W"))+SUMPRODUCT((CZ3:CZ42=U72)*(DC3:DC42=U73)*(DE3:DE42="W"))</f>
        <v>0</v>
      </c>
      <c r="W73" s="213">
        <f>SUMPRODUCT((CZ3:CZ42=U73)*(DC3:DC42=U74)*(DD3:DD42="D"))+SUMPRODUCT((CZ3:CZ42=U73)*(DC3:DC42=U75)*(DD3:DD42="D"))+SUMPRODUCT((CZ3:CZ42=U73)*(DC3:DC42=U71)*(DD3:DD42="D"))+SUMPRODUCT((CZ3:CZ42=U73)*(DC3:DC42=U72)*(DD3:DD42="D"))+SUMPRODUCT((CZ3:CZ42=U74)*(DC3:DC42=U73)*(DD3:DD42="D"))+SUMPRODUCT((CZ3:CZ42=U75)*(DC3:DC42=U73)*(DD3:DD42="D"))+SUMPRODUCT((CZ3:CZ42=U71)*(DC3:DC42=U73)*(DD3:DD42="D"))+SUMPRODUCT((CZ3:CZ42=U72)*(DC3:DC42=U73)*(DD3:DD42="D"))</f>
        <v>0</v>
      </c>
      <c r="X73" s="213">
        <f>SUMPRODUCT((CZ3:CZ42=U73)*(DC3:DC42=U74)*(DD3:DD42="L"))+SUMPRODUCT((CZ3:CZ42=U73)*(DC3:DC42=U75)*(DD3:DD42="L"))+SUMPRODUCT((CZ3:CZ42=U73)*(DC3:DC42=U71)*(DD3:DD42="L"))+SUMPRODUCT((CZ3:CZ42=U73)*(DC3:DC42=U72)*(DD3:DD42="L"))+SUMPRODUCT((CZ3:CZ42=U74)*(DC3:DC42=U73)*(DE3:DE42="L"))+SUMPRODUCT((CZ3:CZ42=U75)*(DC3:DC42=U73)*(DE3:DE42="L"))+SUMPRODUCT((CZ3:CZ42=U71)*(DC3:DC42=U73)*(DE3:DE42="L"))+SUMPRODUCT((CZ3:CZ42=U72)*(DC3:DC42=U73)*(DE3:DE42="L"))</f>
        <v>0</v>
      </c>
      <c r="Y73" s="213">
        <f>SUMPRODUCT((CZ3:CZ42=U73)*(DC3:DC42=U74)*DA3:DA42)+SUMPRODUCT((CZ3:CZ42=U73)*(DC3:DC42=U75)*DA3:DA42)+SUMPRODUCT((CZ3:CZ42=U73)*(DC3:DC42=U71)*DA3:DA42)+SUMPRODUCT((CZ3:CZ42=U73)*(DC3:DC42=U72)*DA3:DA42)+SUMPRODUCT((CZ3:CZ42=U74)*(DC3:DC42=U73)*DB3:DB42)+SUMPRODUCT((CZ3:CZ42=U75)*(DC3:DC42=U73)*DB3:DB42)+SUMPRODUCT((CZ3:CZ42=U71)*(DC3:DC42=U73)*DB3:DB42)+SUMPRODUCT((CZ3:CZ42=U72)*(DC3:DC42=U73)*DB3:DB42)</f>
        <v>0</v>
      </c>
      <c r="Z73" s="213">
        <f>SUMPRODUCT((CZ3:CZ42=U73)*(DC3:DC42=U74)*DB3:DB42)+SUMPRODUCT((CZ3:CZ42=U73)*(DC3:DC42=U75)*DB3:DB42)+SUMPRODUCT((CZ3:CZ42=U73)*(DC3:DC42=U71)*DB3:DB42)+SUMPRODUCT((CZ3:CZ42=U73)*(DC3:DC42=U72)*DB3:DB42)+SUMPRODUCT((CZ3:CZ42=U74)*(DC3:DC42=U73)*DA3:DA42)+SUMPRODUCT((CZ3:CZ42=U75)*(DC3:DC42=U73)*DA3:DA42)+SUMPRODUCT((CZ3:CZ42=U71)*(DC3:DC42=U73)*DA3:DA42)+SUMPRODUCT((CZ3:CZ42=U72)*(DC3:DC42=U73)*DA3:DA42)</f>
        <v>0</v>
      </c>
      <c r="AA73" s="213">
        <f>Y73-Z73+1000</f>
        <v>1000</v>
      </c>
      <c r="AB73" s="213" t="str">
        <f t="shared" si="100"/>
        <v/>
      </c>
      <c r="AC73" s="213" t="str">
        <f>IF(U73&lt;&gt;"",VLOOKUP(U73,B4:H40,7,FALSE),"")</f>
        <v/>
      </c>
      <c r="AD73" s="213" t="str">
        <f>IF(U73&lt;&gt;"",VLOOKUP(U73,B4:H40,5,FALSE),"")</f>
        <v/>
      </c>
      <c r="AE73" s="213" t="str">
        <f>IF(U73&lt;&gt;"",VLOOKUP(U73,B4:J40,9,FALSE),"")</f>
        <v/>
      </c>
      <c r="AF73" s="213" t="str">
        <f t="shared" si="101"/>
        <v/>
      </c>
      <c r="AG73" s="213" t="str">
        <f>IF(U73&lt;&gt;"",RANK(AF73,AF71:AF74),"")</f>
        <v/>
      </c>
      <c r="AH73" s="213" t="str">
        <f>IF(U73&lt;&gt;"",SUMPRODUCT((AF71:AF74=AF73)*(AA71:AA74&gt;AA73)),"")</f>
        <v/>
      </c>
      <c r="AI73" s="213" t="str">
        <f>IF(U73&lt;&gt;"",SUMPRODUCT((AF71:AF74=AF73)*(AA71:AA74=AA73)*(Y71:Y74&gt;Y73)),"")</f>
        <v/>
      </c>
      <c r="AJ73" s="213" t="str">
        <f>IF(U73&lt;&gt;"",SUMPRODUCT((AF71:AF74=AF73)*(AA71:AA74=AA73)*(Y71:Y74=Y73)*(AC71:AC74&gt;AC73)),"")</f>
        <v/>
      </c>
      <c r="AK73" s="213" t="str">
        <f>IF(U73&lt;&gt;"",SUMPRODUCT((AF71:AF74=AF73)*(AA71:AA74=AA73)*(Y71:Y74=Y73)*(AC71:AC74=AC73)*(AD71:AD74&gt;AD73)),"")</f>
        <v/>
      </c>
      <c r="AL73" s="213" t="str">
        <f>IF(U73&lt;&gt;"",SUMPRODUCT((AF71:AF74=AF73)*(AA71:AA74=AA73)*(Y71:Y74=Y73)*(AC71:AC74=AC73)*(AD71:AD74=AD73)*(AE71:AE74&gt;AE73)),"")</f>
        <v/>
      </c>
      <c r="AM73" s="213" t="str">
        <f>IF(U73&lt;&gt;"",SUM(AG73:AL73),"")</f>
        <v/>
      </c>
      <c r="AN73" s="213" t="str">
        <f>IF(AO33&lt;&gt;"",SUMPRODUCT((AV31:AV34=AV33)*(AU31:AU34=AU33)*(AS31:AS34=AS33)*(AT31:AT34=AT33)),"")</f>
        <v/>
      </c>
      <c r="AO73" s="213" t="str">
        <f t="shared" si="102"/>
        <v/>
      </c>
      <c r="AP73" s="213">
        <f>SUMPRODUCT((CZ3:CZ42=AO73)*(DC3:DC42=AO74)*(DD3:DD42="W"))+SUMPRODUCT((CZ3:CZ42=AO73)*(DC3:DC42=AO75)*(DD3:DD42="W"))+SUMPRODUCT((CZ3:CZ42=AO73)*(DC3:DC42=AO72)*(DD3:DD42="W"))+SUMPRODUCT((CZ3:CZ42=AO74)*(DC3:DC42=AO73)*(DE3:DE42="W"))+SUMPRODUCT((CZ3:CZ42=AO75)*(DC3:DC42=AO73)*(DE3:DE42="W"))+SUMPRODUCT((CZ3:CZ42=AO72)*(DC3:DC42=AO73)*(DE3:DE42="W"))</f>
        <v>0</v>
      </c>
      <c r="AQ73" s="213">
        <f>SUMPRODUCT((CZ3:CZ42=AO73)*(DC3:DC42=AO74)*(DD3:DD42="D"))+SUMPRODUCT((CZ3:CZ42=AO73)*(DC3:DC42=AO75)*(DD3:DD42="D"))+SUMPRODUCT((CZ3:CZ42=AO73)*(DC3:DC42=AO72)*(DD3:DD42="D"))+SUMPRODUCT((CZ3:CZ42=AO74)*(DC3:DC42=AO73)*(DD3:DD42="D"))+SUMPRODUCT((CZ3:CZ42=AO75)*(DC3:DC42=AO73)*(DD3:DD42="D"))+SUMPRODUCT((CZ3:CZ42=AO72)*(DC3:DC42=AO73)*(DD3:DD42="D"))</f>
        <v>0</v>
      </c>
      <c r="AR73" s="213">
        <f>SUMPRODUCT((CZ3:CZ42=AO73)*(DC3:DC42=AO74)*(DD3:DD42="L"))+SUMPRODUCT((CZ3:CZ42=AO73)*(DC3:DC42=AO75)*(DD3:DD42="L"))+SUMPRODUCT((CZ3:CZ42=AO73)*(DC3:DC42=AO72)*(DD3:DD42="L"))+SUMPRODUCT((CZ3:CZ42=AO74)*(DC3:DC42=AO73)*(DE3:DE42="L"))+SUMPRODUCT((CZ3:CZ42=AO75)*(DC3:DC42=AO73)*(DE3:DE42="L"))+SUMPRODUCT((CZ3:CZ42=AO72)*(DC3:DC42=AO73)*(DE3:DE42="L"))</f>
        <v>0</v>
      </c>
      <c r="AS73" s="213">
        <f>SUMPRODUCT((CZ3:CZ42=AO73)*(DC3:DC42=AO74)*DA3:DA42)+SUMPRODUCT((CZ3:CZ42=AO73)*(DC3:DC42=AO75)*DA3:DA42)+SUMPRODUCT((CZ3:CZ42=AO73)*(DC3:DC42=AO71)*DA3:DA42)+SUMPRODUCT((CZ3:CZ42=AO73)*(DC3:DC42=AO72)*DA3:DA42)+SUMPRODUCT((CZ3:CZ42=AO74)*(DC3:DC42=AO73)*DB3:DB42)+SUMPRODUCT((CZ3:CZ42=AO75)*(DC3:DC42=AO73)*DB3:DB42)+SUMPRODUCT((CZ3:CZ42=AO71)*(DC3:DC42=AO73)*DB3:DB42)+SUMPRODUCT((CZ3:CZ42=AO72)*(DC3:DC42=AO73)*DB3:DB42)</f>
        <v>0</v>
      </c>
      <c r="AT73" s="213">
        <f>SUMPRODUCT((CZ3:CZ42=AO73)*(DC3:DC42=AO74)*DB3:DB42)+SUMPRODUCT((CZ3:CZ42=AO73)*(DC3:DC42=AO75)*DB3:DB42)+SUMPRODUCT((CZ3:CZ42=AO73)*(DC3:DC42=AO71)*DB3:DB42)+SUMPRODUCT((CZ3:CZ42=AO73)*(DC3:DC42=AO72)*DB3:DB42)+SUMPRODUCT((CZ3:CZ42=AO74)*(DC3:DC42=AO73)*DA3:DA42)+SUMPRODUCT((CZ3:CZ42=AO75)*(DC3:DC42=AO73)*DA3:DA42)+SUMPRODUCT((CZ3:CZ42=AO71)*(DC3:DC42=AO73)*DA3:DA42)+SUMPRODUCT((CZ3:CZ42=AO72)*(DC3:DC42=AO73)*DA3:DA42)</f>
        <v>0</v>
      </c>
      <c r="AU73" s="213">
        <f>AS73-AT73+1000</f>
        <v>1000</v>
      </c>
      <c r="AV73" s="213" t="str">
        <f t="shared" si="103"/>
        <v/>
      </c>
      <c r="AW73" s="213" t="str">
        <f>IF(AO73&lt;&gt;"",VLOOKUP(AO73,B4:H40,7,FALSE),"")</f>
        <v/>
      </c>
      <c r="AX73" s="213" t="str">
        <f>IF(AO73&lt;&gt;"",VLOOKUP(AO73,B4:H40,5,FALSE),"")</f>
        <v/>
      </c>
      <c r="AY73" s="213" t="str">
        <f>IF(AO73&lt;&gt;"",VLOOKUP(AO73,B4:J40,9,FALSE),"")</f>
        <v/>
      </c>
      <c r="AZ73" s="213" t="str">
        <f t="shared" si="104"/>
        <v/>
      </c>
      <c r="BA73" s="213" t="str">
        <f>IF(AO73&lt;&gt;"",RANK(AZ73,AZ71:AZ74),"")</f>
        <v/>
      </c>
      <c r="BB73" s="213" t="str">
        <f>IF(AO73&lt;&gt;"",SUMPRODUCT((AZ71:AZ74=AZ73)*(AU71:AU74&gt;AU73)),"")</f>
        <v/>
      </c>
      <c r="BC73" s="213" t="str">
        <f>IF(AO73&lt;&gt;"",SUMPRODUCT((AZ71:AZ74=AZ73)*(AU71:AU74=AU73)*(AS71:AS74&gt;AS73)),"")</f>
        <v/>
      </c>
      <c r="BD73" s="213" t="str">
        <f>IF(AO73&lt;&gt;"",SUMPRODUCT((AZ71:AZ74=AZ73)*(AU71:AU74=AU73)*(AS71:AS74=AS73)*(AW71:AW74&gt;AW73)),"")</f>
        <v/>
      </c>
      <c r="BE73" s="213" t="str">
        <f>IF(AO73&lt;&gt;"",SUMPRODUCT((AZ71:AZ74=AZ73)*(AU71:AU74=AU73)*(AS71:AS74=AS73)*(AW71:AW74=AW73)*(AX71:AX74&gt;AX73)),"")</f>
        <v/>
      </c>
      <c r="BF73" s="213" t="str">
        <f>IF(AO73&lt;&gt;"",SUMPRODUCT((AZ71:AZ74=AZ73)*(AU71:AU74=AU73)*(AS71:AS74=AS73)*(AW71:AW74=AW73)*(AX71:AX74=AX73)*(AY71:AY74&gt;AY73)),"")</f>
        <v/>
      </c>
      <c r="BG73" s="213" t="str">
        <f t="shared" ref="BG73:BG74" si="105">IF(AO73&lt;&gt;"",SUM(BA73:BF73)+1,"")</f>
        <v/>
      </c>
    </row>
    <row r="74" spans="9:59" x14ac:dyDescent="0.15">
      <c r="I74" s="213">
        <f>SUMPRODUCT((I31:I34=I34)*(H31:H34=H34)*(F31:F34&gt;F34))+1</f>
        <v>1</v>
      </c>
      <c r="T74" s="213" t="str">
        <f>IF(U34&lt;&gt;"",SUMPRODUCT((AB31:AB34=AB34)*(AA31:AA34=AA34)*(Y31:Y34=Y34)*(Z31:Z34=Z34)),"")</f>
        <v/>
      </c>
      <c r="U74" s="213" t="str">
        <f t="shared" si="99"/>
        <v/>
      </c>
      <c r="V74" s="213">
        <f>SUMPRODUCT((CZ3:CZ42=U74)*(DC3:DC42=U75)*(DD3:DD42="W"))+SUMPRODUCT((CZ3:CZ42=U74)*(DC3:DC42=U71)*(DD3:DD42="W"))+SUMPRODUCT((CZ3:CZ42=U74)*(DC3:DC42=U72)*(DD3:DD42="W"))+SUMPRODUCT((CZ3:CZ42=U74)*(DC3:DC42=U73)*(DD3:DD42="W"))+SUMPRODUCT((CZ3:CZ42=U75)*(DC3:DC42=U74)*(DE3:DE42="W"))+SUMPRODUCT((CZ3:CZ42=U71)*(DC3:DC42=U74)*(DE3:DE42="W"))+SUMPRODUCT((CZ3:CZ42=U72)*(DC3:DC42=U74)*(DE3:DE42="W"))+SUMPRODUCT((CZ3:CZ42=U73)*(DC3:DC42=U74)*(DE3:DE42="W"))</f>
        <v>0</v>
      </c>
      <c r="W74" s="213">
        <f>SUMPRODUCT((CZ3:CZ42=U74)*(DC3:DC42=U75)*(DD3:DD42="D"))+SUMPRODUCT((CZ3:CZ42=U74)*(DC3:DC42=U71)*(DD3:DD42="D"))+SUMPRODUCT((CZ3:CZ42=U74)*(DC3:DC42=U72)*(DD3:DD42="D"))+SUMPRODUCT((CZ3:CZ42=U74)*(DC3:DC42=U73)*(DD3:DD42="D"))+SUMPRODUCT((CZ3:CZ42=U75)*(DC3:DC42=U74)*(DD3:DD42="D"))+SUMPRODUCT((CZ3:CZ42=U71)*(DC3:DC42=U74)*(DD3:DD42="D"))+SUMPRODUCT((CZ3:CZ42=U72)*(DC3:DC42=U74)*(DD3:DD42="D"))+SUMPRODUCT((CZ3:CZ42=U73)*(DC3:DC42=U74)*(DD3:DD42="D"))</f>
        <v>0</v>
      </c>
      <c r="X74" s="213">
        <f>SUMPRODUCT((CZ3:CZ42=U74)*(DC3:DC42=U75)*(DD3:DD42="L"))+SUMPRODUCT((CZ3:CZ42=U74)*(DC3:DC42=U71)*(DD3:DD42="L"))+SUMPRODUCT((CZ3:CZ42=U74)*(DC3:DC42=U72)*(DD3:DD42="L"))+SUMPRODUCT((CZ3:CZ42=U74)*(DC3:DC42=U73)*(DD3:DD42="L"))+SUMPRODUCT((CZ3:CZ42=U75)*(DC3:DC42=U74)*(DE3:DE42="L"))+SUMPRODUCT((CZ3:CZ42=U71)*(DC3:DC42=U74)*(DE3:DE42="L"))+SUMPRODUCT((CZ3:CZ42=U72)*(DC3:DC42=U74)*(DE3:DE42="L"))+SUMPRODUCT((CZ3:CZ42=U73)*(DC3:DC42=U74)*(DE3:DE42="L"))</f>
        <v>0</v>
      </c>
      <c r="Y74" s="213">
        <f>SUMPRODUCT((CZ3:CZ42=U74)*(DC3:DC42=U75)*DA3:DA42)+SUMPRODUCT((CZ3:CZ42=U74)*(DC3:DC42=U71)*DA3:DA42)+SUMPRODUCT((CZ3:CZ42=U74)*(DC3:DC42=U72)*DA3:DA42)+SUMPRODUCT((CZ3:CZ42=U74)*(DC3:DC42=U73)*DA3:DA42)+SUMPRODUCT((CZ3:CZ42=U75)*(DC3:DC42=U74)*DB3:DB42)+SUMPRODUCT((CZ3:CZ42=U71)*(DC3:DC42=U74)*DB3:DB42)+SUMPRODUCT((CZ3:CZ42=U72)*(DC3:DC42=U74)*DB3:DB42)+SUMPRODUCT((CZ3:CZ42=U73)*(DC3:DC42=U74)*DB3:DB42)</f>
        <v>0</v>
      </c>
      <c r="Z74" s="213">
        <f>SUMPRODUCT((CZ3:CZ42=U74)*(DC3:DC42=U75)*DB3:DB42)+SUMPRODUCT((CZ3:CZ42=U74)*(DC3:DC42=U71)*DB3:DB42)+SUMPRODUCT((CZ3:CZ42=U74)*(DC3:DC42=U72)*DB3:DB42)+SUMPRODUCT((CZ3:CZ42=U74)*(DC3:DC42=U73)*DB3:DB42)+SUMPRODUCT((CZ3:CZ42=U75)*(DC3:DC42=U74)*DA3:DA42)+SUMPRODUCT((CZ3:CZ42=U71)*(DC3:DC42=U74)*DA3:DA42)+SUMPRODUCT((CZ3:CZ42=U72)*(DC3:DC42=U74)*DA3:DA42)+SUMPRODUCT((CZ3:CZ42=U73)*(DC3:DC42=U74)*DA3:DA42)</f>
        <v>0</v>
      </c>
      <c r="AA74" s="213">
        <f>Y74-Z74+1000</f>
        <v>1000</v>
      </c>
      <c r="AB74" s="213" t="str">
        <f t="shared" si="100"/>
        <v/>
      </c>
      <c r="AC74" s="213" t="str">
        <f>IF(U74&lt;&gt;"",VLOOKUP(U74,B4:H40,7,FALSE),"")</f>
        <v/>
      </c>
      <c r="AD74" s="213" t="str">
        <f>IF(U74&lt;&gt;"",VLOOKUP(U74,B4:H40,5,FALSE),"")</f>
        <v/>
      </c>
      <c r="AE74" s="213" t="str">
        <f>IF(U74&lt;&gt;"",VLOOKUP(U74,B4:J40,9,FALSE),"")</f>
        <v/>
      </c>
      <c r="AF74" s="213" t="str">
        <f t="shared" si="101"/>
        <v/>
      </c>
      <c r="AG74" s="213" t="str">
        <f>IF(U74&lt;&gt;"",RANK(AF74,AF71:AF74),"")</f>
        <v/>
      </c>
      <c r="AH74" s="213" t="str">
        <f>IF(U74&lt;&gt;"",SUMPRODUCT((AF71:AF74=AF74)*(AA71:AA74&gt;AA74)),"")</f>
        <v/>
      </c>
      <c r="AI74" s="213" t="str">
        <f>IF(U74&lt;&gt;"",SUMPRODUCT((AF71:AF74=AF74)*(AA71:AA74=AA74)*(Y71:Y74&gt;Y74)),"")</f>
        <v/>
      </c>
      <c r="AJ74" s="213" t="str">
        <f>IF(U74&lt;&gt;"",SUMPRODUCT((AF71:AF74=AF74)*(AA71:AA74=AA74)*(Y71:Y74=Y74)*(AC71:AC74&gt;AC74)),"")</f>
        <v/>
      </c>
      <c r="AK74" s="213" t="str">
        <f>IF(U74&lt;&gt;"",SUMPRODUCT((AF71:AF74=AF74)*(AA71:AA74=AA74)*(Y71:Y74=Y74)*(AC71:AC74=AC74)*(AD71:AD74&gt;AD74)),"")</f>
        <v/>
      </c>
      <c r="AL74" s="213" t="str">
        <f>IF(U74&lt;&gt;"",SUMPRODUCT((AF71:AF74=AF74)*(AA71:AA74=AA74)*(Y71:Y74=Y74)*(AC71:AC74=AC74)*(AD71:AD74=AD74)*(AE71:AE74&gt;AE74)),"")</f>
        <v/>
      </c>
      <c r="AM74" s="213" t="str">
        <f>IF(U74&lt;&gt;"",SUM(AG74:AL74),"")</f>
        <v/>
      </c>
      <c r="AN74" s="213" t="str">
        <f>IF(AO34&lt;&gt;"",SUMPRODUCT((AV31:AV34=AV34)*(AU31:AU34=AU34)*(AS31:AS34=AS34)*(AT31:AT34=AT34)),"")</f>
        <v/>
      </c>
      <c r="AO74" s="213" t="str">
        <f t="shared" si="102"/>
        <v/>
      </c>
      <c r="AP74" s="213" t="str">
        <f>IF(AO74&lt;&gt;"",SUMPRODUCT((CZ3:CZ42=AO74)*(DC3:DC42=AO75)*(DD3:DD42="W"))+SUMPRODUCT((CZ3:CZ42=AO74)*(DC3:DC42=AO72)*(DD3:DD42="W"))+SUMPRODUCT((CZ3:CZ42=AO74)*(DC3:DC42=AO73)*(DD3:DD42="W"))+SUMPRODUCT((CZ3:CZ42=AO75)*(DC3:DC42=AO74)*(DE3:DE42="W"))+SUMPRODUCT((CZ3:CZ42=AO72)*(DC3:DC42=AO74)*(DE3:DE42="W"))+SUMPRODUCT((CZ3:CZ42=AO73)*(DC3:DC42=AO74)*(DE3:DE42="W")),"")</f>
        <v/>
      </c>
      <c r="AQ74" s="213" t="str">
        <f>IF(AO74&lt;&gt;"",SUMPRODUCT((CZ3:CZ42=AO74)*(DC3:DC42=AO75)*(DD3:DD42="D"))+SUMPRODUCT((CZ3:CZ42=AO74)*(DC3:DC42=AO72)*(DD3:DD42="D"))+SUMPRODUCT((CZ3:CZ42=AO74)*(DC3:DC42=AO73)*(DD3:DD42="D"))+SUMPRODUCT((CZ3:CZ42=AO75)*(DC3:DC42=AO74)*(DD3:DD42="D"))+SUMPRODUCT((CZ3:CZ42=AO72)*(DC3:DC42=AO74)*(DD3:DD42="D"))+SUMPRODUCT((CZ3:CZ42=AO73)*(DC3:DC42=AO74)*(DD3:DD42="D")),"")</f>
        <v/>
      </c>
      <c r="AR74" s="213" t="str">
        <f>IF(AO74&lt;&gt;"",SUMPRODUCT((CZ3:CZ42=AO74)*(DC3:DC42=AO75)*(DD3:DD42="L"))+SUMPRODUCT((CZ3:CZ42=AO74)*(DC3:DC42=AO72)*(DD3:DD42="L"))+SUMPRODUCT((CZ3:CZ42=AO74)*(DC3:DC42=AO73)*(DD3:DD42="L"))+SUMPRODUCT((CZ3:CZ42=AO75)*(DC3:DC42=AO74)*(DE3:DE42="L"))+SUMPRODUCT((CZ3:CZ42=AO72)*(DC3:DC42=AO74)*(DE3:DE42="L"))+SUMPRODUCT((CZ3:CZ42=AO73)*(DC3:DC42=AO74)*(DE3:DE42="L")),"")</f>
        <v/>
      </c>
      <c r="AS74" s="213">
        <f>SUMPRODUCT((CZ3:CZ42=AO74)*(DC3:DC42=AO75)*DA3:DA42)+SUMPRODUCT((CZ3:CZ42=AO74)*(DC3:DC42=AO71)*DA3:DA42)+SUMPRODUCT((CZ3:CZ42=AO74)*(DC3:DC42=AO72)*DA3:DA42)+SUMPRODUCT((CZ3:CZ42=AO74)*(DC3:DC42=AO73)*DA3:DA42)+SUMPRODUCT((CZ3:CZ42=AO75)*(DC3:DC42=AO74)*DB3:DB42)+SUMPRODUCT((CZ3:CZ42=AO71)*(DC3:DC42=AO74)*DB3:DB42)+SUMPRODUCT((CZ3:CZ42=AO72)*(DC3:DC42=AO74)*DB3:DB42)+SUMPRODUCT((CZ3:CZ42=AO73)*(DC3:DC42=AO74)*DB3:DB42)</f>
        <v>0</v>
      </c>
      <c r="AT74" s="213">
        <f>SUMPRODUCT((CZ3:CZ42=AO74)*(DC3:DC42=AO75)*DB3:DB42)+SUMPRODUCT((CZ3:CZ42=AO74)*(DC3:DC42=AO71)*DB3:DB42)+SUMPRODUCT((CZ3:CZ42=AO74)*(DC3:DC42=AO72)*DB3:DB42)+SUMPRODUCT((CZ3:CZ42=AO74)*(DC3:DC42=AO73)*DB3:DB42)+SUMPRODUCT((CZ3:CZ42=AO75)*(DC3:DC42=AO74)*DA3:DA42)+SUMPRODUCT((CZ3:CZ42=AO71)*(DC3:DC42=AO74)*DA3:DA42)+SUMPRODUCT((CZ3:CZ42=AO72)*(DC3:DC42=AO74)*DA3:DA42)+SUMPRODUCT((CZ3:CZ42=AO73)*(DC3:DC42=AO74)*DA3:DA42)</f>
        <v>0</v>
      </c>
      <c r="AU74" s="213">
        <f>AS74-AT74+1000</f>
        <v>1000</v>
      </c>
      <c r="AV74" s="213" t="str">
        <f t="shared" si="103"/>
        <v/>
      </c>
      <c r="AW74" s="213" t="str">
        <f>IF(AO74&lt;&gt;"",VLOOKUP(AO74,B4:H40,7,FALSE),"")</f>
        <v/>
      </c>
      <c r="AX74" s="213" t="str">
        <f>IF(AO74&lt;&gt;"",VLOOKUP(AO74,B4:H40,5,FALSE),"")</f>
        <v/>
      </c>
      <c r="AY74" s="213" t="str">
        <f>IF(AO74&lt;&gt;"",VLOOKUP(AO74,B4:J40,9,FALSE),"")</f>
        <v/>
      </c>
      <c r="AZ74" s="213" t="str">
        <f t="shared" si="104"/>
        <v/>
      </c>
      <c r="BA74" s="213" t="str">
        <f>IF(AO74&lt;&gt;"",RANK(AZ74,AZ71:AZ74),"")</f>
        <v/>
      </c>
      <c r="BB74" s="213" t="str">
        <f>IF(AO74&lt;&gt;"",SUMPRODUCT((AZ71:AZ74=AZ74)*(AU71:AU74&gt;AU74)),"")</f>
        <v/>
      </c>
      <c r="BC74" s="213" t="str">
        <f>IF(AO74&lt;&gt;"",SUMPRODUCT((AZ71:AZ74=AZ74)*(AU71:AU74=AU74)*(AS71:AS74&gt;AS74)),"")</f>
        <v/>
      </c>
      <c r="BD74" s="213" t="str">
        <f>IF(AO74&lt;&gt;"",SUMPRODUCT((AZ71:AZ74=AZ74)*(AU71:AU74=AU74)*(AS71:AS74=AS74)*(AW71:AW74&gt;AW74)),"")</f>
        <v/>
      </c>
      <c r="BE74" s="213" t="str">
        <f>IF(AO74&lt;&gt;"",SUMPRODUCT((AZ71:AZ74=AZ74)*(AU71:AU74=AU74)*(AS71:AS74=AS74)*(AW71:AW74=AW74)*(AX71:AX74&gt;AX74)),"")</f>
        <v/>
      </c>
      <c r="BF74" s="213" t="str">
        <f>IF(AO74&lt;&gt;"",SUMPRODUCT((AZ71:AZ74=AZ74)*(AU71:AU74=AU74)*(AS71:AS74=AS74)*(AW71:AW74=AW74)*(AX71:AX74=AX74)*(AY71:AY74&gt;AY74)),"")</f>
        <v/>
      </c>
      <c r="BG74" s="213" t="str">
        <f t="shared" si="105"/>
        <v/>
      </c>
    </row>
    <row r="76" spans="9:59" x14ac:dyDescent="0.15">
      <c r="T76" s="213">
        <f>IF(U77="",SUM(AG37:AL37),IF(U78="",SUM(AG38:AL38),IF(U79="",SUM(AG39:AL39),IF(U80="",SUM(AG40:AL40),0))))</f>
        <v>0</v>
      </c>
      <c r="AN76" s="213">
        <f>IF(AO78="",SUM(BA38:BF38),IF(AO79="",SUM(BA39:BF39),IF(AO80="",SUM(BA40:BF40),0)))</f>
        <v>2</v>
      </c>
    </row>
    <row r="77" spans="9:59" x14ac:dyDescent="0.15">
      <c r="I77" s="213">
        <f>SUMPRODUCT((I37:I40=I37)*(H37:H40=H37)*(F37:F40&gt;F37))+1</f>
        <v>1</v>
      </c>
      <c r="T77" s="213" t="str">
        <f>IF(U37&lt;&gt;"",SUMPRODUCT((AB37:AB40=AB37)*(AA37:AA40=AA37)*(Y37:Y40=Y37)*(Z37:Z40=Z37)),"")</f>
        <v/>
      </c>
      <c r="U77" s="213" t="str">
        <f>IF(AND(T77&lt;&gt;"",T77&gt;1),U37,"")</f>
        <v/>
      </c>
      <c r="V77" s="213">
        <f>SUMPRODUCT((CZ3:CZ42=U77)*(DC3:DC42=U78)*(DD3:DD42="W"))+SUMPRODUCT((CZ3:CZ42=U77)*(DC3:DC42=U79)*(DD3:DD42="W"))+SUMPRODUCT((CZ3:CZ42=U77)*(DC3:DC42=U80)*(DD3:DD42="W"))+SUMPRODUCT((CZ3:CZ42=U77)*(DC3:DC42=U81)*(DD3:DD42="W"))+SUMPRODUCT((CZ3:CZ42=U78)*(DC3:DC42=U77)*(DE3:DE42="W"))+SUMPRODUCT((CZ3:CZ42=U79)*(DC3:DC42=U77)*(DE3:DE42="W"))+SUMPRODUCT((CZ3:CZ42=U80)*(DC3:DC42=U77)*(DE3:DE42="W"))+SUMPRODUCT((CZ3:CZ42=U81)*(DC3:DC42=U77)*(DE3:DE42="W"))</f>
        <v>0</v>
      </c>
      <c r="W77" s="213">
        <f>SUMPRODUCT((CZ3:CZ42=U77)*(DC3:DC42=U78)*(DD3:DD42="D"))+SUMPRODUCT((CZ3:CZ42=U77)*(DC3:DC42=U79)*(DD3:DD42="D"))+SUMPRODUCT((CZ3:CZ42=U77)*(DC3:DC42=U80)*(DD3:DD42="D"))+SUMPRODUCT((CZ3:CZ42=U77)*(DC3:DC42=U81)*(DD3:DD42="D"))+SUMPRODUCT((CZ3:CZ42=U78)*(DC3:DC42=U77)*(DD3:DD42="D"))+SUMPRODUCT((CZ3:CZ42=U79)*(DC3:DC42=U77)*(DD3:DD42="D"))+SUMPRODUCT((CZ3:CZ42=U80)*(DC3:DC42=U77)*(DD3:DD42="D"))+SUMPRODUCT((CZ3:CZ42=U81)*(DC3:DC42=U77)*(DD3:DD42="D"))</f>
        <v>0</v>
      </c>
      <c r="X77" s="213">
        <f>SUMPRODUCT((CZ3:CZ42=U77)*(DC3:DC42=U78)*(DD3:DD42="L"))+SUMPRODUCT((CZ3:CZ42=U77)*(DC3:DC42=U79)*(DD3:DD42="L"))+SUMPRODUCT((CZ3:CZ42=U77)*(DC3:DC42=U80)*(DD3:DD42="L"))+SUMPRODUCT((CZ3:CZ42=U77)*(DC3:DC42=U81)*(DD3:DD42="L"))+SUMPRODUCT((CZ3:CZ42=U78)*(DC3:DC42=U77)*(DE3:DE42="L"))+SUMPRODUCT((CZ3:CZ42=U79)*(DC3:DC42=U77)*(DE3:DE42="L"))+SUMPRODUCT((CZ3:CZ42=U80)*(DC3:DC42=U77)*(DE3:DE42="L"))+SUMPRODUCT((CZ3:CZ42=U81)*(DC3:DC42=U77)*(DE3:DE42="L"))</f>
        <v>0</v>
      </c>
      <c r="Y77" s="213">
        <f>SUMPRODUCT((CZ3:CZ42=U77)*(DC3:DC42=U78)*DA3:DA42)+SUMPRODUCT((CZ3:CZ42=U77)*(DC3:DC42=U79)*DA3:DA42)+SUMPRODUCT((CZ3:CZ42=U77)*(DC3:DC42=U80)*DA3:DA42)+SUMPRODUCT((CZ3:CZ42=U77)*(DC3:DC42=U81)*DA3:DA42)+SUMPRODUCT((CZ3:CZ42=U78)*(DC3:DC42=U77)*DB3:DB42)+SUMPRODUCT((CZ3:CZ42=U79)*(DC3:DC42=U77)*DB3:DB42)+SUMPRODUCT((CZ3:CZ42=U80)*(DC3:DC42=U77)*DB3:DB42)+SUMPRODUCT((CZ3:CZ42=U81)*(DC3:DC42=U77)*DB3:DB42)</f>
        <v>0</v>
      </c>
      <c r="Z77" s="213">
        <f>SUMPRODUCT((CZ3:CZ42=U77)*(DC3:DC42=U78)*DB3:DB42)+SUMPRODUCT((CZ3:CZ42=U77)*(DC3:DC42=U79)*DB3:DB42)+SUMPRODUCT((CZ3:CZ42=U77)*(DC3:DC42=U80)*DB3:DB42)+SUMPRODUCT((CZ3:CZ42=U77)*(DC3:DC42=U81)*DB3:DB42)+SUMPRODUCT((CZ3:CZ42=U78)*(DC3:DC42=U77)*DA3:DA42)+SUMPRODUCT((CZ3:CZ42=U79)*(DC3:DC42=U77)*DA3:DA42)+SUMPRODUCT((CZ3:CZ42=U80)*(DC3:DC42=U77)*DA3:DA42)+SUMPRODUCT((CZ3:CZ42=U81)*(DC3:DC42=U77)*DA3:DA42)</f>
        <v>0</v>
      </c>
      <c r="AA77" s="213">
        <f>Y77-Z77+1000</f>
        <v>1000</v>
      </c>
      <c r="AB77" s="213" t="str">
        <f>IF(U77&lt;&gt;"",V77*3+W77*1,"")</f>
        <v/>
      </c>
      <c r="AC77" s="213" t="str">
        <f>IF(U77&lt;&gt;"",VLOOKUP(U77,B4:H40,7,FALSE),"")</f>
        <v/>
      </c>
      <c r="AD77" s="213" t="str">
        <f>IF(U77&lt;&gt;"",VLOOKUP(U77,B4:H40,5,FALSE),"")</f>
        <v/>
      </c>
      <c r="AE77" s="213" t="str">
        <f>IF(U77&lt;&gt;"",VLOOKUP(U77,B4:J40,9,FALSE),"")</f>
        <v/>
      </c>
      <c r="AF77" s="213" t="str">
        <f>AB77</f>
        <v/>
      </c>
      <c r="AG77" s="213" t="str">
        <f>IF(U77&lt;&gt;"",RANK(AF77,AF77:AF80),"")</f>
        <v/>
      </c>
      <c r="AH77" s="213" t="str">
        <f>IF(U77&lt;&gt;"",SUMPRODUCT((AF77:AF80=AF77)*(AA77:AA80&gt;AA77)),"")</f>
        <v/>
      </c>
      <c r="AI77" s="213" t="str">
        <f>IF(U77&lt;&gt;"",SUMPRODUCT((AF77:AF80=AF77)*(AA77:AA80=AA77)*(Y77:Y80&gt;Y77)),"")</f>
        <v/>
      </c>
      <c r="AJ77" s="213" t="str">
        <f>IF(U77&lt;&gt;"",SUMPRODUCT((AF77:AF80=AF77)*(AA77:AA80=AA77)*(Y77:Y80=Y77)*(AC77:AC80&gt;AC77)),"")</f>
        <v/>
      </c>
      <c r="AK77" s="213" t="str">
        <f>IF(U77&lt;&gt;"",SUMPRODUCT((AF77:AF80=AF77)*(AA77:AA80=AA77)*(Y77:Y80=Y77)*(AC77:AC80=AC77)*(AD77:AD80&gt;AD77)),"")</f>
        <v/>
      </c>
      <c r="AL77" s="213" t="str">
        <f>IF(U77&lt;&gt;"",SUMPRODUCT((AF77:AF80=AF77)*(AA77:AA80=AA77)*(Y77:Y80=Y77)*(AC77:AC80=AC77)*(AD77:AD80=AD77)*(AE77:AE80&gt;AE77)),"")</f>
        <v/>
      </c>
      <c r="AM77" s="213" t="str">
        <f>IF(U77&lt;&gt;"",SUM(AG77:AL77),"")</f>
        <v/>
      </c>
    </row>
    <row r="78" spans="9:59" x14ac:dyDescent="0.15">
      <c r="I78" s="213">
        <f>SUMPRODUCT((I37:I40=I38)*(H37:H40=H38)*(F37:F40&gt;F38))+1</f>
        <v>2</v>
      </c>
      <c r="T78" s="213" t="str">
        <f>IF(U38&lt;&gt;"",SUMPRODUCT((AB37:AB40=AB38)*(AA37:AA40=AA38)*(Y37:Y40=Y38)*(Z37:Z40=Z38)),"")</f>
        <v/>
      </c>
      <c r="U78" s="213" t="str">
        <f t="shared" ref="U78:U80" si="106">IF(AND(T78&lt;&gt;"",T78&gt;1),U38,"")</f>
        <v/>
      </c>
      <c r="V78" s="213">
        <f>SUMPRODUCT((CZ3:CZ42=U78)*(DC3:DC42=U79)*(DD3:DD42="W"))+SUMPRODUCT((CZ3:CZ42=U78)*(DC3:DC42=U80)*(DD3:DD42="W"))+SUMPRODUCT((CZ3:CZ42=U78)*(DC3:DC42=U81)*(DD3:DD42="W"))+SUMPRODUCT((CZ3:CZ42=U78)*(DC3:DC42=U77)*(DD3:DD42="W"))+SUMPRODUCT((CZ3:CZ42=U79)*(DC3:DC42=U78)*(DE3:DE42="W"))+SUMPRODUCT((CZ3:CZ42=U80)*(DC3:DC42=U78)*(DE3:DE42="W"))+SUMPRODUCT((CZ3:CZ42=U81)*(DC3:DC42=U78)*(DE3:DE42="W"))+SUMPRODUCT((CZ3:CZ42=U77)*(DC3:DC42=U78)*(DE3:DE42="W"))</f>
        <v>0</v>
      </c>
      <c r="W78" s="213">
        <f>SUMPRODUCT((CZ3:CZ42=U78)*(DC3:DC42=U79)*(DD3:DD42="D"))+SUMPRODUCT((CZ3:CZ42=U78)*(DC3:DC42=U80)*(DD3:DD42="D"))+SUMPRODUCT((CZ3:CZ42=U78)*(DC3:DC42=U81)*(DD3:DD42="D"))+SUMPRODUCT((CZ3:CZ42=U78)*(DC3:DC42=U77)*(DD3:DD42="D"))+SUMPRODUCT((CZ3:CZ42=U79)*(DC3:DC42=U78)*(DD3:DD42="D"))+SUMPRODUCT((CZ3:CZ42=U80)*(DC3:DC42=U78)*(DD3:DD42="D"))+SUMPRODUCT((CZ3:CZ42=U81)*(DC3:DC42=U78)*(DD3:DD42="D"))+SUMPRODUCT((CZ3:CZ42=U77)*(DC3:DC42=U78)*(DD3:DD42="D"))</f>
        <v>0</v>
      </c>
      <c r="X78" s="213">
        <f>SUMPRODUCT((CZ3:CZ42=U78)*(DC3:DC42=U79)*(DD3:DD42="L"))+SUMPRODUCT((CZ3:CZ42=U78)*(DC3:DC42=U80)*(DD3:DD42="L"))+SUMPRODUCT((CZ3:CZ42=U78)*(DC3:DC42=U81)*(DD3:DD42="L"))+SUMPRODUCT((CZ3:CZ42=U78)*(DC3:DC42=U77)*(DD3:DD42="L"))+SUMPRODUCT((CZ3:CZ42=U79)*(DC3:DC42=U78)*(DE3:DE42="L"))+SUMPRODUCT((CZ3:CZ42=U80)*(DC3:DC42=U78)*(DE3:DE42="L"))+SUMPRODUCT((CZ3:CZ42=U81)*(DC3:DC42=U78)*(DE3:DE42="L"))+SUMPRODUCT((CZ3:CZ42=U77)*(DC3:DC42=U78)*(DE3:DE42="L"))</f>
        <v>0</v>
      </c>
      <c r="Y78" s="213">
        <f>SUMPRODUCT((CZ3:CZ42=U78)*(DC3:DC42=U79)*DA3:DA42)+SUMPRODUCT((CZ3:CZ42=U78)*(DC3:DC42=U80)*DA3:DA42)+SUMPRODUCT((CZ3:CZ42=U78)*(DC3:DC42=U81)*DA3:DA42)+SUMPRODUCT((CZ3:CZ42=U78)*(DC3:DC42=U77)*DA3:DA42)+SUMPRODUCT((CZ3:CZ42=U79)*(DC3:DC42=U78)*DB3:DB42)+SUMPRODUCT((CZ3:CZ42=U80)*(DC3:DC42=U78)*DB3:DB42)+SUMPRODUCT((CZ3:CZ42=U81)*(DC3:DC42=U78)*DB3:DB42)+SUMPRODUCT((CZ3:CZ42=U77)*(DC3:DC42=U78)*DB3:DB42)</f>
        <v>0</v>
      </c>
      <c r="Z78" s="213">
        <f>SUMPRODUCT((CZ3:CZ42=U78)*(DC3:DC42=U79)*DB3:DB42)+SUMPRODUCT((CZ3:CZ42=U78)*(DC3:DC42=U80)*DB3:DB42)+SUMPRODUCT((CZ3:CZ42=U78)*(DC3:DC42=U81)*DB3:DB42)+SUMPRODUCT((CZ3:CZ42=U78)*(DC3:DC42=U77)*DB3:DB42)+SUMPRODUCT((CZ3:CZ42=U79)*(DC3:DC42=U78)*DA3:DA42)+SUMPRODUCT((CZ3:CZ42=U80)*(DC3:DC42=U78)*DA3:DA42)+SUMPRODUCT((CZ3:CZ42=U81)*(DC3:DC42=U78)*DA3:DA42)+SUMPRODUCT((CZ3:CZ42=U77)*(DC3:DC42=U78)*DA3:DA42)</f>
        <v>0</v>
      </c>
      <c r="AA78" s="213">
        <f>Y78-Z78+1000</f>
        <v>1000</v>
      </c>
      <c r="AB78" s="213" t="str">
        <f t="shared" ref="AB78:AB80" si="107">IF(U78&lt;&gt;"",V78*3+W78*1,"")</f>
        <v/>
      </c>
      <c r="AC78" s="213" t="str">
        <f>IF(U78&lt;&gt;"",VLOOKUP(U78,B4:H40,7,FALSE),"")</f>
        <v/>
      </c>
      <c r="AD78" s="213" t="str">
        <f>IF(U78&lt;&gt;"",VLOOKUP(U78,B4:H40,5,FALSE),"")</f>
        <v/>
      </c>
      <c r="AE78" s="213" t="str">
        <f>IF(U78&lt;&gt;"",VLOOKUP(U78,B4:J40,9,FALSE),"")</f>
        <v/>
      </c>
      <c r="AF78" s="213" t="str">
        <f t="shared" ref="AF78:AF80" si="108">AB78</f>
        <v/>
      </c>
      <c r="AG78" s="213" t="str">
        <f>IF(U78&lt;&gt;"",RANK(AF78,AF77:AF80),"")</f>
        <v/>
      </c>
      <c r="AH78" s="213" t="str">
        <f>IF(U78&lt;&gt;"",SUMPRODUCT((AF77:AF80=AF78)*(AA77:AA80&gt;AA78)),"")</f>
        <v/>
      </c>
      <c r="AI78" s="213" t="str">
        <f>IF(U78&lt;&gt;"",SUMPRODUCT((AF77:AF80=AF78)*(AA77:AA80=AA78)*(Y77:Y80&gt;Y78)),"")</f>
        <v/>
      </c>
      <c r="AJ78" s="213" t="str">
        <f>IF(U78&lt;&gt;"",SUMPRODUCT((AF77:AF80=AF78)*(AA77:AA80=AA78)*(Y77:Y80=Y78)*(AC77:AC80&gt;AC78)),"")</f>
        <v/>
      </c>
      <c r="AK78" s="213" t="str">
        <f>IF(U78&lt;&gt;"",SUMPRODUCT((AF77:AF80=AF78)*(AA77:AA80=AA78)*(Y77:Y80=Y78)*(AC77:AC80=AC78)*(AD77:AD80&gt;AD78)),"")</f>
        <v/>
      </c>
      <c r="AL78" s="213" t="str">
        <f>IF(U78&lt;&gt;"",SUMPRODUCT((AF77:AF80=AF78)*(AA77:AA80=AA78)*(Y77:Y80=Y78)*(AC77:AC80=AC78)*(AD77:AD80=AD78)*(AE77:AE80&gt;AE78)),"")</f>
        <v/>
      </c>
      <c r="AM78" s="213" t="str">
        <f>IF(U78&lt;&gt;"",SUM(AG78:AL78),"")</f>
        <v/>
      </c>
      <c r="AN78" s="213">
        <f>IF(AO38&lt;&gt;"",SUMPRODUCT((AV37:AV40=AV38)*(AU37:AU40=AU38)*(AS37:AS40=AS38)*(AT37:AT40=AT38)),"")</f>
        <v>1</v>
      </c>
      <c r="AO78" s="213" t="str">
        <f t="shared" ref="AO78:AO80" si="109">IF(AND(AN78&lt;&gt;"",AN78&gt;1),AO38,"")</f>
        <v/>
      </c>
      <c r="AP78" s="213">
        <f>SUMPRODUCT((CZ3:CZ42=AO78)*(DC3:DC42=AO79)*(DD3:DD42="W"))+SUMPRODUCT((CZ3:CZ42=AO78)*(DC3:DC42=AO80)*(DD3:DD42="W"))+SUMPRODUCT((CZ3:CZ42=AO78)*(DC3:DC42=AO81)*(DD3:DD42="W"))+SUMPRODUCT((CZ3:CZ42=AO79)*(DC3:DC42=AO78)*(DE3:DE42="W"))+SUMPRODUCT((CZ3:CZ42=AO80)*(DC3:DC42=AO78)*(DE3:DE42="W"))+SUMPRODUCT((CZ3:CZ42=AO81)*(DC3:DC42=AO78)*(DE3:DE42="W"))</f>
        <v>0</v>
      </c>
      <c r="AQ78" s="213">
        <f>SUMPRODUCT((CZ3:CZ42=AO78)*(DC3:DC42=AO79)*(DD3:DD42="D"))+SUMPRODUCT((CZ3:CZ42=AO78)*(DC3:DC42=AO80)*(DD3:DD42="D"))+SUMPRODUCT((CZ3:CZ42=AO78)*(DC3:DC42=AO81)*(DD3:DD42="D"))+SUMPRODUCT((CZ3:CZ42=AO79)*(DC3:DC42=AO78)*(DD3:DD42="D"))+SUMPRODUCT((CZ3:CZ42=AO80)*(DC3:DC42=AO78)*(DD3:DD42="D"))+SUMPRODUCT((CZ3:CZ42=AO81)*(DC3:DC42=AO78)*(DD3:DD42="D"))</f>
        <v>0</v>
      </c>
      <c r="AR78" s="213">
        <f>SUMPRODUCT((CZ3:CZ42=AO78)*(DC3:DC42=AO79)*(DD3:DD42="L"))+SUMPRODUCT((CZ3:CZ42=AO78)*(DC3:DC42=AO80)*(DD3:DD42="L"))+SUMPRODUCT((CZ3:CZ42=AO78)*(DC3:DC42=AO81)*(DD3:DD42="L"))+SUMPRODUCT((CZ3:CZ42=AO79)*(DC3:DC42=AO78)*(DE3:DE42="L"))+SUMPRODUCT((CZ3:CZ42=AO80)*(DC3:DC42=AO78)*(DE3:DE42="L"))+SUMPRODUCT((CZ3:CZ42=AO81)*(DC3:DC42=AO78)*(DE3:DE42="L"))</f>
        <v>0</v>
      </c>
      <c r="AS78" s="213">
        <f>SUMPRODUCT((CZ3:CZ42=AO78)*(DC3:DC42=AO79)*DA3:DA42)+SUMPRODUCT((CZ3:CZ42=AO78)*(DC3:DC42=AO80)*DA3:DA42)+SUMPRODUCT((CZ3:CZ42=AO78)*(DC3:DC42=AO81)*DA3:DA42)+SUMPRODUCT((CZ3:CZ42=AO78)*(DC3:DC42=AO77)*DA3:DA42)+SUMPRODUCT((CZ3:CZ42=AO79)*(DC3:DC42=AO78)*DB3:DB42)+SUMPRODUCT((CZ3:CZ42=AO80)*(DC3:DC42=AO78)*DB3:DB42)+SUMPRODUCT((CZ3:CZ42=AO81)*(DC3:DC42=AO78)*DB3:DB42)+SUMPRODUCT((CZ3:CZ42=AO77)*(DC3:DC42=AO78)*DB3:DB42)</f>
        <v>0</v>
      </c>
      <c r="AT78" s="213">
        <f>SUMPRODUCT((CZ3:CZ42=AO78)*(DC3:DC42=AO79)*DB3:DB42)+SUMPRODUCT((CZ3:CZ42=AO78)*(DC3:DC42=AO80)*DB3:DB42)+SUMPRODUCT((CZ3:CZ42=AO78)*(DC3:DC42=AO81)*DB3:DB42)+SUMPRODUCT((CZ3:CZ42=AO78)*(DC3:DC42=AO77)*DB3:DB42)+SUMPRODUCT((CZ3:CZ42=AO79)*(DC3:DC42=AO78)*DA3:DA42)+SUMPRODUCT((CZ3:CZ42=AO80)*(DC3:DC42=AO78)*DA3:DA42)+SUMPRODUCT((CZ3:CZ42=AO81)*(DC3:DC42=AO78)*DA3:DA42)+SUMPRODUCT((CZ3:CZ42=AO77)*(DC3:DC42=AO78)*DA3:DA42)</f>
        <v>0</v>
      </c>
      <c r="AU78" s="213">
        <f>AS78-AT78+1000</f>
        <v>1000</v>
      </c>
      <c r="AV78" s="213" t="str">
        <f t="shared" ref="AV78:AV80" si="110">IF(AO78&lt;&gt;"",AP78*3+AQ78*1,"")</f>
        <v/>
      </c>
      <c r="AW78" s="213" t="str">
        <f>IF(AO78&lt;&gt;"",VLOOKUP(AO78,B4:H40,7,FALSE),"")</f>
        <v/>
      </c>
      <c r="AX78" s="213" t="str">
        <f>IF(AO78&lt;&gt;"",VLOOKUP(AO78,B4:H40,5,FALSE),"")</f>
        <v/>
      </c>
      <c r="AY78" s="213" t="str">
        <f>IF(AO78&lt;&gt;"",VLOOKUP(AO78,B4:J40,9,FALSE),"")</f>
        <v/>
      </c>
      <c r="AZ78" s="213" t="str">
        <f t="shared" ref="AZ78:AZ80" si="111">AV78</f>
        <v/>
      </c>
      <c r="BA78" s="213" t="str">
        <f>IF(AO78&lt;&gt;"",RANK(AZ78,AZ77:AZ80),"")</f>
        <v/>
      </c>
      <c r="BB78" s="213" t="str">
        <f>IF(AO78&lt;&gt;"",SUMPRODUCT((AZ77:AZ80=AZ78)*(AU77:AU80&gt;AU78)),"")</f>
        <v/>
      </c>
      <c r="BC78" s="213" t="str">
        <f>IF(AO78&lt;&gt;"",SUMPRODUCT((AZ77:AZ80=AZ78)*(AU77:AU80=AU78)*(AS77:AS80&gt;AS78)),"")</f>
        <v/>
      </c>
      <c r="BD78" s="213" t="str">
        <f>IF(AO78&lt;&gt;"",SUMPRODUCT((AZ77:AZ80=AZ78)*(AU77:AU80=AU78)*(AS77:AS80=AS78)*(AW77:AW80&gt;AW78)),"")</f>
        <v/>
      </c>
      <c r="BE78" s="213" t="str">
        <f>IF(AO78&lt;&gt;"",SUMPRODUCT((AZ77:AZ80=AZ78)*(AU77:AU80=AU78)*(AS77:AS80=AS78)*(AW77:AW80=AW78)*(AX77:AX80&gt;AX78)),"")</f>
        <v/>
      </c>
      <c r="BF78" s="213" t="str">
        <f>IF(AO78&lt;&gt;"",SUMPRODUCT((AZ77:AZ80=AZ78)*(AU77:AU80=AU78)*(AS77:AS80=AS78)*(AW77:AW80=AW78)*(AX77:AX80=AX78)*(AY77:AY80&gt;AY78)),"")</f>
        <v/>
      </c>
      <c r="BG78" s="213" t="str">
        <f>IF(AO78&lt;&gt;"",SUM(BA78:BF78)+1,"")</f>
        <v/>
      </c>
    </row>
    <row r="79" spans="9:59" x14ac:dyDescent="0.15">
      <c r="I79" s="213">
        <f>SUMPRODUCT((I37:I40=I39)*(H37:H40=H39)*(F37:F40&gt;F39))+1</f>
        <v>1</v>
      </c>
      <c r="T79" s="213" t="str">
        <f>IF(U39&lt;&gt;"",SUMPRODUCT((AB37:AB40=AB39)*(AA37:AA40=AA39)*(Y37:Y40=Y39)*(Z37:Z40=Z39)),"")</f>
        <v/>
      </c>
      <c r="U79" s="213" t="str">
        <f t="shared" si="106"/>
        <v/>
      </c>
      <c r="V79" s="213">
        <f>SUMPRODUCT((CZ3:CZ42=U79)*(DC3:DC42=U80)*(DD3:DD42="W"))+SUMPRODUCT((CZ3:CZ42=U79)*(DC3:DC42=U81)*(DD3:DD42="W"))+SUMPRODUCT((CZ3:CZ42=U79)*(DC3:DC42=U77)*(DD3:DD42="W"))+SUMPRODUCT((CZ3:CZ42=U79)*(DC3:DC42=U78)*(DD3:DD42="W"))+SUMPRODUCT((CZ3:CZ42=U80)*(DC3:DC42=U79)*(DE3:DE42="W"))+SUMPRODUCT((CZ3:CZ42=U81)*(DC3:DC42=U79)*(DE3:DE42="W"))+SUMPRODUCT((CZ3:CZ42=U77)*(DC3:DC42=U79)*(DE3:DE42="W"))+SUMPRODUCT((CZ3:CZ42=U78)*(DC3:DC42=U79)*(DE3:DE42="W"))</f>
        <v>0</v>
      </c>
      <c r="W79" s="213">
        <f>SUMPRODUCT((CZ3:CZ42=U79)*(DC3:DC42=U80)*(DD3:DD42="D"))+SUMPRODUCT((CZ3:CZ42=U79)*(DC3:DC42=U81)*(DD3:DD42="D"))+SUMPRODUCT((CZ3:CZ42=U79)*(DC3:DC42=U77)*(DD3:DD42="D"))+SUMPRODUCT((CZ3:CZ42=U79)*(DC3:DC42=U78)*(DD3:DD42="D"))+SUMPRODUCT((CZ3:CZ42=U80)*(DC3:DC42=U79)*(DD3:DD42="D"))+SUMPRODUCT((CZ3:CZ42=U81)*(DC3:DC42=U79)*(DD3:DD42="D"))+SUMPRODUCT((CZ3:CZ42=U77)*(DC3:DC42=U79)*(DD3:DD42="D"))+SUMPRODUCT((CZ3:CZ42=U78)*(DC3:DC42=U79)*(DD3:DD42="D"))</f>
        <v>0</v>
      </c>
      <c r="X79" s="213">
        <f>SUMPRODUCT((CZ3:CZ42=U79)*(DC3:DC42=U80)*(DD3:DD42="L"))+SUMPRODUCT((CZ3:CZ42=U79)*(DC3:DC42=U81)*(DD3:DD42="L"))+SUMPRODUCT((CZ3:CZ42=U79)*(DC3:DC42=U77)*(DD3:DD42="L"))+SUMPRODUCT((CZ3:CZ42=U79)*(DC3:DC42=U78)*(DD3:DD42="L"))+SUMPRODUCT((CZ3:CZ42=U80)*(DC3:DC42=U79)*(DE3:DE42="L"))+SUMPRODUCT((CZ3:CZ42=U81)*(DC3:DC42=U79)*(DE3:DE42="L"))+SUMPRODUCT((CZ3:CZ42=U77)*(DC3:DC42=U79)*(DE3:DE42="L"))+SUMPRODUCT((CZ3:CZ42=U78)*(DC3:DC42=U79)*(DE3:DE42="L"))</f>
        <v>0</v>
      </c>
      <c r="Y79" s="213">
        <f>SUMPRODUCT((CZ3:CZ42=U79)*(DC3:DC42=U80)*DA3:DA42)+SUMPRODUCT((CZ3:CZ42=U79)*(DC3:DC42=U81)*DA3:DA42)+SUMPRODUCT((CZ3:CZ42=U79)*(DC3:DC42=U77)*DA3:DA42)+SUMPRODUCT((CZ3:CZ42=U79)*(DC3:DC42=U78)*DA3:DA42)+SUMPRODUCT((CZ3:CZ42=U80)*(DC3:DC42=U79)*DB3:DB42)+SUMPRODUCT((CZ3:CZ42=U81)*(DC3:DC42=U79)*DB3:DB42)+SUMPRODUCT((CZ3:CZ42=U77)*(DC3:DC42=U79)*DB3:DB42)+SUMPRODUCT((CZ3:CZ42=U78)*(DC3:DC42=U79)*DB3:DB42)</f>
        <v>0</v>
      </c>
      <c r="Z79" s="213">
        <f>SUMPRODUCT((CZ3:CZ42=U79)*(DC3:DC42=U80)*DB3:DB42)+SUMPRODUCT((CZ3:CZ42=U79)*(DC3:DC42=U81)*DB3:DB42)+SUMPRODUCT((CZ3:CZ42=U79)*(DC3:DC42=U77)*DB3:DB42)+SUMPRODUCT((CZ3:CZ42=U79)*(DC3:DC42=U78)*DB3:DB42)+SUMPRODUCT((CZ3:CZ42=U80)*(DC3:DC42=U79)*DA3:DA42)+SUMPRODUCT((CZ3:CZ42=U81)*(DC3:DC42=U79)*DA3:DA42)+SUMPRODUCT((CZ3:CZ42=U77)*(DC3:DC42=U79)*DA3:DA42)+SUMPRODUCT((CZ3:CZ42=U78)*(DC3:DC42=U79)*DA3:DA42)</f>
        <v>0</v>
      </c>
      <c r="AA79" s="213">
        <f>Y79-Z79+1000</f>
        <v>1000</v>
      </c>
      <c r="AB79" s="213" t="str">
        <f t="shared" si="107"/>
        <v/>
      </c>
      <c r="AC79" s="213" t="str">
        <f>IF(U79&lt;&gt;"",VLOOKUP(U79,B4:H40,7,FALSE),"")</f>
        <v/>
      </c>
      <c r="AD79" s="213" t="str">
        <f>IF(U79&lt;&gt;"",VLOOKUP(U79,B4:H40,5,FALSE),"")</f>
        <v/>
      </c>
      <c r="AE79" s="213" t="str">
        <f>IF(U79&lt;&gt;"",VLOOKUP(U79,B4:J40,9,FALSE),"")</f>
        <v/>
      </c>
      <c r="AF79" s="213" t="str">
        <f t="shared" si="108"/>
        <v/>
      </c>
      <c r="AG79" s="213" t="str">
        <f>IF(U79&lt;&gt;"",RANK(AF79,AF77:AF80),"")</f>
        <v/>
      </c>
      <c r="AH79" s="213" t="str">
        <f>IF(U79&lt;&gt;"",SUMPRODUCT((AF77:AF80=AF79)*(AA77:AA80&gt;AA79)),"")</f>
        <v/>
      </c>
      <c r="AI79" s="213" t="str">
        <f>IF(U79&lt;&gt;"",SUMPRODUCT((AF77:AF80=AF79)*(AA77:AA80=AA79)*(Y77:Y80&gt;Y79)),"")</f>
        <v/>
      </c>
      <c r="AJ79" s="213" t="str">
        <f>IF(U79&lt;&gt;"",SUMPRODUCT((AF77:AF80=AF79)*(AA77:AA80=AA79)*(Y77:Y80=Y79)*(AC77:AC80&gt;AC79)),"")</f>
        <v/>
      </c>
      <c r="AK79" s="213" t="str">
        <f>IF(U79&lt;&gt;"",SUMPRODUCT((AF77:AF80=AF79)*(AA77:AA80=AA79)*(Y77:Y80=Y79)*(AC77:AC80=AC79)*(AD77:AD80&gt;AD79)),"")</f>
        <v/>
      </c>
      <c r="AL79" s="213" t="str">
        <f>IF(U79&lt;&gt;"",SUMPRODUCT((AF77:AF80=AF79)*(AA77:AA80=AA79)*(Y77:Y80=Y79)*(AC77:AC80=AC79)*(AD77:AD80=AD79)*(AE77:AE80&gt;AE79)),"")</f>
        <v/>
      </c>
      <c r="AM79" s="213" t="str">
        <f>IF(U79&lt;&gt;"",SUM(AG79:AL79),"")</f>
        <v/>
      </c>
      <c r="AN79" s="213">
        <f>IF(AO39&lt;&gt;"",SUMPRODUCT((AV37:AV40=AV39)*(AU37:AU40=AU39)*(AS37:AS40=AS39)*(AT37:AT40=AT39)),"")</f>
        <v>1</v>
      </c>
      <c r="AO79" s="213" t="str">
        <f t="shared" si="109"/>
        <v/>
      </c>
      <c r="AP79" s="213">
        <f>SUMPRODUCT((CZ3:CZ42=AO79)*(DC3:DC42=AO80)*(DD3:DD42="W"))+SUMPRODUCT((CZ3:CZ42=AO79)*(DC3:DC42=AO81)*(DD3:DD42="W"))+SUMPRODUCT((CZ3:CZ42=AO79)*(DC3:DC42=AO78)*(DD3:DD42="W"))+SUMPRODUCT((CZ3:CZ42=AO80)*(DC3:DC42=AO79)*(DE3:DE42="W"))+SUMPRODUCT((CZ3:CZ42=AO81)*(DC3:DC42=AO79)*(DE3:DE42="W"))+SUMPRODUCT((CZ3:CZ42=AO78)*(DC3:DC42=AO79)*(DE3:DE42="W"))</f>
        <v>0</v>
      </c>
      <c r="AQ79" s="213">
        <f>SUMPRODUCT((CZ3:CZ42=AO79)*(DC3:DC42=AO80)*(DD3:DD42="D"))+SUMPRODUCT((CZ3:CZ42=AO79)*(DC3:DC42=AO81)*(DD3:DD42="D"))+SUMPRODUCT((CZ3:CZ42=AO79)*(DC3:DC42=AO78)*(DD3:DD42="D"))+SUMPRODUCT((CZ3:CZ42=AO80)*(DC3:DC42=AO79)*(DD3:DD42="D"))+SUMPRODUCT((CZ3:CZ42=AO81)*(DC3:DC42=AO79)*(DD3:DD42="D"))+SUMPRODUCT((CZ3:CZ42=AO78)*(DC3:DC42=AO79)*(DD3:DD42="D"))</f>
        <v>0</v>
      </c>
      <c r="AR79" s="213">
        <f>SUMPRODUCT((CZ3:CZ42=AO79)*(DC3:DC42=AO80)*(DD3:DD42="L"))+SUMPRODUCT((CZ3:CZ42=AO79)*(DC3:DC42=AO81)*(DD3:DD42="L"))+SUMPRODUCT((CZ3:CZ42=AO79)*(DC3:DC42=AO78)*(DD3:DD42="L"))+SUMPRODUCT((CZ3:CZ42=AO80)*(DC3:DC42=AO79)*(DE3:DE42="L"))+SUMPRODUCT((CZ3:CZ42=AO81)*(DC3:DC42=AO79)*(DE3:DE42="L"))+SUMPRODUCT((CZ3:CZ42=AO78)*(DC3:DC42=AO79)*(DE3:DE42="L"))</f>
        <v>0</v>
      </c>
      <c r="AS79" s="213">
        <f>SUMPRODUCT((CZ3:CZ42=AO79)*(DC3:DC42=AO80)*DA3:DA42)+SUMPRODUCT((CZ3:CZ42=AO79)*(DC3:DC42=AO81)*DA3:DA42)+SUMPRODUCT((CZ3:CZ42=AO79)*(DC3:DC42=AO77)*DA3:DA42)+SUMPRODUCT((CZ3:CZ42=AO79)*(DC3:DC42=AO78)*DA3:DA42)+SUMPRODUCT((CZ3:CZ42=AO80)*(DC3:DC42=AO79)*DB3:DB42)+SUMPRODUCT((CZ3:CZ42=AO81)*(DC3:DC42=AO79)*DB3:DB42)+SUMPRODUCT((CZ3:CZ42=AO77)*(DC3:DC42=AO79)*DB3:DB42)+SUMPRODUCT((CZ3:CZ42=AO78)*(DC3:DC42=AO79)*DB3:DB42)</f>
        <v>0</v>
      </c>
      <c r="AT79" s="213">
        <f>SUMPRODUCT((CZ3:CZ42=AO79)*(DC3:DC42=AO80)*DB3:DB42)+SUMPRODUCT((CZ3:CZ42=AO79)*(DC3:DC42=AO81)*DB3:DB42)+SUMPRODUCT((CZ3:CZ42=AO79)*(DC3:DC42=AO77)*DB3:DB42)+SUMPRODUCT((CZ3:CZ42=AO79)*(DC3:DC42=AO78)*DB3:DB42)+SUMPRODUCT((CZ3:CZ42=AO80)*(DC3:DC42=AO79)*DA3:DA42)+SUMPRODUCT((CZ3:CZ42=AO81)*(DC3:DC42=AO79)*DA3:DA42)+SUMPRODUCT((CZ3:CZ42=AO77)*(DC3:DC42=AO79)*DA3:DA42)+SUMPRODUCT((CZ3:CZ42=AO78)*(DC3:DC42=AO79)*DA3:DA42)</f>
        <v>0</v>
      </c>
      <c r="AU79" s="213">
        <f>AS79-AT79+1000</f>
        <v>1000</v>
      </c>
      <c r="AV79" s="213" t="str">
        <f t="shared" si="110"/>
        <v/>
      </c>
      <c r="AW79" s="213" t="str">
        <f>IF(AO79&lt;&gt;"",VLOOKUP(AO79,B4:H40,7,FALSE),"")</f>
        <v/>
      </c>
      <c r="AX79" s="213" t="str">
        <f>IF(AO79&lt;&gt;"",VLOOKUP(AO79,B4:H40,5,FALSE),"")</f>
        <v/>
      </c>
      <c r="AY79" s="213" t="str">
        <f>IF(AO79&lt;&gt;"",VLOOKUP(AO79,B4:J40,9,FALSE),"")</f>
        <v/>
      </c>
      <c r="AZ79" s="213" t="str">
        <f t="shared" si="111"/>
        <v/>
      </c>
      <c r="BA79" s="213" t="str">
        <f>IF(AO79&lt;&gt;"",RANK(AZ79,AZ77:AZ80),"")</f>
        <v/>
      </c>
      <c r="BB79" s="213" t="str">
        <f>IF(AO79&lt;&gt;"",SUMPRODUCT((AZ77:AZ80=AZ79)*(AU77:AU80&gt;AU79)),"")</f>
        <v/>
      </c>
      <c r="BC79" s="213" t="str">
        <f>IF(AO79&lt;&gt;"",SUMPRODUCT((AZ77:AZ80=AZ79)*(AU77:AU80=AU79)*(AS77:AS80&gt;AS79)),"")</f>
        <v/>
      </c>
      <c r="BD79" s="213" t="str">
        <f>IF(AO79&lt;&gt;"",SUMPRODUCT((AZ77:AZ80=AZ79)*(AU77:AU80=AU79)*(AS77:AS80=AS79)*(AW77:AW80&gt;AW79)),"")</f>
        <v/>
      </c>
      <c r="BE79" s="213" t="str">
        <f>IF(AO79&lt;&gt;"",SUMPRODUCT((AZ77:AZ80=AZ79)*(AU77:AU80=AU79)*(AS77:AS80=AS79)*(AW77:AW80=AW79)*(AX77:AX80&gt;AX79)),"")</f>
        <v/>
      </c>
      <c r="BF79" s="213" t="str">
        <f>IF(AO79&lt;&gt;"",SUMPRODUCT((AZ77:AZ80=AZ79)*(AU77:AU80=AU79)*(AS77:AS80=AS79)*(AW77:AW80=AW79)*(AX77:AX80=AX79)*(AY77:AY80&gt;AY79)),"")</f>
        <v/>
      </c>
      <c r="BG79" s="213" t="str">
        <f t="shared" ref="BG79:BG80" si="112">IF(AO79&lt;&gt;"",SUM(BA79:BF79)+1,"")</f>
        <v/>
      </c>
    </row>
    <row r="80" spans="9:59" x14ac:dyDescent="0.15">
      <c r="I80" s="213">
        <f>SUMPRODUCT((I37:I40=I40)*(H37:H40=H40)*(F37:F40&gt;F40))+1</f>
        <v>1</v>
      </c>
      <c r="T80" s="213" t="str">
        <f>IF(U40&lt;&gt;"",SUMPRODUCT((AB37:AB40=AB40)*(AA37:AA40=AA40)*(Y37:Y40=Y40)*(Z37:Z40=Z40)),"")</f>
        <v/>
      </c>
      <c r="U80" s="213" t="str">
        <f t="shared" si="106"/>
        <v/>
      </c>
      <c r="V80" s="213">
        <f>SUMPRODUCT((CZ3:CZ42=U80)*(DC3:DC42=U81)*(DD3:DD42="W"))+SUMPRODUCT((CZ3:CZ42=U80)*(DC3:DC42=U77)*(DD3:DD42="W"))+SUMPRODUCT((CZ3:CZ42=U80)*(DC3:DC42=U78)*(DD3:DD42="W"))+SUMPRODUCT((CZ3:CZ42=U80)*(DC3:DC42=U79)*(DD3:DD42="W"))+SUMPRODUCT((CZ3:CZ42=U81)*(DC3:DC42=U80)*(DE3:DE42="W"))+SUMPRODUCT((CZ3:CZ42=U77)*(DC3:DC42=U80)*(DE3:DE42="W"))+SUMPRODUCT((CZ3:CZ42=U78)*(DC3:DC42=U80)*(DE3:DE42="W"))+SUMPRODUCT((CZ3:CZ42=U79)*(DC3:DC42=U80)*(DE3:DE42="W"))</f>
        <v>0</v>
      </c>
      <c r="W80" s="213">
        <f>SUMPRODUCT((CZ3:CZ42=U80)*(DC3:DC42=U81)*(DD3:DD42="D"))+SUMPRODUCT((CZ3:CZ42=U80)*(DC3:DC42=U77)*(DD3:DD42="D"))+SUMPRODUCT((CZ3:CZ42=U80)*(DC3:DC42=U78)*(DD3:DD42="D"))+SUMPRODUCT((CZ3:CZ42=U80)*(DC3:DC42=U79)*(DD3:DD42="D"))+SUMPRODUCT((CZ3:CZ42=U81)*(DC3:DC42=U80)*(DD3:DD42="D"))+SUMPRODUCT((CZ3:CZ42=U77)*(DC3:DC42=U80)*(DD3:DD42="D"))+SUMPRODUCT((CZ3:CZ42=U78)*(DC3:DC42=U80)*(DD3:DD42="D"))+SUMPRODUCT((CZ3:CZ42=U79)*(DC3:DC42=U80)*(DD3:DD42="D"))</f>
        <v>0</v>
      </c>
      <c r="X80" s="213">
        <f>SUMPRODUCT((CZ3:CZ42=U80)*(DC3:DC42=U81)*(DD3:DD42="L"))+SUMPRODUCT((CZ3:CZ42=U80)*(DC3:DC42=U77)*(DD3:DD42="L"))+SUMPRODUCT((CZ3:CZ42=U80)*(DC3:DC42=U78)*(DD3:DD42="L"))+SUMPRODUCT((CZ3:CZ42=U80)*(DC3:DC42=U79)*(DD3:DD42="L"))+SUMPRODUCT((CZ3:CZ42=U81)*(DC3:DC42=U80)*(DE3:DE42="L"))+SUMPRODUCT((CZ3:CZ42=U77)*(DC3:DC42=U80)*(DE3:DE42="L"))+SUMPRODUCT((CZ3:CZ42=U78)*(DC3:DC42=U80)*(DE3:DE42="L"))+SUMPRODUCT((CZ3:CZ42=U79)*(DC3:DC42=U80)*(DE3:DE42="L"))</f>
        <v>0</v>
      </c>
      <c r="Y80" s="213">
        <f>SUMPRODUCT((CZ3:CZ42=U80)*(DC3:DC42=U81)*DA3:DA42)+SUMPRODUCT((CZ3:CZ42=U80)*(DC3:DC42=U77)*DA3:DA42)+SUMPRODUCT((CZ3:CZ42=U80)*(DC3:DC42=U78)*DA3:DA42)+SUMPRODUCT((CZ3:CZ42=U80)*(DC3:DC42=U79)*DA3:DA42)+SUMPRODUCT((CZ3:CZ42=U81)*(DC3:DC42=U80)*DB3:DB42)+SUMPRODUCT((CZ3:CZ42=U77)*(DC3:DC42=U80)*DB3:DB42)+SUMPRODUCT((CZ3:CZ42=U78)*(DC3:DC42=U80)*DB3:DB42)+SUMPRODUCT((CZ3:CZ42=U79)*(DC3:DC42=U80)*DB3:DB42)</f>
        <v>0</v>
      </c>
      <c r="Z80" s="213">
        <f>SUMPRODUCT((CZ3:CZ42=U80)*(DC3:DC42=U81)*DB3:DB42)+SUMPRODUCT((CZ3:CZ42=U80)*(DC3:DC42=U77)*DB3:DB42)+SUMPRODUCT((CZ3:CZ42=U80)*(DC3:DC42=U78)*DB3:DB42)+SUMPRODUCT((CZ3:CZ42=U80)*(DC3:DC42=U79)*DB3:DB42)+SUMPRODUCT((CZ3:CZ42=U81)*(DC3:DC42=U80)*DA3:DA42)+SUMPRODUCT((CZ3:CZ42=U77)*(DC3:DC42=U80)*DA3:DA42)+SUMPRODUCT((CZ3:CZ42=U78)*(DC3:DC42=U80)*DA3:DA42)+SUMPRODUCT((CZ3:CZ42=U79)*(DC3:DC42=U80)*DA3:DA42)</f>
        <v>0</v>
      </c>
      <c r="AA80" s="213">
        <f>Y80-Z80+1000</f>
        <v>1000</v>
      </c>
      <c r="AB80" s="213" t="str">
        <f t="shared" si="107"/>
        <v/>
      </c>
      <c r="AC80" s="213" t="str">
        <f>IF(U80&lt;&gt;"",VLOOKUP(U80,B4:H40,7,FALSE),"")</f>
        <v/>
      </c>
      <c r="AD80" s="213" t="str">
        <f>IF(U80&lt;&gt;"",VLOOKUP(U80,B4:H40,5,FALSE),"")</f>
        <v/>
      </c>
      <c r="AE80" s="213" t="str">
        <f>IF(U80&lt;&gt;"",VLOOKUP(U80,B4:J40,9,FALSE),"")</f>
        <v/>
      </c>
      <c r="AF80" s="213" t="str">
        <f t="shared" si="108"/>
        <v/>
      </c>
      <c r="AG80" s="213" t="str">
        <f>IF(U80&lt;&gt;"",RANK(AF80,AF77:AF80),"")</f>
        <v/>
      </c>
      <c r="AH80" s="213" t="str">
        <f>IF(U80&lt;&gt;"",SUMPRODUCT((AF77:AF80=AF80)*(AA77:AA80&gt;AA80)),"")</f>
        <v/>
      </c>
      <c r="AI80" s="213" t="str">
        <f>IF(U80&lt;&gt;"",SUMPRODUCT((AF77:AF80=AF80)*(AA77:AA80=AA80)*(Y77:Y80&gt;Y80)),"")</f>
        <v/>
      </c>
      <c r="AJ80" s="213" t="str">
        <f>IF(U80&lt;&gt;"",SUMPRODUCT((AF77:AF80=AF80)*(AA77:AA80=AA80)*(Y77:Y80=Y80)*(AC77:AC80&gt;AC80)),"")</f>
        <v/>
      </c>
      <c r="AK80" s="213" t="str">
        <f>IF(U80&lt;&gt;"",SUMPRODUCT((AF77:AF80=AF80)*(AA77:AA80=AA80)*(Y77:Y80=Y80)*(AC77:AC80=AC80)*(AD77:AD80&gt;AD80)),"")</f>
        <v/>
      </c>
      <c r="AL80" s="213" t="str">
        <f>IF(U80&lt;&gt;"",SUMPRODUCT((AF77:AF80=AF80)*(AA77:AA80=AA80)*(Y77:Y80=Y80)*(AC77:AC80=AC80)*(AD77:AD80=AD80)*(AE77:AE80&gt;AE80)),"")</f>
        <v/>
      </c>
      <c r="AM80" s="213" t="str">
        <f>IF(U80&lt;&gt;"",SUM(AG80:AL80),"")</f>
        <v/>
      </c>
      <c r="AN80" s="213" t="str">
        <f>IF(AO40&lt;&gt;"",SUMPRODUCT((AV37:AV40=AV40)*(AU37:AU40=AU40)*(AS37:AS40=AS40)*(AT37:AT40=AT40)),"")</f>
        <v/>
      </c>
      <c r="AO80" s="213" t="str">
        <f t="shared" si="109"/>
        <v/>
      </c>
      <c r="AP80" s="213" t="str">
        <f>IF(AO80&lt;&gt;"",SUMPRODUCT((CZ3:CZ42=AO80)*(DC3:DC42=AO81)*(DD3:DD42="W"))+SUMPRODUCT((CZ3:CZ42=AO80)*(DC3:DC42=AO78)*(DD3:DD42="W"))+SUMPRODUCT((CZ3:CZ42=AO80)*(DC3:DC42=AO79)*(DD3:DD42="W"))+SUMPRODUCT((CZ3:CZ42=AO81)*(DC3:DC42=AO80)*(DE3:DE42="W"))+SUMPRODUCT((CZ3:CZ42=AO78)*(DC3:DC42=AO80)*(DE3:DE42="W"))+SUMPRODUCT((CZ3:CZ42=AO79)*(DC3:DC42=AO80)*(DE3:DE42="W")),"")</f>
        <v/>
      </c>
      <c r="AQ80" s="213" t="str">
        <f>IF(AO80&lt;&gt;"",SUMPRODUCT((CZ3:CZ42=AO80)*(DC3:DC42=AO81)*(DD3:DD42="D"))+SUMPRODUCT((CZ3:CZ42=AO80)*(DC3:DC42=AO78)*(DD3:DD42="D"))+SUMPRODUCT((CZ3:CZ42=AO80)*(DC3:DC42=AO79)*(DD3:DD42="D"))+SUMPRODUCT((CZ3:CZ42=AO81)*(DC3:DC42=AO80)*(DD3:DD42="D"))+SUMPRODUCT((CZ3:CZ42=AO78)*(DC3:DC42=AO80)*(DD3:DD42="D"))+SUMPRODUCT((CZ3:CZ42=AO79)*(DC3:DC42=AO80)*(DD3:DD42="D")),"")</f>
        <v/>
      </c>
      <c r="AR80" s="213" t="str">
        <f>IF(AO80&lt;&gt;"",SUMPRODUCT((CZ3:CZ42=AO80)*(DC3:DC42=AO81)*(DD3:DD42="L"))+SUMPRODUCT((CZ3:CZ42=AO80)*(DC3:DC42=AO78)*(DD3:DD42="L"))+SUMPRODUCT((CZ3:CZ42=AO80)*(DC3:DC42=AO79)*(DD3:DD42="L"))+SUMPRODUCT((CZ3:CZ42=AO81)*(DC3:DC42=AO80)*(DE3:DE42="L"))+SUMPRODUCT((CZ3:CZ42=AO78)*(DC3:DC42=AO80)*(DE3:DE42="L"))+SUMPRODUCT((CZ3:CZ42=AO79)*(DC3:DC42=AO80)*(DE3:DE42="L")),"")</f>
        <v/>
      </c>
      <c r="AS80" s="213">
        <f>SUMPRODUCT((CZ3:CZ42=AO80)*(DC3:DC42=AO81)*DA3:DA42)+SUMPRODUCT((CZ3:CZ42=AO80)*(DC3:DC42=AO77)*DA3:DA42)+SUMPRODUCT((CZ3:CZ42=AO80)*(DC3:DC42=AO78)*DA3:DA42)+SUMPRODUCT((CZ3:CZ42=AO80)*(DC3:DC42=AO79)*DA3:DA42)+SUMPRODUCT((CZ3:CZ42=AO81)*(DC3:DC42=AO80)*DB3:DB42)+SUMPRODUCT((CZ3:CZ42=AO77)*(DC3:DC42=AO80)*DB3:DB42)+SUMPRODUCT((CZ3:CZ42=AO78)*(DC3:DC42=AO80)*DB3:DB42)+SUMPRODUCT((CZ3:CZ42=AO79)*(DC3:DC42=AO80)*DB3:DB42)</f>
        <v>0</v>
      </c>
      <c r="AT80" s="213">
        <f>SUMPRODUCT((CZ3:CZ42=AO80)*(DC3:DC42=AO81)*DB3:DB42)+SUMPRODUCT((CZ3:CZ42=AO80)*(DC3:DC42=AO77)*DB3:DB42)+SUMPRODUCT((CZ3:CZ42=AO80)*(DC3:DC42=AO78)*DB3:DB42)+SUMPRODUCT((CZ3:CZ42=AO80)*(DC3:DC42=AO79)*DB3:DB42)+SUMPRODUCT((CZ3:CZ42=AO81)*(DC3:DC42=AO80)*DA3:DA42)+SUMPRODUCT((CZ3:CZ42=AO77)*(DC3:DC42=AO80)*DA3:DA42)+SUMPRODUCT((CZ3:CZ42=AO78)*(DC3:DC42=AO80)*DA3:DA42)+SUMPRODUCT((CZ3:CZ42=AO79)*(DC3:DC42=AO80)*DA3:DA42)</f>
        <v>0</v>
      </c>
      <c r="AU80" s="213">
        <f>AS80-AT80+1000</f>
        <v>1000</v>
      </c>
      <c r="AV80" s="213" t="str">
        <f t="shared" si="110"/>
        <v/>
      </c>
      <c r="AW80" s="213" t="str">
        <f>IF(AO80&lt;&gt;"",VLOOKUP(AO80,B4:H40,7,FALSE),"")</f>
        <v/>
      </c>
      <c r="AX80" s="213" t="str">
        <f>IF(AO80&lt;&gt;"",VLOOKUP(AO80,B4:H40,5,FALSE),"")</f>
        <v/>
      </c>
      <c r="AY80" s="213" t="str">
        <f>IF(AO80&lt;&gt;"",VLOOKUP(AO80,B4:J40,9,FALSE),"")</f>
        <v/>
      </c>
      <c r="AZ80" s="213" t="str">
        <f t="shared" si="111"/>
        <v/>
      </c>
      <c r="BA80" s="213" t="str">
        <f>IF(AO80&lt;&gt;"",RANK(AZ80,AZ77:AZ80),"")</f>
        <v/>
      </c>
      <c r="BB80" s="213" t="str">
        <f>IF(AO80&lt;&gt;"",SUMPRODUCT((AZ77:AZ80=AZ80)*(AU77:AU80&gt;AU80)),"")</f>
        <v/>
      </c>
      <c r="BC80" s="213" t="str">
        <f>IF(AO80&lt;&gt;"",SUMPRODUCT((AZ77:AZ80=AZ80)*(AU77:AU80=AU80)*(AS77:AS80&gt;AS80)),"")</f>
        <v/>
      </c>
      <c r="BD80" s="213" t="str">
        <f>IF(AO80&lt;&gt;"",SUMPRODUCT((AZ77:AZ80=AZ80)*(AU77:AU80=AU80)*(AS77:AS80=AS80)*(AW77:AW80&gt;AW80)),"")</f>
        <v/>
      </c>
      <c r="BE80" s="213" t="str">
        <f>IF(AO80&lt;&gt;"",SUMPRODUCT((AZ77:AZ80=AZ80)*(AU77:AU80=AU80)*(AS77:AS80=AS80)*(AW77:AW80=AW80)*(AX77:AX80&gt;AX80)),"")</f>
        <v/>
      </c>
      <c r="BF80" s="213" t="str">
        <f>IF(AO80&lt;&gt;"",SUMPRODUCT((AZ77:AZ80=AZ80)*(AU77:AU80=AU80)*(AS77:AS80=AS80)*(AW77:AW80=AW80)*(AX77:AX80=AX80)*(AY77:AY80&gt;AY80)),"")</f>
        <v/>
      </c>
      <c r="BG80" s="213" t="str">
        <f t="shared" si="112"/>
        <v/>
      </c>
    </row>
  </sheetData>
  <sheetProtection selectLockedCells="1" selectUnlockedCells="1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17</vt:i4>
      </vt:variant>
    </vt:vector>
  </HeadingPairs>
  <TitlesOfParts>
    <vt:vector size="21" baseType="lpstr">
      <vt:lpstr>Matches</vt:lpstr>
      <vt:lpstr>INTERNAL_USE_ONLY</vt:lpstr>
      <vt:lpstr>Setup | Game Regulation</vt:lpstr>
      <vt:lpstr>Dummy Table</vt:lpstr>
      <vt:lpstr>CurrentRound</vt:lpstr>
      <vt:lpstr>MaxROund</vt:lpstr>
      <vt:lpstr>PoolTeam</vt:lpstr>
      <vt:lpstr>Matches!Print_Area</vt:lpstr>
      <vt:lpstr>'Setup | Game Regulation'!Print_Area</vt:lpstr>
      <vt:lpstr>Qual3</vt:lpstr>
      <vt:lpstr>QualifiedCountries</vt:lpstr>
      <vt:lpstr>Round1</vt:lpstr>
      <vt:lpstr>Round2</vt:lpstr>
      <vt:lpstr>Round3</vt:lpstr>
      <vt:lpstr>Round4</vt:lpstr>
      <vt:lpstr>Round5</vt:lpstr>
      <vt:lpstr>Round6</vt:lpstr>
      <vt:lpstr>Round7</vt:lpstr>
      <vt:lpstr>TeamParticipant</vt:lpstr>
      <vt:lpstr>Teams</vt:lpstr>
      <vt:lpstr>Venues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AtlasEuro2020Pools</dc:title>
  <dc:creator>journalSHEET</dc:creator>
  <cp:lastModifiedBy>Luke Aarohi</cp:lastModifiedBy>
  <cp:lastPrinted>2021-06-02T07:28:15Z</cp:lastPrinted>
  <dcterms:created xsi:type="dcterms:W3CDTF">2021-04-26T08:42:41Z</dcterms:created>
  <dcterms:modified xsi:type="dcterms:W3CDTF">2021-06-26T13:34:19Z</dcterms:modified>
</cp:coreProperties>
</file>