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aarohi/pyfiles/EURO2020/phase_II/"/>
    </mc:Choice>
  </mc:AlternateContent>
  <xr:revisionPtr revIDLastSave="0" documentId="8_{50A99A80-25EB-AA46-B361-510524905B40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Matches!$M$48:$M$55</definedName>
    <definedName name="Round5">Matches!$M$56:$M$59</definedName>
    <definedName name="Round6">Matches!$M$60:$M$61</definedName>
    <definedName name="Round7">Matches!$M$62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4" l="1"/>
  <c r="B33" i="4"/>
  <c r="B31" i="4"/>
  <c r="B30" i="4"/>
  <c r="B29" i="4"/>
  <c r="B28" i="4"/>
  <c r="B24" i="4"/>
  <c r="B25" i="4"/>
  <c r="B26" i="4"/>
  <c r="B23" i="4"/>
  <c r="B20" i="4"/>
  <c r="B21" i="4"/>
  <c r="B22" i="4"/>
  <c r="B19" i="4"/>
  <c r="B11" i="4"/>
  <c r="B12" i="4"/>
  <c r="B13" i="4"/>
  <c r="B14" i="4"/>
  <c r="B15" i="4"/>
  <c r="B16" i="4"/>
  <c r="B17" i="4"/>
  <c r="B10" i="4"/>
  <c r="B3" i="4"/>
  <c r="B4" i="4"/>
  <c r="B5" i="4"/>
  <c r="B6" i="4"/>
  <c r="B7" i="4"/>
  <c r="B8" i="4"/>
  <c r="B9" i="4"/>
  <c r="B2" i="4"/>
  <c r="AI62" i="2"/>
  <c r="AH62" i="2"/>
  <c r="AH49" i="2"/>
  <c r="AI49" i="2"/>
  <c r="AH50" i="2"/>
  <c r="AI50" i="2"/>
  <c r="AH51" i="2"/>
  <c r="AI51" i="2"/>
  <c r="AH52" i="2"/>
  <c r="AI52" i="2"/>
  <c r="AH53" i="2"/>
  <c r="AI53" i="2"/>
  <c r="AH54" i="2"/>
  <c r="AI54" i="2"/>
  <c r="AH55" i="2"/>
  <c r="AI55" i="2"/>
  <c r="AH56" i="2"/>
  <c r="AI56" i="2"/>
  <c r="AH57" i="2"/>
  <c r="AI57" i="2"/>
  <c r="AH58" i="2"/>
  <c r="AI58" i="2"/>
  <c r="AH59" i="2"/>
  <c r="AI59" i="2"/>
  <c r="AH60" i="2"/>
  <c r="AI60" i="2"/>
  <c r="AH61" i="2"/>
  <c r="AI61" i="2"/>
  <c r="AI48" i="2"/>
  <c r="AH48" i="2"/>
  <c r="M46" i="2"/>
  <c r="AJ62" i="2" l="1"/>
  <c r="AK62" i="2"/>
  <c r="AJ60" i="2"/>
  <c r="AK60" i="2"/>
  <c r="AK61" i="2"/>
  <c r="AJ61" i="2"/>
  <c r="AK59" i="2"/>
  <c r="AJ59" i="2"/>
  <c r="AK58" i="2"/>
  <c r="AJ58" i="2"/>
  <c r="M58" i="2" s="1"/>
  <c r="AK57" i="2"/>
  <c r="AJ57" i="2"/>
  <c r="AJ56" i="2"/>
  <c r="AK56" i="2"/>
  <c r="E60" i="2" s="1"/>
  <c r="AK54" i="2"/>
  <c r="AJ54" i="2"/>
  <c r="AK55" i="2"/>
  <c r="AJ55" i="2"/>
  <c r="AJ53" i="2"/>
  <c r="AK53" i="2"/>
  <c r="AJ52" i="2"/>
  <c r="AK52" i="2"/>
  <c r="AJ48" i="2"/>
  <c r="AK48" i="2"/>
  <c r="AK49" i="2"/>
  <c r="AJ49" i="2"/>
  <c r="AJ50" i="2"/>
  <c r="AK50" i="2"/>
  <c r="M50" i="2" s="1"/>
  <c r="AJ51" i="2"/>
  <c r="AK51" i="2"/>
  <c r="M53" i="2"/>
  <c r="M52" i="2"/>
  <c r="M55" i="2"/>
  <c r="E59" i="2"/>
  <c r="A22" i="4" s="1"/>
  <c r="E56" i="2"/>
  <c r="H56" i="2"/>
  <c r="DC38" i="3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62" i="2"/>
  <c r="A61" i="2"/>
  <c r="A59" i="2"/>
  <c r="A55" i="2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M60" i="2" l="1"/>
  <c r="E62" i="2"/>
  <c r="M62" i="2" s="1"/>
  <c r="M54" i="2"/>
  <c r="M56" i="2"/>
  <c r="E61" i="2"/>
  <c r="H59" i="2"/>
  <c r="M59" i="2" s="1"/>
  <c r="E57" i="2"/>
  <c r="E58" i="2"/>
  <c r="A21" i="4" s="1"/>
  <c r="M51" i="2"/>
  <c r="DD26" i="3"/>
  <c r="DE26" i="3" s="1"/>
  <c r="DD30" i="3"/>
  <c r="DE30" i="3" s="1"/>
  <c r="DD32" i="3"/>
  <c r="DE32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A20" i="4" l="1"/>
  <c r="M57" i="2"/>
  <c r="H60" i="2"/>
  <c r="H61" i="2"/>
  <c r="H62" i="2" s="1"/>
  <c r="CE7" i="3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M61" i="2" l="1"/>
  <c r="I27" i="3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P6" i="3"/>
  <c r="BT6" i="3" s="1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V34" i="3" s="1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V33" i="3" l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AA19" i="3" s="1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B18" i="3" s="1"/>
  <c r="AF18" i="3" s="1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BW6" i="3"/>
  <c r="BY6" i="3"/>
  <c r="BU6" i="3"/>
  <c r="BZ6" i="3"/>
  <c r="BV6" i="3"/>
  <c r="BX6" i="3"/>
  <c r="BV7" i="3"/>
  <c r="BX7" i="3"/>
  <c r="BZ7" i="3"/>
  <c r="BW7" i="3"/>
  <c r="BU7" i="3"/>
  <c r="AB34" i="3"/>
  <c r="AF34" i="3" s="1"/>
  <c r="AB33" i="3"/>
  <c r="AF33" i="3" s="1"/>
  <c r="AU33" i="3"/>
  <c r="AB21" i="3"/>
  <c r="AF21" i="3" s="1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U34" i="3" s="1"/>
  <c r="BO34" i="3"/>
  <c r="AA34" i="3"/>
  <c r="AA21" i="3"/>
  <c r="AU34" i="3"/>
  <c r="AN74" i="3" s="1"/>
  <c r="AO74" i="3" s="1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A20" i="3" l="1"/>
  <c r="X26" i="3"/>
  <c r="AA18" i="3"/>
  <c r="AB20" i="3"/>
  <c r="AF20" i="3" s="1"/>
  <c r="Y25" i="3"/>
  <c r="X25" i="3"/>
  <c r="W28" i="3"/>
  <c r="Z25" i="3"/>
  <c r="AA25" i="3" s="1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AB26" i="3" s="1"/>
  <c r="AF26" i="3" s="1"/>
  <c r="Z27" i="3"/>
  <c r="AE27" i="3"/>
  <c r="W27" i="3"/>
  <c r="AB27" i="3" s="1"/>
  <c r="AF27" i="3" s="1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X74" i="3"/>
  <c r="AB28" i="3"/>
  <c r="AF28" i="3" s="1"/>
  <c r="AB25" i="3"/>
  <c r="AF25" i="3" s="1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R74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AB38" i="3" s="1"/>
  <c r="AF38" i="3" s="1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AB13" i="3" s="1"/>
  <c r="AF13" i="3" s="1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7" i="3"/>
  <c r="CA6" i="3"/>
  <c r="AI20" i="3"/>
  <c r="T58" i="3"/>
  <c r="U58" i="3" s="1"/>
  <c r="AD58" i="3" s="1"/>
  <c r="T74" i="3"/>
  <c r="U74" i="3" s="1"/>
  <c r="AH18" i="3"/>
  <c r="AI18" i="3"/>
  <c r="AK18" i="3"/>
  <c r="AJ18" i="3"/>
  <c r="AL18" i="3"/>
  <c r="AG18" i="3"/>
  <c r="AF31" i="3"/>
  <c r="AL33" i="3" s="1"/>
  <c r="T71" i="3"/>
  <c r="U71" i="3" s="1"/>
  <c r="T72" i="3"/>
  <c r="U72" i="3" s="1"/>
  <c r="T73" i="3"/>
  <c r="U73" i="3" s="1"/>
  <c r="T61" i="3"/>
  <c r="U61" i="3" s="1"/>
  <c r="AJ20" i="3"/>
  <c r="T60" i="3"/>
  <c r="U60" i="3" s="1"/>
  <c r="AJ21" i="3"/>
  <c r="AG21" i="3"/>
  <c r="AL21" i="3"/>
  <c r="AI21" i="3"/>
  <c r="AH21" i="3"/>
  <c r="AK21" i="3"/>
  <c r="AK20" i="3"/>
  <c r="AI19" i="3"/>
  <c r="AK19" i="3"/>
  <c r="AJ19" i="3"/>
  <c r="AL19" i="3"/>
  <c r="AG19" i="3"/>
  <c r="AH19" i="3"/>
  <c r="T59" i="3"/>
  <c r="U59" i="3" s="1"/>
  <c r="AL20" i="3"/>
  <c r="AH20" i="3"/>
  <c r="AG20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A26" i="3" l="1"/>
  <c r="AA27" i="3"/>
  <c r="CA13" i="3"/>
  <c r="CB14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T67" i="3"/>
  <c r="U67" i="3" s="1"/>
  <c r="AE67" i="3" s="1"/>
  <c r="T68" i="3"/>
  <c r="U68" i="3" s="1"/>
  <c r="AC68" i="3" s="1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CB13" i="3"/>
  <c r="AH26" i="3"/>
  <c r="AT66" i="3"/>
  <c r="AY68" i="3"/>
  <c r="AS66" i="3"/>
  <c r="AG4" i="3"/>
  <c r="T66" i="3"/>
  <c r="U66" i="3" s="1"/>
  <c r="AC66" i="3" s="1"/>
  <c r="AG7" i="3"/>
  <c r="AI26" i="3"/>
  <c r="AR68" i="3"/>
  <c r="AL4" i="3"/>
  <c r="T65" i="3"/>
  <c r="U65" i="3" s="1"/>
  <c r="AL7" i="3"/>
  <c r="AX68" i="3"/>
  <c r="T45" i="3"/>
  <c r="U45" i="3" s="1"/>
  <c r="AE45" i="3" s="1"/>
  <c r="AJ6" i="3"/>
  <c r="AU20" i="3"/>
  <c r="AS68" i="3"/>
  <c r="AV19" i="3"/>
  <c r="AZ19" i="3" s="1"/>
  <c r="AU21" i="3"/>
  <c r="AN61" i="3" s="1"/>
  <c r="AO61" i="3" s="1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I27" i="3"/>
  <c r="AB12" i="3"/>
  <c r="AF12" i="3" s="1"/>
  <c r="AA12" i="3"/>
  <c r="AA14" i="3"/>
  <c r="AB11" i="3"/>
  <c r="AG27" i="3"/>
  <c r="CB6" i="3"/>
  <c r="CB7" i="3"/>
  <c r="AL27" i="3"/>
  <c r="AG26" i="3"/>
  <c r="AL26" i="3"/>
  <c r="AJ27" i="3"/>
  <c r="AI28" i="3"/>
  <c r="AC58" i="3"/>
  <c r="AL32" i="3"/>
  <c r="AI32" i="3"/>
  <c r="W58" i="3"/>
  <c r="AG32" i="3"/>
  <c r="AI34" i="3"/>
  <c r="AC67" i="3"/>
  <c r="AD67" i="3"/>
  <c r="AE58" i="3"/>
  <c r="AE60" i="3"/>
  <c r="AD60" i="3"/>
  <c r="AC60" i="3"/>
  <c r="X60" i="3"/>
  <c r="W60" i="3"/>
  <c r="Z60" i="3"/>
  <c r="Y60" i="3"/>
  <c r="V60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Z58" i="3"/>
  <c r="T57" i="3"/>
  <c r="AK33" i="3"/>
  <c r="AD59" i="3"/>
  <c r="AE59" i="3"/>
  <c r="AC59" i="3"/>
  <c r="V59" i="3"/>
  <c r="W59" i="3"/>
  <c r="X59" i="3"/>
  <c r="Z59" i="3"/>
  <c r="Y59" i="3"/>
  <c r="Y58" i="3"/>
  <c r="AK31" i="3"/>
  <c r="AJ31" i="3"/>
  <c r="AL31" i="3"/>
  <c r="AG31" i="3"/>
  <c r="AH31" i="3"/>
  <c r="AI31" i="3"/>
  <c r="AG34" i="3"/>
  <c r="AG33" i="3"/>
  <c r="AH25" i="3"/>
  <c r="AI25" i="3"/>
  <c r="AK25" i="3"/>
  <c r="AJ25" i="3"/>
  <c r="AL25" i="3"/>
  <c r="AG25" i="3"/>
  <c r="AG28" i="3"/>
  <c r="AK27" i="3"/>
  <c r="AH34" i="3"/>
  <c r="AL28" i="3"/>
  <c r="AJ32" i="3"/>
  <c r="AH28" i="3"/>
  <c r="AE61" i="3"/>
  <c r="AD61" i="3"/>
  <c r="X61" i="3"/>
  <c r="W61" i="3"/>
  <c r="Z61" i="3"/>
  <c r="AC61" i="3"/>
  <c r="V61" i="3"/>
  <c r="Y61" i="3"/>
  <c r="AJ26" i="3"/>
  <c r="AE73" i="3"/>
  <c r="AC73" i="3"/>
  <c r="W73" i="3"/>
  <c r="V73" i="3"/>
  <c r="Y73" i="3"/>
  <c r="X73" i="3"/>
  <c r="AD73" i="3"/>
  <c r="Z73" i="3"/>
  <c r="AK28" i="3"/>
  <c r="V58" i="3"/>
  <c r="AL34" i="3"/>
  <c r="AH33" i="3"/>
  <c r="AH27" i="3"/>
  <c r="AH32" i="3"/>
  <c r="AK32" i="3"/>
  <c r="AK34" i="3"/>
  <c r="AK26" i="3"/>
  <c r="AD72" i="3"/>
  <c r="AE72" i="3"/>
  <c r="AC72" i="3"/>
  <c r="W72" i="3"/>
  <c r="Y72" i="3"/>
  <c r="X72" i="3"/>
  <c r="V72" i="3"/>
  <c r="Z72" i="3"/>
  <c r="AE66" i="3"/>
  <c r="AJ28" i="3"/>
  <c r="X58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E68" i="3" l="1"/>
  <c r="AD68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Z68" i="3"/>
  <c r="AC45" i="3"/>
  <c r="V66" i="3"/>
  <c r="AD66" i="3"/>
  <c r="W66" i="3"/>
  <c r="AG39" i="3"/>
  <c r="Y66" i="3"/>
  <c r="V68" i="3"/>
  <c r="W68" i="3"/>
  <c r="V65" i="3"/>
  <c r="Y67" i="3"/>
  <c r="X68" i="3"/>
  <c r="V67" i="3"/>
  <c r="Z66" i="3"/>
  <c r="X66" i="3"/>
  <c r="X67" i="3"/>
  <c r="CB27" i="3"/>
  <c r="X65" i="3"/>
  <c r="AN70" i="3"/>
  <c r="AU73" i="3"/>
  <c r="Y65" i="3"/>
  <c r="W65" i="3"/>
  <c r="Y68" i="3"/>
  <c r="Z67" i="3"/>
  <c r="AE65" i="3"/>
  <c r="AE44" i="3"/>
  <c r="AD65" i="3"/>
  <c r="AD44" i="3"/>
  <c r="AC65" i="3"/>
  <c r="Z65" i="3"/>
  <c r="W67" i="3"/>
  <c r="V47" i="3"/>
  <c r="Z44" i="3"/>
  <c r="X47" i="3"/>
  <c r="T43" i="3"/>
  <c r="AV73" i="3"/>
  <c r="AZ73" i="3" s="1"/>
  <c r="AV72" i="3"/>
  <c r="AZ72" i="3" s="1"/>
  <c r="BA74" i="3" s="1"/>
  <c r="AU74" i="3"/>
  <c r="BD74" i="3" s="1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T64" i="3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BB40" i="3"/>
  <c r="BE40" i="3"/>
  <c r="BA40" i="3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AB58" i="3"/>
  <c r="AF58" i="3" s="1"/>
  <c r="AB68" i="3"/>
  <c r="AF68" i="3" s="1"/>
  <c r="AB59" i="3"/>
  <c r="AF5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AA58" i="3"/>
  <c r="CB33" i="3"/>
  <c r="T70" i="3"/>
  <c r="AA61" i="3"/>
  <c r="AA59" i="3"/>
  <c r="AB61" i="3"/>
  <c r="AF61" i="3" s="1"/>
  <c r="AA71" i="3"/>
  <c r="AA73" i="3"/>
  <c r="AB73" i="3"/>
  <c r="AF73" i="3" s="1"/>
  <c r="AA74" i="3"/>
  <c r="AB74" i="3"/>
  <c r="AF74" i="3" s="1"/>
  <c r="AA60" i="3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B46" i="3" l="1"/>
  <c r="AF46" i="3" s="1"/>
  <c r="AA46" i="3"/>
  <c r="AA68" i="3"/>
  <c r="AR61" i="3"/>
  <c r="AQ61" i="3"/>
  <c r="AV61" i="3" s="1"/>
  <c r="AZ61" i="3" s="1"/>
  <c r="AP61" i="3"/>
  <c r="BC74" i="3"/>
  <c r="BF74" i="3"/>
  <c r="BE74" i="3"/>
  <c r="BB74" i="3"/>
  <c r="BG74" i="3" s="1"/>
  <c r="BG34" i="3" s="1"/>
  <c r="AB66" i="3"/>
  <c r="AF66" i="3" s="1"/>
  <c r="AA67" i="3"/>
  <c r="BD14" i="3"/>
  <c r="AB65" i="3"/>
  <c r="AF65" i="3" s="1"/>
  <c r="BB14" i="3"/>
  <c r="BA14" i="3"/>
  <c r="AA65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A66" i="3"/>
  <c r="AB45" i="3"/>
  <c r="AF45" i="3" s="1"/>
  <c r="AG44" i="3" s="1"/>
  <c r="AB44" i="3"/>
  <c r="AF44" i="3" s="1"/>
  <c r="AB47" i="3"/>
  <c r="AF47" i="3" s="1"/>
  <c r="AB67" i="3"/>
  <c r="AF6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G65" i="3"/>
  <c r="AI60" i="3"/>
  <c r="AG67" i="3"/>
  <c r="AH61" i="3"/>
  <c r="AG74" i="3"/>
  <c r="AG59" i="3"/>
  <c r="AG68" i="3"/>
  <c r="AK59" i="3"/>
  <c r="AH72" i="3"/>
  <c r="AK61" i="3"/>
  <c r="AL67" i="3"/>
  <c r="AL58" i="3"/>
  <c r="AG71" i="3"/>
  <c r="AH58" i="3"/>
  <c r="AH59" i="3"/>
  <c r="AG66" i="3"/>
  <c r="AG46" i="3"/>
  <c r="AJ58" i="3"/>
  <c r="AL60" i="3"/>
  <c r="AK58" i="3"/>
  <c r="AG47" i="3"/>
  <c r="AG73" i="3"/>
  <c r="AG45" i="3"/>
  <c r="AH47" i="3"/>
  <c r="AK60" i="3"/>
  <c r="AJ61" i="3"/>
  <c r="AJ60" i="3"/>
  <c r="AK66" i="3"/>
  <c r="AG72" i="3"/>
  <c r="AL59" i="3"/>
  <c r="AL66" i="3"/>
  <c r="AI66" i="3"/>
  <c r="AI65" i="3"/>
  <c r="AJ65" i="3"/>
  <c r="AJ68" i="3"/>
  <c r="AI67" i="3"/>
  <c r="AH60" i="3"/>
  <c r="AK74" i="3"/>
  <c r="AK73" i="3"/>
  <c r="AJ72" i="3"/>
  <c r="AL74" i="3"/>
  <c r="AI73" i="3"/>
  <c r="AH45" i="3"/>
  <c r="AJ67" i="3"/>
  <c r="AK46" i="3"/>
  <c r="AL71" i="3"/>
  <c r="AH74" i="3"/>
  <c r="AL73" i="3"/>
  <c r="AK71" i="3"/>
  <c r="AJ74" i="3"/>
  <c r="AI61" i="3"/>
  <c r="AI59" i="3"/>
  <c r="AH66" i="3"/>
  <c r="AL68" i="3"/>
  <c r="AK65" i="3"/>
  <c r="AH67" i="3"/>
  <c r="AK72" i="3"/>
  <c r="AH71" i="3"/>
  <c r="AJ71" i="3"/>
  <c r="AH73" i="3"/>
  <c r="AI71" i="3"/>
  <c r="AH46" i="3"/>
  <c r="AJ59" i="3"/>
  <c r="AL61" i="3"/>
  <c r="AL65" i="3"/>
  <c r="AH65" i="3"/>
  <c r="AJ73" i="3"/>
  <c r="AI72" i="3"/>
  <c r="AL72" i="3"/>
  <c r="AI74" i="3"/>
  <c r="AV47" i="3"/>
  <c r="AZ47" i="3" s="1"/>
  <c r="AV46" i="3"/>
  <c r="AZ46" i="3" s="1"/>
  <c r="AU47" i="3"/>
  <c r="AU46" i="3"/>
  <c r="AU45" i="3"/>
  <c r="AH68" i="3" l="1"/>
  <c r="AK68" i="3"/>
  <c r="AJ46" i="3"/>
  <c r="AI68" i="3"/>
  <c r="AK67" i="3"/>
  <c r="AK44" i="3"/>
  <c r="AK45" i="3"/>
  <c r="AJ66" i="3"/>
  <c r="AM66" i="3" s="1"/>
  <c r="AM26" i="3" s="1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M44" i="3" s="1"/>
  <c r="AM4" i="3" s="1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47" i="3"/>
  <c r="AM7" i="3" s="1"/>
  <c r="AM59" i="3"/>
  <c r="AM19" i="3" s="1"/>
  <c r="AM65" i="3"/>
  <c r="AM25" i="3" s="1"/>
  <c r="AM71" i="3"/>
  <c r="AM31" i="3" s="1"/>
  <c r="AM67" i="3"/>
  <c r="AM27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M46" i="3" l="1"/>
  <c r="AM6" i="3" s="1"/>
  <c r="AM68" i="3"/>
  <c r="AM28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8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N26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4" i="3"/>
  <c r="CW4" i="3" s="1"/>
  <c r="AN5" i="3"/>
  <c r="AN27" i="3"/>
  <c r="AN18" i="3"/>
  <c r="CW18" i="3" s="1"/>
  <c r="AN20" i="3"/>
  <c r="AN33" i="3"/>
  <c r="AN25" i="3"/>
  <c r="CW25" i="3" s="1"/>
  <c r="AN6" i="3"/>
  <c r="AN7" i="3"/>
  <c r="AN31" i="3"/>
  <c r="CW31" i="3" s="1"/>
  <c r="AN32" i="3"/>
  <c r="BG46" i="3"/>
  <c r="BG6" i="3" s="1"/>
  <c r="BG47" i="3"/>
  <c r="BG7" i="3" s="1"/>
  <c r="CW34" i="3" l="1"/>
  <c r="BG61" i="3"/>
  <c r="BG21" i="3" s="1"/>
  <c r="CW32" i="3"/>
  <c r="BG54" i="3"/>
  <c r="BG14" i="3" s="1"/>
  <c r="BG52" i="3"/>
  <c r="BG12" i="3" s="1"/>
  <c r="BG53" i="3"/>
  <c r="BG13" i="3" s="1"/>
  <c r="CW28" i="3"/>
  <c r="A31" i="3"/>
  <c r="BG79" i="3"/>
  <c r="BG39" i="3" s="1"/>
  <c r="BG80" i="3"/>
  <c r="BG40" i="3" s="1"/>
  <c r="CW33" i="3"/>
  <c r="BG59" i="3"/>
  <c r="BG19" i="3" s="1"/>
  <c r="BG60" i="3"/>
  <c r="BG20" i="3" s="1"/>
  <c r="CW27" i="3"/>
  <c r="CW26" i="3"/>
  <c r="BG78" i="3"/>
  <c r="BG38" i="3" s="1"/>
  <c r="BH7" i="3"/>
  <c r="CW7" i="3" s="1"/>
  <c r="BH5" i="3"/>
  <c r="CW5" i="3" s="1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CW6" i="3" s="1"/>
  <c r="A33" i="3" l="1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A27" i="3"/>
  <c r="A25" i="3"/>
  <c r="A28" i="3"/>
  <c r="A26" i="3"/>
  <c r="BH40" i="3"/>
  <c r="BH39" i="3"/>
  <c r="A4" i="3"/>
  <c r="A5" i="3"/>
  <c r="AN40" i="3"/>
  <c r="AN39" i="3"/>
  <c r="AN37" i="3"/>
  <c r="CW37" i="3" s="1"/>
  <c r="AN38" i="3"/>
  <c r="AN13" i="3"/>
  <c r="AN12" i="3"/>
  <c r="AN11" i="3"/>
  <c r="CW11" i="3" s="1"/>
  <c r="A6" i="3"/>
  <c r="A7" i="3"/>
  <c r="CW13" i="3" l="1"/>
  <c r="CW14" i="3"/>
  <c r="CW12" i="3"/>
  <c r="A13" i="3" s="1"/>
  <c r="P33" i="2"/>
  <c r="W33" i="2" s="1"/>
  <c r="DK7" i="3" s="1"/>
  <c r="DW30" i="3"/>
  <c r="P31" i="2"/>
  <c r="P34" i="2"/>
  <c r="U34" i="2" s="1"/>
  <c r="A20" i="3"/>
  <c r="A18" i="3"/>
  <c r="DW31" i="3"/>
  <c r="P32" i="2"/>
  <c r="W32" i="2" s="1"/>
  <c r="CW38" i="3"/>
  <c r="CW39" i="3"/>
  <c r="A19" i="3"/>
  <c r="A21" i="3"/>
  <c r="P26" i="2"/>
  <c r="U26" i="2" s="1"/>
  <c r="DW28" i="3"/>
  <c r="P28" i="2"/>
  <c r="U28" i="2" s="1"/>
  <c r="DI6" i="3" s="1"/>
  <c r="P27" i="2"/>
  <c r="U27" i="2" s="1"/>
  <c r="DW29" i="3"/>
  <c r="P29" i="2"/>
  <c r="Z29" i="2" s="1"/>
  <c r="CW40" i="3"/>
  <c r="P12" i="2"/>
  <c r="U12" i="2" s="1"/>
  <c r="P13" i="2"/>
  <c r="Z13" i="2" s="1"/>
  <c r="DM3" i="3" s="1"/>
  <c r="P14" i="2"/>
  <c r="W14" i="2" s="1"/>
  <c r="DW23" i="3"/>
  <c r="P11" i="2"/>
  <c r="V11" i="2" s="1"/>
  <c r="DW22" i="3"/>
  <c r="A14" i="3" l="1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W22" i="2" s="1"/>
  <c r="P21" i="2"/>
  <c r="DW26" i="3"/>
  <c r="X32" i="2"/>
  <c r="Z32" i="2"/>
  <c r="U32" i="2"/>
  <c r="A39" i="3"/>
  <c r="A38" i="3"/>
  <c r="P23" i="2"/>
  <c r="Z23" i="2" s="1"/>
  <c r="DM5" i="3" s="1"/>
  <c r="W26" i="2"/>
  <c r="DW27" i="3"/>
  <c r="P24" i="2"/>
  <c r="V24" i="2" s="1"/>
  <c r="W29" i="2"/>
  <c r="X26" i="2"/>
  <c r="V26" i="2"/>
  <c r="Z26" i="2"/>
  <c r="V28" i="2"/>
  <c r="DJ6" i="3" s="1"/>
  <c r="X29" i="2"/>
  <c r="AA29" i="2" s="1"/>
  <c r="V29" i="2"/>
  <c r="DH6" i="3"/>
  <c r="DP6" i="3" s="1"/>
  <c r="W28" i="2"/>
  <c r="DK6" i="3" s="1"/>
  <c r="U29" i="2"/>
  <c r="X28" i="2"/>
  <c r="DL6" i="3" s="1"/>
  <c r="Z28" i="2"/>
  <c r="DM6" i="3" s="1"/>
  <c r="W27" i="2"/>
  <c r="X27" i="2"/>
  <c r="Z27" i="2"/>
  <c r="V27" i="2"/>
  <c r="A40" i="3"/>
  <c r="Z12" i="2"/>
  <c r="V12" i="2"/>
  <c r="AB12" i="2" s="1"/>
  <c r="W12" i="2"/>
  <c r="X12" i="2"/>
  <c r="V13" i="2"/>
  <c r="DJ3" i="3" s="1"/>
  <c r="X14" i="2"/>
  <c r="DH3" i="3"/>
  <c r="DP3" i="3" s="1"/>
  <c r="U14" i="2"/>
  <c r="U11" i="2"/>
  <c r="AB11" i="2" s="1"/>
  <c r="Z14" i="2"/>
  <c r="V14" i="2"/>
  <c r="W13" i="2"/>
  <c r="DK3" i="3" s="1"/>
  <c r="X13" i="2"/>
  <c r="AA13" i="2" s="1"/>
  <c r="DN3" i="3" s="1"/>
  <c r="U13" i="2"/>
  <c r="W11" i="2"/>
  <c r="X11" i="2"/>
  <c r="Z11" i="2"/>
  <c r="P17" i="2" l="1"/>
  <c r="X17" i="2" s="1"/>
  <c r="P16" i="2"/>
  <c r="V16" i="2" s="1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V36" i="2" s="1"/>
  <c r="T31" i="2"/>
  <c r="AB31" i="2"/>
  <c r="AB34" i="2"/>
  <c r="AA32" i="2"/>
  <c r="T32" i="2"/>
  <c r="Z22" i="2"/>
  <c r="V22" i="2"/>
  <c r="V21" i="2"/>
  <c r="U21" i="2"/>
  <c r="Z21" i="2"/>
  <c r="W21" i="2"/>
  <c r="X21" i="2"/>
  <c r="T26" i="2"/>
  <c r="DW33" i="3"/>
  <c r="P39" i="2"/>
  <c r="U39" i="2" s="1"/>
  <c r="P37" i="2"/>
  <c r="Z37" i="2" s="1"/>
  <c r="DH5" i="3"/>
  <c r="DP5" i="3" s="1"/>
  <c r="V23" i="2"/>
  <c r="DJ5" i="3" s="1"/>
  <c r="U23" i="2"/>
  <c r="DI5" i="3" s="1"/>
  <c r="AB28" i="2"/>
  <c r="DO6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26" i="2"/>
  <c r="AB26" i="2"/>
  <c r="T28" i="2"/>
  <c r="T29" i="2"/>
  <c r="AB29" i="2"/>
  <c r="AA28" i="2"/>
  <c r="DN6" i="3" s="1"/>
  <c r="T27" i="2"/>
  <c r="AA27" i="2"/>
  <c r="AA12" i="2"/>
  <c r="AB27" i="2"/>
  <c r="T12" i="2"/>
  <c r="AB14" i="2"/>
  <c r="DL3" i="3"/>
  <c r="T11" i="2"/>
  <c r="AB13" i="2"/>
  <c r="DO3" i="3" s="1"/>
  <c r="AA14" i="2"/>
  <c r="DI3" i="3"/>
  <c r="AA11" i="2"/>
  <c r="T14" i="2"/>
  <c r="T13" i="2"/>
  <c r="H52" i="2" l="1"/>
  <c r="U17" i="2"/>
  <c r="Z17" i="2"/>
  <c r="AA17" i="2" s="1"/>
  <c r="W17" i="2"/>
  <c r="V17" i="2"/>
  <c r="X16" i="2"/>
  <c r="Z16" i="2"/>
  <c r="DH4" i="3"/>
  <c r="DP4" i="3" s="1"/>
  <c r="X18" i="2"/>
  <c r="DL4" i="3" s="1"/>
  <c r="V18" i="2"/>
  <c r="DJ4" i="3" s="1"/>
  <c r="U16" i="2"/>
  <c r="AB16" i="2" s="1"/>
  <c r="W16" i="2"/>
  <c r="W19" i="2"/>
  <c r="W18" i="2"/>
  <c r="DK4" i="3" s="1"/>
  <c r="V19" i="2"/>
  <c r="U18" i="2"/>
  <c r="U19" i="2"/>
  <c r="X19" i="2"/>
  <c r="AA19" i="2" s="1"/>
  <c r="T22" i="2"/>
  <c r="Z36" i="2"/>
  <c r="U36" i="2"/>
  <c r="AB36" i="2" s="1"/>
  <c r="X36" i="2"/>
  <c r="AA22" i="2"/>
  <c r="A14" i="4"/>
  <c r="E55" i="2"/>
  <c r="A9" i="4" s="1"/>
  <c r="W36" i="2"/>
  <c r="AB22" i="2"/>
  <c r="AA21" i="2"/>
  <c r="AB21" i="2"/>
  <c r="T21" i="2"/>
  <c r="W39" i="2"/>
  <c r="V39" i="2"/>
  <c r="AB39" i="2" s="1"/>
  <c r="Z39" i="2"/>
  <c r="X39" i="2"/>
  <c r="X37" i="2"/>
  <c r="AA37" i="2" s="1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E52" i="2"/>
  <c r="E54" i="2"/>
  <c r="A8" i="4" s="1"/>
  <c r="E49" i="2"/>
  <c r="A3" i="4" s="1"/>
  <c r="E48" i="2"/>
  <c r="AB17" i="2" l="1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6" i="4"/>
  <c r="A23" i="4"/>
  <c r="AA39" i="2"/>
  <c r="T39" i="2"/>
  <c r="AB37" i="2"/>
  <c r="T37" i="2"/>
  <c r="E50" i="2"/>
  <c r="T38" i="2"/>
  <c r="AA38" i="2"/>
  <c r="DN8" i="3" s="1"/>
  <c r="H49" i="2"/>
  <c r="DI8" i="3"/>
  <c r="AB38" i="2"/>
  <c r="DO8" i="3" s="1"/>
  <c r="A2" i="4"/>
  <c r="M49" i="2" l="1"/>
  <c r="H57" i="2"/>
  <c r="DQ4" i="3"/>
  <c r="H48" i="2"/>
  <c r="E51" i="2"/>
  <c r="A5" i="4" s="1"/>
  <c r="A11" i="4"/>
  <c r="A4" i="4"/>
  <c r="E53" i="2"/>
  <c r="DQ5" i="3"/>
  <c r="H54" i="2"/>
  <c r="DQ8" i="3"/>
  <c r="DQ6" i="3"/>
  <c r="DQ7" i="3"/>
  <c r="DQ3" i="3"/>
  <c r="A10" i="4" l="1"/>
  <c r="M48" i="2"/>
  <c r="H58" i="2"/>
  <c r="A25" i="4" s="1"/>
  <c r="A7" i="4"/>
  <c r="A16" i="4"/>
  <c r="A24" i="4"/>
  <c r="A30" i="4"/>
  <c r="A29" i="4"/>
  <c r="DR8" i="3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A26" i="4" l="1"/>
  <c r="A19" i="4"/>
  <c r="DU4" i="3"/>
  <c r="DU7" i="3"/>
  <c r="DU8" i="3"/>
  <c r="DU6" i="3"/>
  <c r="DU3" i="3"/>
  <c r="DU5" i="3"/>
  <c r="DW16" i="3" l="1"/>
  <c r="A31" i="4"/>
  <c r="A28" i="4"/>
  <c r="A33" i="4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V45" i="2" s="1"/>
  <c r="DW14" i="3"/>
  <c r="P48" i="2"/>
  <c r="U48" i="2" s="1"/>
  <c r="P43" i="2"/>
  <c r="U43" i="2" s="1"/>
  <c r="AC46" i="2"/>
  <c r="DT12" i="3" s="1"/>
  <c r="DT26" i="3" s="1"/>
  <c r="AC48" i="2"/>
  <c r="P46" i="2"/>
  <c r="V46" i="2" s="1"/>
  <c r="AC44" i="2"/>
  <c r="DR12" i="3" s="1"/>
  <c r="DR27" i="3" s="1"/>
  <c r="P44" i="2"/>
  <c r="B64" i="2" l="1"/>
  <c r="A36" i="4" s="1"/>
  <c r="A34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H50" i="2"/>
  <c r="A12" i="4" s="1"/>
  <c r="DU24" i="3"/>
  <c r="H55" i="2" l="1"/>
  <c r="A17" i="4" s="1"/>
  <c r="H51" i="2"/>
  <c r="A13" i="4" s="1"/>
  <c r="H53" i="2"/>
  <c r="A15" i="4" s="1"/>
  <c r="DW20" i="3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<sst xmlns="http://schemas.openxmlformats.org/spreadsheetml/2006/main" count="577" uniqueCount="122">
  <si>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</si>
  <si>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</si>
  <si>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</si>
  <si>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</si>
  <si>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</si>
  <si>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</si>
  <si>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</si>
  <si>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</si>
  <si>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</si>
  <si>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</si>
  <si>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</si>
  <si>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</si>
  <si>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</si>
  <si>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</si>
  <si>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</si>
  <si>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</si>
  <si>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</si>
  <si>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</si>
  <si>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</si>
  <si>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</si>
  <si>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</si>
  <si>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</si>
  <si>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</si>
  <si>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</si>
  <si>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</si>
  <si>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</si>
  <si>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</si>
  <si>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</si>
  <si>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</si>
  <si>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</si>
  <si>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</si>
  <si>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</si>
  <si>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</si>
  <si>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</si>
  <si>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</si>
  <si>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</si>
  <si>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</si>
  <si>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</si>
  <si>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</si>
  <si>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</si>
  <si>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</si>
  <si>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</si>
  <si>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</si>
  <si>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</si>
  <si>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</si>
  <si>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</si>
  <si>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</si>
  <si>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</si>
  <si>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</si>
  <si>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</si>
  <si>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</si>
  <si>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</si>
  <si>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</si>
  <si>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</si>
  <si>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</si>
  <si>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R16</t>
  </si>
  <si>
    <t>QF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</si>
  <si>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</si>
  <si>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</si>
  <si>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</si>
  <si>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</si>
  <si>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</si>
  <si>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</si>
  <si>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</si>
  <si>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</si>
  <si>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</si>
  <si>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</si>
  <si>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</si>
  <si>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</si>
  <si>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</si>
  <si>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</si>
  <si>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</si>
  <si>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</si>
  <si>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</si>
  <si>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</si>
  <si>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</si>
  <si>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</si>
  <si>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</si>
  <si>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</si>
  <si>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</si>
  <si>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</si>
  <si>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</si>
  <si>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</si>
  <si>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</si>
  <si>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</si>
  <si>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</si>
  <si>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</si>
  <si>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</si>
  <si>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</si>
  <si>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</si>
  <si>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</si>
  <si>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</si>
  <si>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</si>
  <si>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</si>
  <si>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</si>
  <si>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</si>
  <si>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</si>
  <si>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</si>
  <si>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</si>
  <si>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</si>
  <si>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</si>
  <si>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</si>
  <si>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</si>
  <si>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</si>
  <si>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</si>
  <si>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</si>
  <si>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</si>
  <si>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</si>
  <si>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</si>
  <si>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Name of participant:</t>
  </si>
  <si>
    <t>Winner</t>
  </si>
  <si>
    <t>10 Points for correct score (only if teams are correct)</t>
  </si>
  <si>
    <t>10 points for each correct Quarter Finalist</t>
  </si>
  <si>
    <t>20 points for each correct Semi Finalist</t>
  </si>
  <si>
    <t>30 points for each correct Finalist</t>
  </si>
  <si>
    <t>26 Jun 2021 1700hrs (5pm)</t>
  </si>
  <si>
    <t>Euro 2020 (2021) CxF Pools</t>
  </si>
  <si>
    <t>Group Stages</t>
  </si>
  <si>
    <t>KO Stages:  Input score after 90 minutes. (If draw put an * next to team you think will proceed. Example: 1* - 1 )</t>
  </si>
  <si>
    <t>1*</t>
  </si>
  <si>
    <t>50 points for the correct Winner</t>
  </si>
  <si>
    <t>Liam Grech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</si>
</sst>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3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4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</cellStyleXfs>
  <cellXfs count="287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26" fillId="3" borderId="3" xfId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164" fontId="26" fillId="3" borderId="4" xfId="1" applyNumberFormat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right" vertical="center"/>
      <protection hidden="1"/>
    </xf>
    <xf numFmtId="0" fontId="26" fillId="3" borderId="4" xfId="1" applyFont="1" applyFill="1" applyBorder="1" applyAlignment="1" applyProtection="1">
      <alignment horizontal="left" vertical="center"/>
      <protection hidden="1"/>
    </xf>
    <xf numFmtId="0" fontId="26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vertical="center"/>
      <protection hidden="1"/>
    </xf>
    <xf numFmtId="164" fontId="26" fillId="2" borderId="4" xfId="1" applyNumberFormat="1" applyFont="1" applyFill="1" applyBorder="1" applyAlignment="1" applyProtection="1">
      <alignment vertical="center"/>
      <protection hidden="1"/>
    </xf>
    <xf numFmtId="0" fontId="26" fillId="2" borderId="5" xfId="1" applyFont="1" applyFill="1" applyBorder="1" applyAlignment="1" applyProtection="1">
      <alignment vertical="center"/>
      <protection hidden="1"/>
    </xf>
    <xf numFmtId="0" fontId="26" fillId="2" borderId="0" xfId="0" applyFont="1" applyFill="1" applyBorder="1" applyAlignment="1" applyProtection="1">
      <alignment horizontal="center" vertical="center"/>
      <protection hidden="1"/>
    </xf>
    <xf numFmtId="0" fontId="26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33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0" fillId="4" borderId="9" xfId="1" applyFont="1" applyFill="1" applyBorder="1" applyAlignment="1" applyProtection="1">
      <alignment vertical="center"/>
      <protection hidden="1"/>
    </xf>
    <xf numFmtId="0" fontId="27" fillId="6" borderId="0" xfId="0" applyFont="1" applyFill="1" applyBorder="1" applyAlignment="1" applyProtection="1">
      <alignment horizontal="center" vertical="center"/>
      <protection hidden="1"/>
    </xf>
    <xf numFmtId="0" fontId="27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34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0" fillId="4" borderId="13" xfId="1" applyFont="1" applyFill="1" applyBorder="1" applyAlignment="1" applyProtection="1">
      <alignment vertical="center"/>
      <protection hidden="1"/>
    </xf>
    <xf numFmtId="0" fontId="20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27" fillId="8" borderId="0" xfId="0" applyFont="1" applyFill="1" applyBorder="1" applyAlignment="1" applyProtection="1">
      <alignment horizontal="center" vertical="center"/>
      <protection hidden="1"/>
    </xf>
    <xf numFmtId="0" fontId="27" fillId="8" borderId="0" xfId="0" quotePrefix="1" applyFont="1" applyFill="1" applyBorder="1" applyAlignment="1" applyProtection="1">
      <alignment horizontal="center" vertical="center"/>
      <protection hidden="1"/>
    </xf>
    <xf numFmtId="0" fontId="20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27" fillId="10" borderId="0" xfId="0" applyFont="1" applyFill="1" applyBorder="1" applyAlignment="1" applyProtection="1">
      <alignment horizontal="center" vertical="center"/>
      <protection hidden="1"/>
    </xf>
    <xf numFmtId="0" fontId="27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5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0" fillId="4" borderId="18" xfId="1" applyFont="1" applyFill="1" applyBorder="1" applyAlignment="1" applyProtection="1">
      <alignment vertical="center"/>
      <protection hidden="1"/>
    </xf>
    <xf numFmtId="0" fontId="20" fillId="10" borderId="0" xfId="0" applyFont="1" applyFill="1" applyBorder="1" applyAlignment="1" applyProtection="1">
      <alignment horizontal="center" vertical="center"/>
      <protection hidden="1"/>
    </xf>
    <xf numFmtId="0" fontId="10" fillId="0" borderId="33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0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34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0" fillId="0" borderId="13" xfId="1" applyFont="1" applyFill="1" applyBorder="1" applyAlignment="1" applyProtection="1">
      <alignment vertical="center"/>
      <protection hidden="1"/>
    </xf>
    <xf numFmtId="0" fontId="27" fillId="13" borderId="0" xfId="0" applyFont="1" applyFill="1" applyBorder="1" applyAlignment="1" applyProtection="1">
      <alignment horizontal="center" vertical="center"/>
      <protection hidden="1"/>
    </xf>
    <xf numFmtId="0" fontId="27" fillId="13" borderId="0" xfId="0" quotePrefix="1" applyFont="1" applyFill="1" applyBorder="1" applyAlignment="1" applyProtection="1">
      <alignment horizontal="center" vertical="center"/>
      <protection hidden="1"/>
    </xf>
    <xf numFmtId="0" fontId="20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27" fillId="15" borderId="0" xfId="0" applyFont="1" applyFill="1" applyBorder="1" applyAlignment="1" applyProtection="1">
      <alignment horizontal="center" vertical="center"/>
      <protection hidden="1"/>
    </xf>
    <xf numFmtId="0" fontId="27" fillId="15" borderId="0" xfId="0" quotePrefix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5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0" fillId="0" borderId="18" xfId="1" applyFont="1" applyFill="1" applyBorder="1" applyAlignment="1" applyProtection="1">
      <alignment vertical="center"/>
      <protection hidden="1"/>
    </xf>
    <xf numFmtId="0" fontId="20" fillId="4" borderId="20" xfId="1" applyFont="1" applyFill="1" applyBorder="1" applyAlignment="1" applyProtection="1">
      <alignment vertical="center"/>
      <protection hidden="1"/>
    </xf>
    <xf numFmtId="0" fontId="27" fillId="17" borderId="0" xfId="0" applyFont="1" applyFill="1" applyBorder="1" applyAlignment="1" applyProtection="1">
      <alignment horizontal="center" vertical="center"/>
      <protection hidden="1"/>
    </xf>
    <xf numFmtId="0" fontId="27" fillId="17" borderId="0" xfId="0" quotePrefix="1" applyFont="1" applyFill="1" applyBorder="1" applyAlignment="1" applyProtection="1">
      <alignment horizontal="center" vertical="center"/>
      <protection hidden="1"/>
    </xf>
    <xf numFmtId="0" fontId="20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center" vertical="center"/>
      <protection hidden="1"/>
    </xf>
    <xf numFmtId="0" fontId="10" fillId="4" borderId="36" xfId="1" applyFont="1" applyFill="1" applyBorder="1" applyAlignment="1" applyProtection="1">
      <alignment horizontal="center" vertical="center"/>
      <protection hidden="1"/>
    </xf>
    <xf numFmtId="0" fontId="10" fillId="4" borderId="21" xfId="1" applyFont="1" applyFill="1" applyBorder="1" applyAlignment="1" applyProtection="1">
      <alignment horizontal="center" vertical="center"/>
      <protection hidden="1"/>
    </xf>
    <xf numFmtId="164" fontId="10" fillId="4" borderId="21" xfId="1" applyNumberFormat="1" applyFont="1" applyFill="1" applyBorder="1" applyAlignment="1" applyProtection="1">
      <alignment horizontal="right" vertical="center"/>
      <protection hidden="1"/>
    </xf>
    <xf numFmtId="0" fontId="10" fillId="4" borderId="21" xfId="1" applyFont="1" applyFill="1" applyBorder="1" applyAlignment="1" applyProtection="1">
      <alignment horizontal="right" vertical="center" indent="1"/>
      <protection hidden="1"/>
    </xf>
    <xf numFmtId="0" fontId="10" fillId="4" borderId="21" xfId="1" applyFont="1" applyFill="1" applyBorder="1" applyAlignment="1" applyProtection="1">
      <alignment horizontal="left" vertical="center" indent="1"/>
      <protection hidden="1"/>
    </xf>
    <xf numFmtId="0" fontId="10" fillId="4" borderId="21" xfId="1" applyFont="1" applyFill="1" applyBorder="1" applyAlignment="1" applyProtection="1">
      <alignment vertical="center"/>
      <protection hidden="1"/>
    </xf>
    <xf numFmtId="0" fontId="20" fillId="4" borderId="24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horizontal="right" vertical="center" indent="1"/>
      <protection hidden="1"/>
    </xf>
    <xf numFmtId="0" fontId="26" fillId="2" borderId="4" xfId="1" applyFont="1" applyFill="1" applyBorder="1" applyAlignment="1" applyProtection="1">
      <alignment horizontal="left" vertical="center" indent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0" fontId="20" fillId="0" borderId="9" xfId="1" applyFont="1" applyFill="1" applyBorder="1" applyAlignment="1" applyProtection="1">
      <alignment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Protection="1">
      <protection hidden="1"/>
    </xf>
    <xf numFmtId="0" fontId="10" fillId="0" borderId="16" xfId="1" applyFont="1" applyFill="1" applyBorder="1" applyProtection="1">
      <protection hidden="1"/>
    </xf>
    <xf numFmtId="0" fontId="10" fillId="4" borderId="6" xfId="1" applyFont="1" applyFill="1" applyBorder="1" applyAlignment="1" applyProtection="1">
      <alignment horizontal="center"/>
      <protection hidden="1"/>
    </xf>
    <xf numFmtId="0" fontId="10" fillId="4" borderId="6" xfId="1" applyFont="1" applyFill="1" applyBorder="1" applyProtection="1">
      <protection hidden="1"/>
    </xf>
    <xf numFmtId="0" fontId="10" fillId="4" borderId="10" xfId="1" applyFont="1" applyFill="1" applyBorder="1" applyAlignment="1" applyProtection="1">
      <alignment horizontal="center"/>
      <protection hidden="1"/>
    </xf>
    <xf numFmtId="0" fontId="10" fillId="4" borderId="10" xfId="1" applyFont="1" applyFill="1" applyBorder="1" applyProtection="1">
      <protection hidden="1"/>
    </xf>
    <xf numFmtId="0" fontId="10" fillId="4" borderId="14" xfId="1" applyFont="1" applyFill="1" applyBorder="1" applyAlignment="1" applyProtection="1">
      <alignment horizontal="center"/>
      <protection hidden="1"/>
    </xf>
    <xf numFmtId="0" fontId="10" fillId="4" borderId="16" xfId="1" applyFont="1" applyFill="1" applyBorder="1" applyProtection="1">
      <protection hidden="1"/>
    </xf>
    <xf numFmtId="0" fontId="10" fillId="0" borderId="6" xfId="1" applyFont="1" applyFill="1" applyBorder="1" applyAlignment="1" applyProtection="1">
      <alignment horizontal="center"/>
      <protection hidden="1"/>
    </xf>
    <xf numFmtId="0" fontId="10" fillId="0" borderId="6" xfId="1" applyFont="1" applyFill="1" applyBorder="1" applyProtection="1">
      <protection hidden="1"/>
    </xf>
    <xf numFmtId="0" fontId="10" fillId="0" borderId="14" xfId="1" applyFont="1" applyFill="1" applyBorder="1" applyAlignment="1" applyProtection="1">
      <alignment horizontal="center"/>
      <protection hidden="1"/>
    </xf>
    <xf numFmtId="0" fontId="10" fillId="4" borderId="3" xfId="1" applyFont="1" applyFill="1" applyBorder="1" applyAlignment="1" applyProtection="1">
      <alignment horizontal="center" vertical="center"/>
      <protection hidden="1"/>
    </xf>
    <xf numFmtId="0" fontId="10" fillId="4" borderId="4" xfId="1" applyFont="1" applyFill="1" applyBorder="1" applyAlignment="1" applyProtection="1">
      <alignment horizontal="center"/>
      <protection hidden="1"/>
    </xf>
    <xf numFmtId="164" fontId="10" fillId="4" borderId="4" xfId="1" applyNumberFormat="1" applyFont="1" applyFill="1" applyBorder="1" applyAlignment="1" applyProtection="1">
      <alignment horizontal="right" vertical="center"/>
      <protection hidden="1"/>
    </xf>
    <xf numFmtId="0" fontId="10" fillId="4" borderId="4" xfId="1" applyFont="1" applyFill="1" applyBorder="1" applyAlignment="1" applyProtection="1">
      <alignment horizontal="right" vertical="center" indent="1"/>
      <protection hidden="1"/>
    </xf>
    <xf numFmtId="0" fontId="10" fillId="4" borderId="4" xfId="1" applyFont="1" applyFill="1" applyBorder="1" applyAlignment="1" applyProtection="1">
      <alignment horizontal="left" vertical="center" indent="1"/>
      <protection hidden="1"/>
    </xf>
    <xf numFmtId="0" fontId="10" fillId="4" borderId="5" xfId="1" applyFont="1" applyFill="1" applyBorder="1" applyProtection="1">
      <protection hidden="1"/>
    </xf>
    <xf numFmtId="0" fontId="20" fillId="5" borderId="3" xfId="1" applyFont="1" applyFill="1" applyBorder="1" applyAlignment="1" applyProtection="1">
      <alignment horizontal="center" vertical="center"/>
      <protection hidden="1"/>
    </xf>
    <xf numFmtId="0" fontId="26" fillId="3" borderId="40" xfId="0" applyFont="1" applyFill="1" applyBorder="1" applyAlignment="1" applyProtection="1">
      <alignment vertical="center"/>
      <protection hidden="1"/>
    </xf>
    <xf numFmtId="0" fontId="26" fillId="3" borderId="31" xfId="0" applyFont="1" applyFill="1" applyBorder="1" applyAlignment="1" applyProtection="1">
      <alignment vertical="center"/>
      <protection hidden="1"/>
    </xf>
    <xf numFmtId="0" fontId="10" fillId="6" borderId="30" xfId="0" applyFont="1" applyFill="1" applyBorder="1" applyAlignment="1" applyProtection="1">
      <alignment horizontal="center" vertical="center"/>
      <protection hidden="1"/>
    </xf>
    <xf numFmtId="0" fontId="10" fillId="7" borderId="30" xfId="0" applyFont="1" applyFill="1" applyBorder="1" applyAlignment="1" applyProtection="1">
      <alignment horizontal="center" vertical="center"/>
      <protection hidden="1"/>
    </xf>
    <xf numFmtId="0" fontId="10" fillId="0" borderId="30" xfId="0" applyFont="1" applyBorder="1" applyAlignment="1" applyProtection="1">
      <alignment horizontal="center" vertical="center"/>
      <protection hidden="1"/>
    </xf>
    <xf numFmtId="0" fontId="10" fillId="8" borderId="30" xfId="0" applyFont="1" applyFill="1" applyBorder="1" applyAlignment="1" applyProtection="1">
      <alignment horizontal="center" vertical="center"/>
      <protection hidden="1"/>
    </xf>
    <xf numFmtId="0" fontId="10" fillId="9" borderId="30" xfId="0" applyFont="1" applyFill="1" applyBorder="1" applyAlignment="1" applyProtection="1">
      <alignment horizontal="center" vertical="center"/>
      <protection hidden="1"/>
    </xf>
    <xf numFmtId="0" fontId="10" fillId="10" borderId="30" xfId="0" applyFont="1" applyFill="1" applyBorder="1" applyAlignment="1" applyProtection="1">
      <alignment horizontal="center" vertical="center"/>
      <protection hidden="1"/>
    </xf>
    <xf numFmtId="0" fontId="10" fillId="12" borderId="30" xfId="0" applyFont="1" applyFill="1" applyBorder="1" applyAlignment="1" applyProtection="1">
      <alignment horizontal="center" vertical="center"/>
      <protection hidden="1"/>
    </xf>
    <xf numFmtId="0" fontId="10" fillId="13" borderId="30" xfId="0" applyFont="1" applyFill="1" applyBorder="1" applyAlignment="1" applyProtection="1">
      <alignment horizontal="center" vertical="center"/>
      <protection hidden="1"/>
    </xf>
    <xf numFmtId="0" fontId="10" fillId="14" borderId="30" xfId="0" applyFont="1" applyFill="1" applyBorder="1" applyAlignment="1" applyProtection="1">
      <alignment horizontal="center" vertical="center"/>
      <protection hidden="1"/>
    </xf>
    <xf numFmtId="0" fontId="10" fillId="15" borderId="30" xfId="0" applyFont="1" applyFill="1" applyBorder="1" applyAlignment="1" applyProtection="1">
      <alignment horizontal="center" vertical="center"/>
      <protection hidden="1"/>
    </xf>
    <xf numFmtId="0" fontId="10" fillId="16" borderId="30" xfId="0" applyFont="1" applyFill="1" applyBorder="1" applyAlignment="1" applyProtection="1">
      <alignment horizontal="center" vertical="center"/>
      <protection hidden="1"/>
    </xf>
    <xf numFmtId="0" fontId="10" fillId="17" borderId="30" xfId="0" applyFont="1" applyFill="1" applyBorder="1" applyAlignment="1" applyProtection="1">
      <alignment horizontal="center" vertical="center"/>
      <protection hidden="1"/>
    </xf>
    <xf numFmtId="0" fontId="10" fillId="18" borderId="3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vertical="center"/>
      <protection hidden="1"/>
    </xf>
    <xf numFmtId="0" fontId="10" fillId="0" borderId="29" xfId="1" applyFont="1" applyFill="1" applyBorder="1" applyAlignment="1" applyProtection="1">
      <alignment vertical="center"/>
      <protection hidden="1"/>
    </xf>
    <xf numFmtId="0" fontId="26" fillId="3" borderId="30" xfId="0" applyFont="1" applyFill="1" applyBorder="1" applyAlignment="1" applyProtection="1">
      <alignment horizontal="left" vertical="center"/>
      <protection hidden="1"/>
    </xf>
    <xf numFmtId="0" fontId="12" fillId="3" borderId="29" xfId="0" applyFont="1" applyFill="1" applyBorder="1" applyAlignment="1" applyProtection="1">
      <alignment horizontal="left" vertical="center" indent="1"/>
      <protection hidden="1"/>
    </xf>
    <xf numFmtId="0" fontId="12" fillId="19" borderId="30" xfId="0" applyFont="1" applyFill="1" applyBorder="1" applyAlignment="1" applyProtection="1">
      <alignment vertical="center"/>
      <protection hidden="1"/>
    </xf>
    <xf numFmtId="0" fontId="12" fillId="19" borderId="29" xfId="0" applyFont="1" applyFill="1" applyBorder="1" applyAlignment="1" applyProtection="1">
      <alignment horizontal="center" vertical="center"/>
      <protection hidden="1"/>
    </xf>
    <xf numFmtId="0" fontId="20" fillId="20" borderId="30" xfId="0" applyFont="1" applyFill="1" applyBorder="1" applyAlignment="1" applyProtection="1">
      <alignment horizontal="center" vertical="center"/>
      <protection hidden="1"/>
    </xf>
    <xf numFmtId="0" fontId="20" fillId="21" borderId="29" xfId="0" applyFont="1" applyFill="1" applyBorder="1" applyAlignment="1" applyProtection="1">
      <alignment horizontal="center" vertical="center"/>
      <protection hidden="1"/>
    </xf>
    <xf numFmtId="0" fontId="28" fillId="0" borderId="30" xfId="0" applyFont="1" applyFill="1" applyBorder="1" applyAlignment="1" applyProtection="1">
      <alignment horizontal="center" vertical="center"/>
      <protection hidden="1"/>
    </xf>
    <xf numFmtId="0" fontId="28" fillId="0" borderId="29" xfId="0" applyFont="1" applyFill="1" applyBorder="1" applyAlignment="1" applyProtection="1">
      <alignment horizontal="center" vertical="center"/>
      <protection hidden="1"/>
    </xf>
    <xf numFmtId="0" fontId="28" fillId="0" borderId="42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28" fillId="0" borderId="43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7" fillId="0" borderId="0" xfId="0" applyFont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18" fillId="0" borderId="0" xfId="0" applyFont="1" applyAlignment="1" applyProtection="1">
      <alignment horizontal="right"/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23" fillId="0" borderId="0" xfId="6" applyFont="1" applyFill="1" applyBorder="1" applyAlignment="1" applyProtection="1">
      <alignment vertical="center" wrapText="1"/>
      <protection hidden="1"/>
    </xf>
    <xf numFmtId="0" fontId="21" fillId="0" borderId="0" xfId="0" applyFont="1" applyAlignment="1" applyProtection="1">
      <alignment horizontal="right"/>
      <protection hidden="1"/>
    </xf>
    <xf numFmtId="0" fontId="15" fillId="22" borderId="0" xfId="2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3" fillId="0" borderId="0" xfId="6" applyFont="1" applyFill="1" applyBorder="1" applyAlignment="1" applyProtection="1">
      <alignment horizontal="center" vertical="center" wrapText="1"/>
      <protection hidden="1"/>
    </xf>
    <xf numFmtId="0" fontId="15" fillId="0" borderId="0" xfId="7" applyFill="1" applyBorder="1" applyAlignment="1" applyProtection="1">
      <alignment horizontal="center"/>
      <protection hidden="1"/>
    </xf>
    <xf numFmtId="0" fontId="11" fillId="0" borderId="0" xfId="6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alignment horizontal="center"/>
      <protection hidden="1"/>
    </xf>
    <xf numFmtId="0" fontId="10" fillId="0" borderId="41" xfId="0" applyFont="1" applyFill="1" applyBorder="1" applyAlignment="1" applyProtection="1">
      <alignment horizontal="center" vertical="center"/>
      <protection hidden="1"/>
    </xf>
    <xf numFmtId="0" fontId="10" fillId="0" borderId="29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horizontal="right" indent="1"/>
      <protection hidden="1"/>
    </xf>
    <xf numFmtId="0" fontId="10" fillId="0" borderId="10" xfId="1" applyFont="1" applyFill="1" applyBorder="1" applyAlignment="1" applyProtection="1">
      <alignment horizontal="left" indent="1"/>
      <protection hidden="1"/>
    </xf>
    <xf numFmtId="0" fontId="10" fillId="0" borderId="10" xfId="1" applyFont="1" applyFill="1" applyBorder="1" applyAlignment="1" applyProtection="1">
      <alignment horizontal="center"/>
      <protection hidden="1"/>
    </xf>
    <xf numFmtId="0" fontId="10" fillId="0" borderId="14" xfId="1" applyFont="1" applyFill="1" applyBorder="1" applyAlignment="1" applyProtection="1">
      <alignment horizontal="right" indent="1"/>
      <protection hidden="1"/>
    </xf>
    <xf numFmtId="0" fontId="10" fillId="0" borderId="14" xfId="1" applyFont="1" applyFill="1" applyBorder="1" applyAlignment="1" applyProtection="1">
      <alignment horizontal="left" indent="1"/>
      <protection hidden="1"/>
    </xf>
    <xf numFmtId="0" fontId="20" fillId="0" borderId="0" xfId="4" applyFont="1" applyFill="1" applyBorder="1" applyAlignment="1" applyProtection="1">
      <alignment horizontal="center" vertical="center" wrapText="1"/>
      <protection hidden="1"/>
    </xf>
    <xf numFmtId="0" fontId="24" fillId="0" borderId="0" xfId="4" applyFont="1" applyFill="1" applyBorder="1" applyAlignment="1" applyProtection="1">
      <alignment horizontal="center" vertical="center" wrapText="1"/>
      <protection hidden="1"/>
    </xf>
    <xf numFmtId="0" fontId="25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10" fillId="6" borderId="25" xfId="1" applyFont="1" applyFill="1" applyBorder="1" applyAlignment="1" applyProtection="1">
      <alignment horizontal="center" vertical="center"/>
      <protection locked="0"/>
    </xf>
    <xf numFmtId="0" fontId="31" fillId="2" borderId="3" xfId="1" applyFont="1" applyFill="1" applyBorder="1" applyAlignment="1" applyProtection="1">
      <alignment vertic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2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2" fillId="0" borderId="0" xfId="1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protection hidden="1"/>
    </xf>
    <xf numFmtId="0" fontId="29" fillId="0" borderId="0" xfId="6" applyFont="1" applyFill="1" applyBorder="1" applyAlignment="1" applyProtection="1">
      <alignment horizontal="right"/>
      <protection hidden="1"/>
    </xf>
    <xf numFmtId="0" fontId="9" fillId="0" borderId="29" xfId="1" applyFont="1" applyFill="1" applyBorder="1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hidden="1"/>
    </xf>
    <xf numFmtId="0" fontId="10" fillId="6" borderId="11" xfId="1" applyFont="1" applyFill="1" applyBorder="1" applyAlignment="1" applyProtection="1">
      <alignment horizontal="center" vertical="center"/>
      <protection hidden="1"/>
    </xf>
    <xf numFmtId="0" fontId="10" fillId="6" borderId="15" xfId="1" applyFont="1" applyFill="1" applyBorder="1" applyAlignment="1" applyProtection="1">
      <alignment horizontal="center" vertical="center"/>
      <protection hidden="1"/>
    </xf>
    <xf numFmtId="0" fontId="10" fillId="6" borderId="22" xfId="1" applyFont="1" applyFill="1" applyBorder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vertical="center"/>
      <protection hidden="1"/>
    </xf>
    <xf numFmtId="0" fontId="2" fillId="0" borderId="0" xfId="1" applyFont="1" applyFill="1" applyBorder="1" applyProtection="1">
      <protection hidden="1"/>
    </xf>
    <xf numFmtId="0" fontId="20" fillId="5" borderId="19" xfId="1" applyFont="1" applyFill="1" applyBorder="1" applyAlignment="1" applyProtection="1">
      <alignment horizontal="center" vertical="center"/>
      <protection hidden="1"/>
    </xf>
    <xf numFmtId="0" fontId="20" fillId="5" borderId="12" xfId="1" applyFont="1" applyFill="1" applyBorder="1" applyAlignment="1" applyProtection="1">
      <alignment horizontal="center" vertical="center"/>
      <protection hidden="1"/>
    </xf>
    <xf numFmtId="0" fontId="20" fillId="5" borderId="17" xfId="1" applyFont="1" applyFill="1" applyBorder="1" applyAlignment="1" applyProtection="1">
      <alignment horizontal="center" vertical="center"/>
      <protection hidden="1"/>
    </xf>
    <xf numFmtId="0" fontId="20" fillId="11" borderId="19" xfId="1" applyFont="1" applyFill="1" applyBorder="1" applyAlignment="1" applyProtection="1">
      <alignment horizontal="center" vertical="center"/>
      <protection hidden="1"/>
    </xf>
    <xf numFmtId="0" fontId="20" fillId="11" borderId="17" xfId="1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left" vertical="center"/>
      <protection hidden="1"/>
    </xf>
    <xf numFmtId="0" fontId="28" fillId="0" borderId="0" xfId="0" applyFont="1" applyFill="1" applyBorder="1" applyAlignment="1" applyProtection="1">
      <alignment horizontal="left" vertical="center"/>
      <protection hidden="1"/>
    </xf>
    <xf numFmtId="0" fontId="20" fillId="11" borderId="8" xfId="1" applyFont="1" applyFill="1" applyBorder="1" applyAlignment="1" applyProtection="1">
      <alignment horizontal="center" vertical="center"/>
      <protection hidden="1"/>
    </xf>
    <xf numFmtId="0" fontId="20" fillId="11" borderId="12" xfId="1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left" vertical="center"/>
      <protection hidden="1"/>
    </xf>
    <xf numFmtId="0" fontId="20" fillId="5" borderId="23" xfId="1" applyFont="1" applyFill="1" applyBorder="1" applyAlignment="1" applyProtection="1">
      <alignment horizontal="center" vertical="center"/>
      <protection hidden="1"/>
    </xf>
    <xf numFmtId="0" fontId="26" fillId="2" borderId="30" xfId="0" applyFont="1" applyFill="1" applyBorder="1" applyAlignment="1" applyProtection="1">
      <alignment horizontal="left" vertical="center"/>
      <protection hidden="1"/>
    </xf>
    <xf numFmtId="0" fontId="26" fillId="2" borderId="0" xfId="0" applyFont="1" applyFill="1" applyBorder="1" applyAlignment="1" applyProtection="1">
      <alignment horizontal="left" vertical="center"/>
      <protection hidden="1"/>
    </xf>
    <xf numFmtId="0" fontId="27" fillId="17" borderId="0" xfId="0" applyFont="1" applyFill="1" applyBorder="1" applyAlignment="1" applyProtection="1">
      <alignment horizontal="left" vertical="center"/>
      <protection hidden="1"/>
    </xf>
    <xf numFmtId="0" fontId="20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23" borderId="37" xfId="3" applyFont="1" applyBorder="1" applyAlignment="1" applyProtection="1">
      <alignment horizontal="center" vertical="center"/>
      <protection hidden="1"/>
    </xf>
    <xf numFmtId="0" fontId="22" fillId="23" borderId="32" xfId="3" applyFont="1" applyBorder="1" applyAlignment="1" applyProtection="1">
      <alignment horizontal="center" vertical="center"/>
      <protection hidden="1"/>
    </xf>
    <xf numFmtId="0" fontId="22" fillId="23" borderId="38" xfId="3" applyFont="1" applyBorder="1" applyAlignment="1" applyProtection="1">
      <alignment horizontal="center" vertical="center"/>
      <protection hidden="1"/>
    </xf>
    <xf numFmtId="0" fontId="30" fillId="29" borderId="0" xfId="8" applyFont="1" applyFill="1" applyBorder="1" applyAlignment="1" applyProtection="1">
      <alignment horizontal="center" vertical="center" wrapText="1"/>
      <protection hidden="1"/>
    </xf>
    <xf numFmtId="0" fontId="30" fillId="29" borderId="39" xfId="8" applyFont="1" applyFill="1" applyBorder="1" applyAlignment="1" applyProtection="1">
      <alignment horizontal="center" vertical="center" wrapText="1"/>
      <protection hidden="1"/>
    </xf>
    <xf numFmtId="0" fontId="16" fillId="22" borderId="0" xfId="2" applyFont="1" applyBorder="1" applyAlignment="1" applyProtection="1">
      <alignment horizontal="center" vertical="center" wrapText="1" shrinkToFit="1"/>
      <protection hidden="1"/>
    </xf>
    <xf numFmtId="0" fontId="15" fillId="22" borderId="0" xfId="2" applyBorder="1" applyAlignment="1" applyProtection="1">
      <alignment horizontal="center" vertical="center" wrapText="1" shrinkToFit="1"/>
      <protection hidden="1"/>
    </xf>
    <xf numFmtId="0" fontId="19" fillId="0" borderId="26" xfId="0" applyFont="1" applyBorder="1" applyAlignment="1" applyProtection="1">
      <alignment horizontal="center"/>
      <protection hidden="1"/>
    </xf>
    <xf numFmtId="0" fontId="19" fillId="0" borderId="27" xfId="0" applyFont="1" applyBorder="1" applyAlignment="1" applyProtection="1">
      <alignment horizontal="center"/>
      <protection hidden="1"/>
    </xf>
    <xf numFmtId="0" fontId="19" fillId="0" borderId="28" xfId="0" applyFont="1" applyBorder="1" applyAlignment="1" applyProtection="1">
      <alignment horizontal="center"/>
      <protection hidden="1"/>
    </xf>
    <xf numFmtId="0" fontId="20" fillId="0" borderId="27" xfId="0" applyFont="1" applyBorder="1" applyAlignment="1" applyProtection="1">
      <alignment horizontal="center"/>
      <protection hidden="1"/>
    </xf>
    <xf numFmtId="0" fontId="20" fillId="0" borderId="28" xfId="0" applyFont="1" applyBorder="1" applyAlignment="1" applyProtection="1">
      <alignment horizontal="center"/>
      <protection hidden="1"/>
    </xf>
    <xf numFmtId="0" fontId="3" fillId="27" borderId="40" xfId="7" applyFont="1" applyBorder="1" applyAlignment="1" applyProtection="1">
      <alignment horizontal="left"/>
      <protection locked="0" hidden="1"/>
    </xf>
    <xf numFmtId="0" fontId="3" fillId="27" borderId="31" xfId="7" applyFont="1" applyBorder="1" applyAlignment="1" applyProtection="1">
      <alignment horizontal="left"/>
      <protection locked="0" hidden="1"/>
    </xf>
    <xf numFmtId="0" fontId="3" fillId="27" borderId="41" xfId="7" applyFont="1" applyBorder="1" applyAlignment="1" applyProtection="1">
      <alignment horizontal="left"/>
      <protection locked="0" hidden="1"/>
    </xf>
    <xf numFmtId="0" fontId="3" fillId="30" borderId="31" xfId="7" applyFont="1" applyFill="1" applyBorder="1" applyAlignment="1" applyProtection="1">
      <alignment horizontal="left"/>
      <protection hidden="1"/>
    </xf>
    <xf numFmtId="0" fontId="3" fillId="30" borderId="41" xfId="7" applyFont="1" applyFill="1" applyBorder="1" applyAlignment="1" applyProtection="1">
      <alignment horizontal="left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0" fontId="20" fillId="5" borderId="8" xfId="1" applyFont="1" applyFill="1" applyBorder="1" applyAlignment="1" applyProtection="1">
      <alignment horizontal="center" vertical="center"/>
      <protection hidden="1"/>
    </xf>
    <xf numFmtId="0" fontId="27" fillId="6" borderId="0" xfId="0" applyFont="1" applyFill="1" applyBorder="1" applyAlignment="1" applyProtection="1">
      <alignment horizontal="left" vertical="center"/>
      <protection hidden="1"/>
    </xf>
    <xf numFmtId="0" fontId="20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0" fillId="10" borderId="0" xfId="0" applyFont="1" applyFill="1" applyBorder="1" applyAlignment="1" applyProtection="1">
      <alignment horizontal="left" vertical="center"/>
      <protection hidden="1"/>
    </xf>
    <xf numFmtId="0" fontId="20" fillId="13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20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27" fillId="10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27" fillId="13" borderId="0" xfId="0" applyFont="1" applyFill="1" applyBorder="1" applyAlignment="1" applyProtection="1">
      <alignment horizontal="left" vertical="center"/>
      <protection hidden="1"/>
    </xf>
    <xf numFmtId="0" fontId="27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3" fillId="30" borderId="0" xfId="7" applyFont="1" applyFill="1" applyBorder="1" applyAlignment="1" applyProtection="1">
      <alignment horizontal="left"/>
      <protection hidden="1"/>
    </xf>
    <xf numFmtId="0" fontId="3" fillId="30" borderId="29" xfId="7" applyFont="1" applyFill="1" applyBorder="1" applyAlignment="1" applyProtection="1">
      <alignment horizontal="left"/>
      <protection hidden="1"/>
    </xf>
    <xf numFmtId="0" fontId="1" fillId="25" borderId="0" xfId="5" applyFont="1" applyBorder="1" applyAlignment="1" applyProtection="1">
      <alignment horizontal="center"/>
      <protection hidden="1"/>
    </xf>
    <xf numFmtId="0" fontId="27" fillId="8" borderId="0" xfId="0" applyFont="1" applyFill="1" applyBorder="1" applyAlignment="1" applyProtection="1">
      <alignment horizontal="left" vertical="center"/>
      <protection hidden="1"/>
    </xf>
    <xf numFmtId="0" fontId="20" fillId="8" borderId="0" xfId="0" applyFont="1" applyFill="1" applyBorder="1" applyAlignment="1" applyProtection="1">
      <alignment horizontal="left" vertical="center"/>
      <protection hidden="1"/>
    </xf>
    <xf numFmtId="0" fontId="3" fillId="30" borderId="0" xfId="6" applyFont="1" applyFill="1" applyBorder="1" applyAlignment="1" applyProtection="1">
      <alignment horizontal="center"/>
      <protection hidden="1"/>
    </xf>
    <xf numFmtId="0" fontId="3" fillId="30" borderId="29" xfId="6" applyFont="1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>
      <alignment horizontal="left" vertical="top" wrapText="1"/>
    </xf>
  </cellXfs>
  <cellStyles count="9">
    <cellStyle name="20% - Accent1" xfId="2" builtinId="30"/>
    <cellStyle name="20% - Accent6" xfId="7" builtinId="50"/>
    <cellStyle name="40% - Accent1" xfId="3" builtinId="31"/>
    <cellStyle name="40% - Accent2" xfId="4" builtinId="35"/>
    <cellStyle name="40% - Accent4" xfId="6" builtinId="43"/>
    <cellStyle name="40% - Accent6" xfId="8" builtinId="51"/>
    <cellStyle name="Accent4" xfId="5" builtinId="41"/>
    <cellStyle name="Normal" xfId="0" builtinId="0"/>
    <cellStyle name="Normal 2" xfId="1" xr:uid="{00000000-0005-0000-0000-000002000000}"/>
  </cellStyles>
  <dxfs count="16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/>
        <i val="0"/>
      </font>
    </dxf>
    <dxf>
      <font>
        <b val="0"/>
        <i/>
        <color theme="1" tint="0.499984740745262"/>
      </font>
    </dxf>
    <dxf>
      <font>
        <b/>
        <i val="0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159123</xdr:rowOff>
    </xdr:from>
    <xdr:to>
      <xdr:col>3</xdr:col>
      <xdr:colOff>323113</xdr:colOff>
      <xdr:row>6</xdr:row>
      <xdr:rowOff>53975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540123"/>
          <a:ext cx="605688" cy="656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71"/>
  <sheetViews>
    <sheetView showGridLines="0" tabSelected="1" zoomScaleNormal="100" workbookViewId="0">
      <pane ySplit="9" topLeftCell="A10" activePane="bottomLeft" state="frozen"/>
      <selection pane="bottomLeft" activeCell="G60" sqref="G60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80" t="s">
        <v>116</v>
      </c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</row>
    <row r="2" spans="1:103" ht="15" customHeight="1" x14ac:dyDescent="0.2">
      <c r="B2" s="251"/>
      <c r="C2" s="252"/>
      <c r="D2" s="252"/>
      <c r="E2" s="181" t="s">
        <v>111</v>
      </c>
      <c r="G2" s="182"/>
      <c r="H2" s="182"/>
      <c r="I2" s="182"/>
      <c r="J2" s="182"/>
      <c r="L2" s="182"/>
      <c r="M2" s="182"/>
      <c r="N2" s="182"/>
      <c r="O2" s="182"/>
      <c r="P2" s="182"/>
      <c r="Q2" s="182"/>
      <c r="R2" s="182"/>
      <c r="S2" s="182"/>
      <c r="T2" s="183" t="s">
        <v>108</v>
      </c>
      <c r="U2" s="253" t="s">
        <v>115</v>
      </c>
      <c r="V2" s="254"/>
      <c r="W2" s="254"/>
      <c r="X2" s="254"/>
      <c r="Y2" s="254"/>
      <c r="Z2" s="254"/>
      <c r="AA2" s="254"/>
      <c r="AB2" s="254"/>
      <c r="AC2" s="255"/>
    </row>
    <row r="3" spans="1:103" ht="15" customHeight="1" x14ac:dyDescent="0.2">
      <c r="B3" s="252"/>
      <c r="C3" s="252"/>
      <c r="D3" s="252"/>
      <c r="E3" s="184" t="s">
        <v>112</v>
      </c>
      <c r="G3" s="182"/>
      <c r="H3" s="182"/>
      <c r="I3"/>
      <c r="J3"/>
      <c r="K3"/>
      <c r="L3"/>
      <c r="M3"/>
      <c r="N3"/>
      <c r="O3" s="185"/>
      <c r="P3" s="182"/>
      <c r="Q3" s="182"/>
      <c r="R3" s="182"/>
      <c r="S3" s="182"/>
      <c r="T3" s="183"/>
      <c r="U3" s="256"/>
      <c r="V3" s="256"/>
      <c r="W3" s="256"/>
      <c r="X3" s="256"/>
      <c r="Y3" s="256"/>
      <c r="Z3" s="256"/>
      <c r="AA3" s="256"/>
      <c r="AB3" s="256"/>
      <c r="AC3" s="257"/>
    </row>
    <row r="4" spans="1:103" ht="15" customHeight="1" x14ac:dyDescent="0.2">
      <c r="B4" s="252"/>
      <c r="C4" s="252"/>
      <c r="D4" s="252"/>
      <c r="E4" s="184" t="s">
        <v>113</v>
      </c>
      <c r="G4" s="182"/>
      <c r="H4" s="182"/>
      <c r="I4"/>
      <c r="J4"/>
      <c r="K4"/>
      <c r="L4"/>
      <c r="M4"/>
      <c r="N4"/>
      <c r="O4" s="185"/>
      <c r="P4" s="182"/>
      <c r="Q4" s="182"/>
      <c r="R4" s="182"/>
      <c r="S4" s="182"/>
      <c r="T4" s="186" t="s">
        <v>109</v>
      </c>
      <c r="U4" s="258" t="s">
        <v>121</v>
      </c>
      <c r="V4" s="259"/>
      <c r="W4" s="259"/>
      <c r="X4" s="259"/>
      <c r="Y4" s="259"/>
      <c r="Z4" s="259"/>
      <c r="AA4" s="259"/>
      <c r="AB4" s="259"/>
      <c r="AC4" s="260"/>
    </row>
    <row r="5" spans="1:103" x14ac:dyDescent="0.2">
      <c r="B5" s="187"/>
      <c r="C5" s="187"/>
      <c r="D5" s="187"/>
      <c r="E5" s="184" t="s">
        <v>114</v>
      </c>
      <c r="G5" s="182"/>
      <c r="H5" s="188"/>
      <c r="I5" s="189"/>
      <c r="J5" s="189"/>
      <c r="K5" s="189"/>
      <c r="L5" s="189"/>
      <c r="N5" s="182"/>
      <c r="O5" s="182"/>
      <c r="P5" s="182"/>
      <c r="Q5" s="182"/>
      <c r="R5" s="182"/>
      <c r="S5" s="182"/>
      <c r="T5" s="183"/>
      <c r="U5" s="261"/>
      <c r="V5" s="261"/>
      <c r="W5" s="261"/>
      <c r="X5" s="261"/>
      <c r="Y5" s="261"/>
      <c r="Z5" s="261"/>
      <c r="AA5" s="261"/>
      <c r="AB5" s="261"/>
      <c r="AC5" s="262"/>
    </row>
    <row r="6" spans="1:103" x14ac:dyDescent="0.2">
      <c r="B6" s="187"/>
      <c r="C6" s="187"/>
      <c r="D6" s="187"/>
      <c r="E6" s="184" t="s">
        <v>120</v>
      </c>
      <c r="G6" s="182"/>
      <c r="H6" s="188"/>
      <c r="I6" s="189"/>
      <c r="J6" s="189"/>
      <c r="K6" s="189"/>
      <c r="L6" s="189"/>
      <c r="O6" s="220"/>
      <c r="P6" s="220"/>
      <c r="Q6" s="220"/>
      <c r="R6" s="220"/>
      <c r="S6" s="220"/>
      <c r="T6" s="221"/>
      <c r="U6" s="278"/>
      <c r="V6" s="278"/>
      <c r="W6" s="278"/>
      <c r="X6" s="278"/>
      <c r="Y6" s="278"/>
      <c r="Z6" s="278"/>
      <c r="AA6" s="278"/>
      <c r="AB6" s="278"/>
      <c r="AC6" s="279"/>
      <c r="AD6" s="190"/>
      <c r="AE6" s="190"/>
      <c r="AF6" s="190"/>
      <c r="AG6" s="190"/>
      <c r="AH6" s="190"/>
      <c r="AI6" s="190"/>
    </row>
    <row r="7" spans="1:103" x14ac:dyDescent="0.2">
      <c r="B7" s="187"/>
      <c r="C7" s="187"/>
      <c r="D7" s="187"/>
      <c r="G7" s="182"/>
      <c r="H7" s="188"/>
      <c r="I7" s="189"/>
      <c r="J7" s="189"/>
      <c r="K7" s="189"/>
      <c r="L7" s="189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  <c r="AA7" s="283"/>
      <c r="AB7" s="283"/>
      <c r="AC7" s="284"/>
      <c r="AD7" s="190"/>
      <c r="AE7" s="190"/>
      <c r="AF7" s="190"/>
      <c r="AG7" s="190"/>
      <c r="AH7" s="190"/>
      <c r="AI7" s="190"/>
    </row>
    <row r="8" spans="1:103" ht="9" customHeight="1" thickBot="1" x14ac:dyDescent="0.25">
      <c r="B8" s="187"/>
      <c r="C8" s="187"/>
      <c r="D8" s="187"/>
      <c r="E8" s="184"/>
      <c r="G8" s="182"/>
      <c r="H8" s="182"/>
      <c r="I8" s="184"/>
      <c r="J8" s="184"/>
      <c r="L8" s="184"/>
      <c r="AC8" s="222"/>
      <c r="AD8" s="191"/>
      <c r="AI8" s="192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3" t="s">
        <v>32</v>
      </c>
      <c r="G9" s="263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42" t="s">
        <v>33</v>
      </c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93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7</v>
      </c>
      <c r="B10" s="209" t="s">
        <v>117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0" t="s">
        <v>36</v>
      </c>
      <c r="P10" s="241"/>
      <c r="Q10" s="241"/>
      <c r="R10" s="241"/>
      <c r="S10" s="241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94"/>
      <c r="AD10" s="31"/>
      <c r="AE10" s="14"/>
      <c r="AH10" s="195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223">
        <v>0</v>
      </c>
      <c r="G11" s="223">
        <v>2</v>
      </c>
      <c r="H11" s="41" t="s">
        <v>13</v>
      </c>
      <c r="I11" s="42"/>
      <c r="J11" s="42"/>
      <c r="K11" s="42"/>
      <c r="L11" s="264">
        <v>1</v>
      </c>
      <c r="M11" s="43" t="str">
        <f>IF(F11&lt;&gt;"",IF(F11&gt;G11,E11,IF(F11&lt;G11,H11,"")),"")</f>
        <v>Italy</v>
      </c>
      <c r="N11" s="31"/>
      <c r="O11" s="144">
        <v>1</v>
      </c>
      <c r="P11" s="265" t="str">
        <f>VLOOKUP(1,'Dummy Table'!A4:B8,2,FALSE)</f>
        <v>Italy</v>
      </c>
      <c r="Q11" s="265"/>
      <c r="R11" s="265"/>
      <c r="S11" s="265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0</v>
      </c>
      <c r="AA11" s="44">
        <f>X11-Z11</f>
        <v>6</v>
      </c>
      <c r="AB11" s="44">
        <f>U11*3+V11*1</f>
        <v>9</v>
      </c>
      <c r="AC11" s="194"/>
      <c r="AD11" s="31"/>
      <c r="AE11" s="14"/>
      <c r="AH11" s="195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224">
        <v>1</v>
      </c>
      <c r="G12" s="224">
        <v>1</v>
      </c>
      <c r="H12" s="50" t="s">
        <v>23</v>
      </c>
      <c r="I12" s="51"/>
      <c r="J12" s="51"/>
      <c r="K12" s="51"/>
      <c r="L12" s="230"/>
      <c r="M12" s="52" t="str">
        <f t="shared" ref="M12:M45" si="0">IF(F12&lt;&gt;"",IF(F12&gt;G12,E12,IF(F12&lt;G12,H12,"")),"")</f>
        <v/>
      </c>
      <c r="N12" s="31"/>
      <c r="O12" s="144">
        <v>2</v>
      </c>
      <c r="P12" s="266" t="str">
        <f>VLOOKUP(2,'Dummy Table'!A4:B8,2,FALSE)</f>
        <v>Wales</v>
      </c>
      <c r="Q12" s="266"/>
      <c r="R12" s="266"/>
      <c r="S12" s="266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3</v>
      </c>
      <c r="Y12" s="53" t="s">
        <v>45</v>
      </c>
      <c r="Z12" s="53">
        <f>VLOOKUP(P12,'Dummy Table'!B4:G40,6,FALSE)</f>
        <v>2</v>
      </c>
      <c r="AA12" s="53">
        <f>X12-Z12</f>
        <v>1</v>
      </c>
      <c r="AB12" s="53">
        <f>U12*3+V12*1</f>
        <v>4</v>
      </c>
      <c r="AC12" s="194"/>
      <c r="AD12" s="31"/>
      <c r="AE12" s="14"/>
      <c r="AH12" s="195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224">
        <v>0</v>
      </c>
      <c r="G13" s="224">
        <v>1</v>
      </c>
      <c r="H13" s="50" t="s">
        <v>9</v>
      </c>
      <c r="I13" s="51"/>
      <c r="J13" s="51"/>
      <c r="K13" s="51"/>
      <c r="L13" s="230"/>
      <c r="M13" s="52" t="str">
        <f t="shared" si="0"/>
        <v>Finland</v>
      </c>
      <c r="N13" s="31"/>
      <c r="O13" s="145">
        <v>3</v>
      </c>
      <c r="P13" s="267" t="str">
        <f>VLOOKUP(3,'Dummy Table'!A4:B8,2,FALSE)</f>
        <v>Switzerland</v>
      </c>
      <c r="Q13" s="267"/>
      <c r="R13" s="267"/>
      <c r="S13" s="267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4</v>
      </c>
      <c r="Y13" s="54" t="s">
        <v>45</v>
      </c>
      <c r="Z13" s="54">
        <f>VLOOKUP(P13,'Dummy Table'!B4:G40,6,FALSE)</f>
        <v>5</v>
      </c>
      <c r="AA13" s="54">
        <f>X13-Z13</f>
        <v>-1</v>
      </c>
      <c r="AB13" s="54">
        <f>U13*3+V13*1</f>
        <v>4</v>
      </c>
      <c r="AC13" s="194"/>
      <c r="AD13" s="31"/>
      <c r="AE13" s="14"/>
      <c r="AH13" s="195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224">
        <v>3</v>
      </c>
      <c r="G14" s="224">
        <v>0</v>
      </c>
      <c r="H14" s="50" t="s">
        <v>18</v>
      </c>
      <c r="I14" s="51"/>
      <c r="J14" s="51"/>
      <c r="K14" s="51"/>
      <c r="L14" s="230"/>
      <c r="M14" s="52" t="str">
        <f t="shared" si="0"/>
        <v>Belgium</v>
      </c>
      <c r="N14" s="31"/>
      <c r="O14" s="146">
        <v>4</v>
      </c>
      <c r="P14" s="245" t="str">
        <f>VLOOKUP(4,'Dummy Table'!A4:B8,2,FALSE)</f>
        <v>Turkey</v>
      </c>
      <c r="Q14" s="245"/>
      <c r="R14" s="245"/>
      <c r="S14" s="245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1</v>
      </c>
      <c r="Y14" s="55" t="s">
        <v>45</v>
      </c>
      <c r="Z14" s="55">
        <f>VLOOKUP(P14,'Dummy Table'!B4:G40,6,FALSE)</f>
        <v>7</v>
      </c>
      <c r="AA14" s="55">
        <f>X14-Z14</f>
        <v>-6</v>
      </c>
      <c r="AB14" s="55">
        <f>U14*3+V14*1</f>
        <v>0</v>
      </c>
      <c r="AC14" s="194"/>
      <c r="AD14" s="31"/>
      <c r="AE14" s="14"/>
      <c r="AH14" s="195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224">
        <v>1</v>
      </c>
      <c r="G15" s="224">
        <v>0</v>
      </c>
      <c r="H15" s="50" t="s">
        <v>5</v>
      </c>
      <c r="I15" s="51"/>
      <c r="J15" s="51"/>
      <c r="K15" s="51"/>
      <c r="L15" s="230"/>
      <c r="M15" s="52" t="str">
        <f t="shared" si="0"/>
        <v>England</v>
      </c>
      <c r="N15" s="31"/>
      <c r="O15" s="240" t="s">
        <v>47</v>
      </c>
      <c r="P15" s="241"/>
      <c r="Q15" s="241"/>
      <c r="R15" s="241"/>
      <c r="S15" s="241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94"/>
      <c r="AD15" s="31"/>
      <c r="AE15" s="14"/>
      <c r="AH15" s="195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224">
        <v>3</v>
      </c>
      <c r="G16" s="224">
        <v>1</v>
      </c>
      <c r="H16" s="50" t="s">
        <v>15</v>
      </c>
      <c r="I16" s="51"/>
      <c r="J16" s="51"/>
      <c r="K16" s="51"/>
      <c r="L16" s="230"/>
      <c r="M16" s="52" t="str">
        <f t="shared" si="0"/>
        <v>Austria</v>
      </c>
      <c r="N16" s="31"/>
      <c r="O16" s="147">
        <v>1</v>
      </c>
      <c r="P16" s="281" t="str">
        <f>VLOOKUP(1,'Dummy Table'!A11:B15,2,FALSE)</f>
        <v>Belgium</v>
      </c>
      <c r="Q16" s="281"/>
      <c r="R16" s="281"/>
      <c r="S16" s="281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7</v>
      </c>
      <c r="Y16" s="57" t="s">
        <v>45</v>
      </c>
      <c r="Z16" s="56">
        <f>VLOOKUP(P16,'Dummy Table'!B4:G40,6,FALSE)</f>
        <v>1</v>
      </c>
      <c r="AA16" s="56">
        <f>X16-Z16</f>
        <v>6</v>
      </c>
      <c r="AB16" s="56">
        <f>U16*3+V16*1</f>
        <v>9</v>
      </c>
      <c r="AC16" s="194"/>
      <c r="AD16" s="31"/>
      <c r="AE16" s="14"/>
      <c r="AH16" s="195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224">
        <v>3</v>
      </c>
      <c r="G17" s="224">
        <v>2</v>
      </c>
      <c r="H17" s="50" t="s">
        <v>25</v>
      </c>
      <c r="I17" s="51"/>
      <c r="J17" s="51"/>
      <c r="K17" s="51"/>
      <c r="L17" s="230"/>
      <c r="M17" s="52" t="str">
        <f t="shared" si="0"/>
        <v>Netherlands</v>
      </c>
      <c r="N17" s="31"/>
      <c r="O17" s="147">
        <v>2</v>
      </c>
      <c r="P17" s="282" t="str">
        <f>VLOOKUP(2,'Dummy Table'!A11:B15,2,FALSE)</f>
        <v>Denmark</v>
      </c>
      <c r="Q17" s="282"/>
      <c r="R17" s="282"/>
      <c r="S17" s="282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0</v>
      </c>
      <c r="W17" s="58">
        <f>VLOOKUP(P17,'Dummy Table'!B4:E40,4,FALSE)</f>
        <v>2</v>
      </c>
      <c r="X17" s="58">
        <f>VLOOKUP(P17,'Dummy Table'!B4:F40,5,FALSE)</f>
        <v>5</v>
      </c>
      <c r="Y17" s="58" t="s">
        <v>45</v>
      </c>
      <c r="Z17" s="58">
        <f>VLOOKUP(P17,'Dummy Table'!B4:G40,6,FALSE)</f>
        <v>4</v>
      </c>
      <c r="AA17" s="58">
        <f>X17-Z17</f>
        <v>1</v>
      </c>
      <c r="AB17" s="58">
        <f>U17*3+V17*1</f>
        <v>3</v>
      </c>
      <c r="AC17" s="194"/>
      <c r="AD17" s="31"/>
      <c r="AE17" s="14"/>
      <c r="AH17" s="195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224">
        <v>0</v>
      </c>
      <c r="G18" s="224">
        <v>2</v>
      </c>
      <c r="H18" s="50" t="s">
        <v>6</v>
      </c>
      <c r="I18" s="51"/>
      <c r="J18" s="51"/>
      <c r="K18" s="51"/>
      <c r="L18" s="230"/>
      <c r="M18" s="52" t="str">
        <f t="shared" si="0"/>
        <v>Czech Republic</v>
      </c>
      <c r="N18" s="31"/>
      <c r="O18" s="148">
        <v>3</v>
      </c>
      <c r="P18" s="270" t="str">
        <f>VLOOKUP(3,'Dummy Table'!A11:B15,2,FALSE)</f>
        <v>Finland</v>
      </c>
      <c r="Q18" s="270"/>
      <c r="R18" s="270"/>
      <c r="S18" s="270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1</v>
      </c>
      <c r="Y18" s="59" t="s">
        <v>45</v>
      </c>
      <c r="Z18" s="59">
        <f>VLOOKUP(P18,'Dummy Table'!B4:G40,6,FALSE)</f>
        <v>3</v>
      </c>
      <c r="AA18" s="59">
        <f>X18-Z18</f>
        <v>-2</v>
      </c>
      <c r="AB18" s="59">
        <f>U18*3+V18*1</f>
        <v>3</v>
      </c>
      <c r="AC18" s="194"/>
      <c r="AD18" s="31"/>
      <c r="AE18" s="14"/>
      <c r="AH18" s="195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224">
        <v>1</v>
      </c>
      <c r="G19" s="224">
        <v>2</v>
      </c>
      <c r="H19" s="50" t="s">
        <v>20</v>
      </c>
      <c r="I19" s="51"/>
      <c r="J19" s="51"/>
      <c r="K19" s="51"/>
      <c r="L19" s="230"/>
      <c r="M19" s="52" t="str">
        <f t="shared" si="0"/>
        <v>Slovakia</v>
      </c>
      <c r="N19" s="31"/>
      <c r="O19" s="146">
        <v>4</v>
      </c>
      <c r="P19" s="245" t="str">
        <f>VLOOKUP(4,'Dummy Table'!A11:B15,2,FALSE)</f>
        <v>Russia</v>
      </c>
      <c r="Q19" s="245"/>
      <c r="R19" s="245"/>
      <c r="S19" s="245"/>
      <c r="T19" s="55">
        <f t="shared" si="2"/>
        <v>3</v>
      </c>
      <c r="U19" s="55">
        <f>VLOOKUP(P19,'Dummy Table'!B4:C40,2,FALSE)</f>
        <v>1</v>
      </c>
      <c r="V19" s="55">
        <f>VLOOKUP(P19,'Dummy Table'!B4:D40,3,FALSE)</f>
        <v>0</v>
      </c>
      <c r="W19" s="55">
        <f>VLOOKUP(P19,'Dummy Table'!B4:E40,4,FALSE)</f>
        <v>2</v>
      </c>
      <c r="X19" s="55">
        <f>VLOOKUP(P19,'Dummy Table'!B4:F40,5,FALSE)</f>
        <v>2</v>
      </c>
      <c r="Y19" s="55" t="s">
        <v>45</v>
      </c>
      <c r="Z19" s="55">
        <f>VLOOKUP(P19,'Dummy Table'!B4:G40,6,FALSE)</f>
        <v>7</v>
      </c>
      <c r="AA19" s="55">
        <f>X19-Z19</f>
        <v>-5</v>
      </c>
      <c r="AB19" s="55">
        <f>U19*3+V19*1</f>
        <v>3</v>
      </c>
      <c r="AC19" s="194"/>
      <c r="AD19" s="31"/>
      <c r="AE19" s="14"/>
      <c r="AH19" s="195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224">
        <v>0</v>
      </c>
      <c r="G20" s="224">
        <v>0</v>
      </c>
      <c r="H20" s="50" t="s">
        <v>22</v>
      </c>
      <c r="I20" s="51"/>
      <c r="J20" s="51"/>
      <c r="K20" s="51"/>
      <c r="L20" s="230"/>
      <c r="M20" s="52" t="str">
        <f t="shared" si="0"/>
        <v/>
      </c>
      <c r="N20" s="31"/>
      <c r="O20" s="240" t="s">
        <v>50</v>
      </c>
      <c r="P20" s="241"/>
      <c r="Q20" s="241"/>
      <c r="R20" s="241"/>
      <c r="S20" s="241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94"/>
      <c r="AD20" s="31"/>
      <c r="AE20" s="14"/>
      <c r="AH20" s="195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224">
        <v>0</v>
      </c>
      <c r="G21" s="224">
        <v>3</v>
      </c>
      <c r="H21" s="50" t="s">
        <v>17</v>
      </c>
      <c r="I21" s="51"/>
      <c r="J21" s="51"/>
      <c r="K21" s="51"/>
      <c r="L21" s="230"/>
      <c r="M21" s="52" t="str">
        <f t="shared" si="0"/>
        <v>Portugal</v>
      </c>
      <c r="N21" s="31"/>
      <c r="O21" s="149">
        <v>1</v>
      </c>
      <c r="P21" s="273" t="str">
        <f>VLOOKUP(1,'Dummy Table'!A18:B22,2,FALSE)</f>
        <v>Netherlands</v>
      </c>
      <c r="Q21" s="273"/>
      <c r="R21" s="273"/>
      <c r="S21" s="273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8</v>
      </c>
      <c r="Y21" s="61" t="s">
        <v>45</v>
      </c>
      <c r="Z21" s="60">
        <f>VLOOKUP(P21,'Dummy Table'!B4:G40,6,FALSE)</f>
        <v>2</v>
      </c>
      <c r="AA21" s="60">
        <f>X21-Z21</f>
        <v>6</v>
      </c>
      <c r="AB21" s="60">
        <f>U21*3+V21*1</f>
        <v>9</v>
      </c>
      <c r="AC21" s="194"/>
      <c r="AD21" s="31"/>
      <c r="AE21" s="14"/>
      <c r="AH21" s="195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225">
        <v>1</v>
      </c>
      <c r="G22" s="225">
        <v>0</v>
      </c>
      <c r="H22" s="66" t="s">
        <v>11</v>
      </c>
      <c r="I22" s="67"/>
      <c r="J22" s="67"/>
      <c r="K22" s="68"/>
      <c r="L22" s="231"/>
      <c r="M22" s="69" t="str">
        <f t="shared" si="0"/>
        <v>France</v>
      </c>
      <c r="N22" s="31"/>
      <c r="O22" s="149">
        <v>2</v>
      </c>
      <c r="P22" s="268" t="str">
        <f>VLOOKUP(2,'Dummy Table'!A18:B22,2,FALSE)</f>
        <v>Austria</v>
      </c>
      <c r="Q22" s="268"/>
      <c r="R22" s="268"/>
      <c r="S22" s="268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94"/>
      <c r="AD22" s="31"/>
      <c r="AE22" s="14"/>
      <c r="AH22" s="195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223">
        <v>0</v>
      </c>
      <c r="G23" s="223">
        <v>1</v>
      </c>
      <c r="H23" s="75" t="s">
        <v>18</v>
      </c>
      <c r="I23" s="76"/>
      <c r="J23" s="76"/>
      <c r="K23" s="76"/>
      <c r="L23" s="232">
        <v>2</v>
      </c>
      <c r="M23" s="77" t="str">
        <f t="shared" si="0"/>
        <v>Russia</v>
      </c>
      <c r="N23" s="31"/>
      <c r="O23" s="150">
        <v>3</v>
      </c>
      <c r="P23" s="272" t="str">
        <f>VLOOKUP(3,'Dummy Table'!A18:B22,2,FALSE)</f>
        <v>Ukraine</v>
      </c>
      <c r="Q23" s="272"/>
      <c r="R23" s="272"/>
      <c r="S23" s="272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4</v>
      </c>
      <c r="Y23" s="78" t="s">
        <v>45</v>
      </c>
      <c r="Z23" s="78">
        <f>VLOOKUP(P23,'Dummy Table'!B4:G40,6,FALSE)</f>
        <v>5</v>
      </c>
      <c r="AA23" s="78">
        <f>X23-Z23</f>
        <v>-1</v>
      </c>
      <c r="AB23" s="78">
        <f>U23*3+V23*1</f>
        <v>3</v>
      </c>
      <c r="AC23" s="194"/>
      <c r="AD23" s="31"/>
      <c r="AE23" s="14"/>
      <c r="AH23" s="195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224">
        <v>0</v>
      </c>
      <c r="G24" s="224">
        <v>2</v>
      </c>
      <c r="H24" s="83" t="s">
        <v>26</v>
      </c>
      <c r="I24" s="84"/>
      <c r="J24" s="84"/>
      <c r="K24" s="84"/>
      <c r="L24" s="237"/>
      <c r="M24" s="85" t="str">
        <f t="shared" si="0"/>
        <v>Wales</v>
      </c>
      <c r="N24" s="31"/>
      <c r="O24" s="146">
        <v>4</v>
      </c>
      <c r="P24" s="245" t="str">
        <f>VLOOKUP(4,'Dummy Table'!A18:B22,2,FALSE)</f>
        <v>North Macedonia</v>
      </c>
      <c r="Q24" s="245"/>
      <c r="R24" s="245"/>
      <c r="S24" s="245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2</v>
      </c>
      <c r="Y24" s="55" t="s">
        <v>45</v>
      </c>
      <c r="Z24" s="55">
        <f>VLOOKUP(P24,'Dummy Table'!B4:G40,6,FALSE)</f>
        <v>8</v>
      </c>
      <c r="AA24" s="55">
        <f>X24-Z24</f>
        <v>-6</v>
      </c>
      <c r="AB24" s="55">
        <f>U24*3+V24*1</f>
        <v>0</v>
      </c>
      <c r="AC24" s="194"/>
      <c r="AD24" s="31"/>
      <c r="AE24" s="14"/>
      <c r="AH24" s="195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224">
        <v>3</v>
      </c>
      <c r="G25" s="224">
        <v>0</v>
      </c>
      <c r="H25" s="83" t="s">
        <v>23</v>
      </c>
      <c r="I25" s="84"/>
      <c r="J25" s="84"/>
      <c r="K25" s="84"/>
      <c r="L25" s="237"/>
      <c r="M25" s="85" t="str">
        <f t="shared" si="0"/>
        <v>Italy</v>
      </c>
      <c r="N25" s="31"/>
      <c r="O25" s="240" t="s">
        <v>51</v>
      </c>
      <c r="P25" s="241"/>
      <c r="Q25" s="241"/>
      <c r="R25" s="241"/>
      <c r="S25" s="241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94"/>
      <c r="AD25" s="31"/>
      <c r="AE25" s="14"/>
      <c r="AH25" s="195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224">
        <v>2</v>
      </c>
      <c r="G26" s="224">
        <v>1</v>
      </c>
      <c r="H26" s="83" t="s">
        <v>15</v>
      </c>
      <c r="I26" s="84"/>
      <c r="J26" s="84"/>
      <c r="K26" s="84"/>
      <c r="L26" s="237"/>
      <c r="M26" s="85" t="str">
        <f t="shared" si="0"/>
        <v>Ukraine</v>
      </c>
      <c r="N26" s="31"/>
      <c r="O26" s="151">
        <v>1</v>
      </c>
      <c r="P26" s="275" t="str">
        <f>VLOOKUP(1,'Dummy Table'!A25:B29,2,FALSE)</f>
        <v>England</v>
      </c>
      <c r="Q26" s="275"/>
      <c r="R26" s="275"/>
      <c r="S26" s="275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2</v>
      </c>
      <c r="Y26" s="87" t="s">
        <v>45</v>
      </c>
      <c r="Z26" s="86">
        <f>VLOOKUP(P26,'Dummy Table'!B4:G40,6,FALSE)</f>
        <v>0</v>
      </c>
      <c r="AA26" s="86">
        <f>X26-Z26</f>
        <v>2</v>
      </c>
      <c r="AB26" s="86">
        <f>U26*3+V26*1</f>
        <v>7</v>
      </c>
      <c r="AC26" s="194"/>
      <c r="AD26" s="31"/>
      <c r="AE26" s="14"/>
      <c r="AH26" s="195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224">
        <v>1</v>
      </c>
      <c r="G27" s="224">
        <v>2</v>
      </c>
      <c r="H27" s="83" t="s">
        <v>4</v>
      </c>
      <c r="I27" s="84"/>
      <c r="J27" s="84"/>
      <c r="K27" s="84"/>
      <c r="L27" s="237"/>
      <c r="M27" s="85" t="str">
        <f t="shared" si="0"/>
        <v>Belgium</v>
      </c>
      <c r="N27" s="31"/>
      <c r="O27" s="151">
        <v>2</v>
      </c>
      <c r="P27" s="269" t="str">
        <f>VLOOKUP(2,'Dummy Table'!A25:B29,2,FALSE)</f>
        <v>Croatia</v>
      </c>
      <c r="Q27" s="269"/>
      <c r="R27" s="269"/>
      <c r="S27" s="269"/>
      <c r="T27" s="88">
        <f t="shared" ref="T27:T29" si="4">SUM(U27:W27)</f>
        <v>3</v>
      </c>
      <c r="U27" s="88">
        <f>VLOOKUP(P27,'Dummy Table'!B4:C40,2,FALSE)</f>
        <v>1</v>
      </c>
      <c r="V27" s="88">
        <f>VLOOKUP(P27,'Dummy Table'!B4:D40,3,FALSE)</f>
        <v>1</v>
      </c>
      <c r="W27" s="88">
        <f>VLOOKUP(P27,'Dummy Table'!B4:E40,4,FALSE)</f>
        <v>1</v>
      </c>
      <c r="X27" s="88">
        <f>VLOOKUP(P27,'Dummy Table'!B4:F40,5,FALSE)</f>
        <v>4</v>
      </c>
      <c r="Y27" s="88" t="s">
        <v>45</v>
      </c>
      <c r="Z27" s="88">
        <f>VLOOKUP(P27,'Dummy Table'!B4:G40,6,FALSE)</f>
        <v>3</v>
      </c>
      <c r="AA27" s="88">
        <f>X27-Z27</f>
        <v>1</v>
      </c>
      <c r="AB27" s="88">
        <f>U27*3+V27*1</f>
        <v>4</v>
      </c>
      <c r="AC27" s="194"/>
      <c r="AD27" s="31"/>
      <c r="AE27" s="14"/>
      <c r="AH27" s="195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224">
        <v>2</v>
      </c>
      <c r="G28" s="224">
        <v>0</v>
      </c>
      <c r="H28" s="83" t="s">
        <v>2</v>
      </c>
      <c r="I28" s="84"/>
      <c r="J28" s="84"/>
      <c r="K28" s="84"/>
      <c r="L28" s="237"/>
      <c r="M28" s="85" t="str">
        <f t="shared" si="0"/>
        <v>Netherlands</v>
      </c>
      <c r="N28" s="31"/>
      <c r="O28" s="152">
        <v>3</v>
      </c>
      <c r="P28" s="274" t="str">
        <f>VLOOKUP(3,'Dummy Table'!A25:B29,2,FALSE)</f>
        <v>Czech Republic</v>
      </c>
      <c r="Q28" s="274"/>
      <c r="R28" s="274"/>
      <c r="S28" s="274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1</v>
      </c>
      <c r="W28" s="89">
        <f>VLOOKUP(P28,'Dummy Table'!B4:E40,4,FALSE)</f>
        <v>1</v>
      </c>
      <c r="X28" s="89">
        <f>VLOOKUP(P28,'Dummy Table'!B4:F40,5,FALSE)</f>
        <v>3</v>
      </c>
      <c r="Y28" s="89" t="s">
        <v>45</v>
      </c>
      <c r="Z28" s="89">
        <f>VLOOKUP(P28,'Dummy Table'!B4:G40,6,FALSE)</f>
        <v>2</v>
      </c>
      <c r="AA28" s="89">
        <f>X28-Z28</f>
        <v>1</v>
      </c>
      <c r="AB28" s="89">
        <f>U28*3+V28*1</f>
        <v>4</v>
      </c>
      <c r="AC28" s="194"/>
      <c r="AD28" s="31"/>
      <c r="AE28" s="14"/>
      <c r="AH28" s="195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224">
        <v>1</v>
      </c>
      <c r="G29" s="224">
        <v>0</v>
      </c>
      <c r="H29" s="83" t="s">
        <v>20</v>
      </c>
      <c r="I29" s="84"/>
      <c r="J29" s="84"/>
      <c r="K29" s="84"/>
      <c r="L29" s="237"/>
      <c r="M29" s="85" t="str">
        <f t="shared" si="0"/>
        <v>Sweden</v>
      </c>
      <c r="N29" s="31"/>
      <c r="O29" s="146">
        <v>4</v>
      </c>
      <c r="P29" s="245" t="str">
        <f>VLOOKUP(4,'Dummy Table'!A25:B29,2,FALSE)</f>
        <v>Scotland</v>
      </c>
      <c r="Q29" s="245"/>
      <c r="R29" s="245"/>
      <c r="S29" s="245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5</v>
      </c>
      <c r="AA29" s="55">
        <f>X29-Z29</f>
        <v>-4</v>
      </c>
      <c r="AB29" s="55">
        <f>U29*3+V29*1</f>
        <v>1</v>
      </c>
      <c r="AC29" s="194"/>
      <c r="AD29" s="31"/>
      <c r="AE29" s="14"/>
      <c r="AH29" s="195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224">
        <v>1</v>
      </c>
      <c r="G30" s="224">
        <v>1</v>
      </c>
      <c r="H30" s="83" t="s">
        <v>6</v>
      </c>
      <c r="I30" s="84"/>
      <c r="J30" s="84"/>
      <c r="K30" s="84"/>
      <c r="L30" s="237"/>
      <c r="M30" s="85" t="str">
        <f t="shared" si="0"/>
        <v/>
      </c>
      <c r="N30" s="31"/>
      <c r="O30" s="240" t="s">
        <v>52</v>
      </c>
      <c r="P30" s="241"/>
      <c r="Q30" s="241"/>
      <c r="R30" s="241"/>
      <c r="S30" s="241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94"/>
      <c r="AD30" s="31"/>
      <c r="AE30" s="14"/>
      <c r="AH30" s="195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224">
        <v>0</v>
      </c>
      <c r="G31" s="224">
        <v>0</v>
      </c>
      <c r="H31" s="83" t="s">
        <v>19</v>
      </c>
      <c r="I31" s="84"/>
      <c r="J31" s="84"/>
      <c r="K31" s="84"/>
      <c r="L31" s="237"/>
      <c r="M31" s="85" t="str">
        <f t="shared" si="0"/>
        <v/>
      </c>
      <c r="N31" s="31"/>
      <c r="O31" s="153">
        <v>1</v>
      </c>
      <c r="P31" s="276" t="str">
        <f>VLOOKUP(1,'Dummy Table'!A31:B35,2,FALSE)</f>
        <v>Sweden</v>
      </c>
      <c r="Q31" s="276"/>
      <c r="R31" s="276"/>
      <c r="S31" s="276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4</v>
      </c>
      <c r="Y31" s="91" t="s">
        <v>45</v>
      </c>
      <c r="Z31" s="90">
        <f>VLOOKUP(P31,'Dummy Table'!B4:G40,6,FALSE)</f>
        <v>2</v>
      </c>
      <c r="AA31" s="90">
        <f>X31-Z31</f>
        <v>2</v>
      </c>
      <c r="AB31" s="90">
        <f>U31*3+V31*1</f>
        <v>7</v>
      </c>
      <c r="AC31" s="194"/>
      <c r="AD31" s="31"/>
      <c r="AE31" s="14"/>
      <c r="AH31" s="195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224">
        <v>1</v>
      </c>
      <c r="G32" s="224">
        <v>1</v>
      </c>
      <c r="H32" s="83" t="s">
        <v>10</v>
      </c>
      <c r="I32" s="84"/>
      <c r="J32" s="84"/>
      <c r="K32" s="84"/>
      <c r="L32" s="237"/>
      <c r="M32" s="85" t="str">
        <f t="shared" si="0"/>
        <v/>
      </c>
      <c r="N32" s="31"/>
      <c r="O32" s="153">
        <v>2</v>
      </c>
      <c r="P32" s="271" t="str">
        <f>VLOOKUP(2,'Dummy Table'!A31:B35,2,FALSE)</f>
        <v>Spain</v>
      </c>
      <c r="Q32" s="271"/>
      <c r="R32" s="271"/>
      <c r="S32" s="271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2</v>
      </c>
      <c r="W32" s="92">
        <f>VLOOKUP(P32,'Dummy Table'!B4:E40,4,FALSE)</f>
        <v>0</v>
      </c>
      <c r="X32" s="92">
        <f>VLOOKUP(P32,'Dummy Table'!B4:F40,5,FALSE)</f>
        <v>6</v>
      </c>
      <c r="Y32" s="92" t="s">
        <v>45</v>
      </c>
      <c r="Z32" s="92">
        <f>VLOOKUP(P32,'Dummy Table'!B4:G40,6,FALSE)</f>
        <v>1</v>
      </c>
      <c r="AA32" s="92">
        <f>X32-Z32</f>
        <v>5</v>
      </c>
      <c r="AB32" s="92">
        <f>U32*3+V32*1</f>
        <v>5</v>
      </c>
      <c r="AC32" s="194"/>
      <c r="AD32" s="31"/>
      <c r="AE32" s="14"/>
      <c r="AH32" s="195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224">
        <v>2</v>
      </c>
      <c r="G33" s="224">
        <v>4</v>
      </c>
      <c r="H33" s="83" t="s">
        <v>11</v>
      </c>
      <c r="I33" s="84"/>
      <c r="J33" s="84"/>
      <c r="K33" s="84"/>
      <c r="L33" s="237"/>
      <c r="M33" s="85" t="str">
        <f t="shared" si="0"/>
        <v>Germany</v>
      </c>
      <c r="N33" s="31"/>
      <c r="O33" s="154">
        <v>3</v>
      </c>
      <c r="P33" s="277" t="str">
        <f>VLOOKUP(3,'Dummy Table'!A31:B35,2,FALSE)</f>
        <v>Slovakia</v>
      </c>
      <c r="Q33" s="277"/>
      <c r="R33" s="277"/>
      <c r="S33" s="27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2</v>
      </c>
      <c r="Y33" s="93" t="s">
        <v>45</v>
      </c>
      <c r="Z33" s="93">
        <f>VLOOKUP(P33,'Dummy Table'!B4:G40,6,FALSE)</f>
        <v>7</v>
      </c>
      <c r="AA33" s="93">
        <f>X33-Z33</f>
        <v>-5</v>
      </c>
      <c r="AB33" s="93">
        <f>U33*3+V33*1</f>
        <v>3</v>
      </c>
      <c r="AC33" s="194"/>
      <c r="AD33" s="31"/>
      <c r="AE33" s="14"/>
      <c r="AH33" s="195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225">
        <v>1</v>
      </c>
      <c r="G34" s="225">
        <v>1</v>
      </c>
      <c r="H34" s="98" t="s">
        <v>16</v>
      </c>
      <c r="I34" s="99"/>
      <c r="J34" s="99"/>
      <c r="K34" s="100"/>
      <c r="L34" s="233"/>
      <c r="M34" s="101" t="str">
        <f t="shared" si="0"/>
        <v/>
      </c>
      <c r="N34" s="31"/>
      <c r="O34" s="146">
        <v>4</v>
      </c>
      <c r="P34" s="245" t="str">
        <f>VLOOKUP(4,'Dummy Table'!A31:B35,2,FALSE)</f>
        <v>Poland</v>
      </c>
      <c r="Q34" s="245"/>
      <c r="R34" s="245"/>
      <c r="S34" s="245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4</v>
      </c>
      <c r="Y34" s="55" t="s">
        <v>45</v>
      </c>
      <c r="Z34" s="55">
        <f>VLOOKUP(P34,'Dummy Table'!B4:G40,6,FALSE)</f>
        <v>6</v>
      </c>
      <c r="AA34" s="55">
        <f>X34-Z34</f>
        <v>-2</v>
      </c>
      <c r="AB34" s="55">
        <f>U34*3+V34*1</f>
        <v>1</v>
      </c>
      <c r="AC34" s="194"/>
      <c r="AD34" s="31"/>
      <c r="AE34" s="14"/>
      <c r="AH34" s="16"/>
      <c r="CY34" s="14"/>
    </row>
    <row r="35" spans="1:103" s="17" customFormat="1" ht="15" customHeight="1" x14ac:dyDescent="0.2">
      <c r="A35" s="16"/>
      <c r="B35" s="37">
        <v>25</v>
      </c>
      <c r="C35" s="38" t="s">
        <v>42</v>
      </c>
      <c r="D35" s="39">
        <v>44367.75</v>
      </c>
      <c r="E35" s="40" t="s">
        <v>23</v>
      </c>
      <c r="F35" s="223">
        <v>3</v>
      </c>
      <c r="G35" s="223">
        <v>1</v>
      </c>
      <c r="H35" s="41" t="s">
        <v>24</v>
      </c>
      <c r="I35" s="42"/>
      <c r="J35" s="42"/>
      <c r="K35" s="42"/>
      <c r="L35" s="229">
        <v>3</v>
      </c>
      <c r="M35" s="102" t="str">
        <f t="shared" si="0"/>
        <v>Switzerland</v>
      </c>
      <c r="N35" s="31"/>
      <c r="O35" s="240" t="s">
        <v>53</v>
      </c>
      <c r="P35" s="241"/>
      <c r="Q35" s="241"/>
      <c r="R35" s="241"/>
      <c r="S35" s="241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94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224">
        <v>1</v>
      </c>
      <c r="G36" s="224">
        <v>0</v>
      </c>
      <c r="H36" s="50" t="s">
        <v>26</v>
      </c>
      <c r="I36" s="51"/>
      <c r="J36" s="51"/>
      <c r="K36" s="51"/>
      <c r="L36" s="230"/>
      <c r="M36" s="52" t="str">
        <f t="shared" si="0"/>
        <v>Italy</v>
      </c>
      <c r="N36" s="31"/>
      <c r="O36" s="155">
        <v>1</v>
      </c>
      <c r="P36" s="242" t="str">
        <f>VLOOKUP(1,'Dummy Table'!A37:B41,2,FALSE)</f>
        <v>France</v>
      </c>
      <c r="Q36" s="242"/>
      <c r="R36" s="242"/>
      <c r="S36" s="242"/>
      <c r="T36" s="103">
        <f>SUM(U36:W36)</f>
        <v>3</v>
      </c>
      <c r="U36" s="103">
        <f>VLOOKUP(P36,'Dummy Table'!B4:C40,2,FALSE)</f>
        <v>1</v>
      </c>
      <c r="V36" s="103">
        <f>VLOOKUP(P36,'Dummy Table'!B4:D40,3,FALSE)</f>
        <v>2</v>
      </c>
      <c r="W36" s="103">
        <f>VLOOKUP(P36,'Dummy Table'!B4:E40,4,FALSE)</f>
        <v>0</v>
      </c>
      <c r="X36" s="103">
        <f>VLOOKUP(P36,'Dummy Table'!B4:F40,5,FALSE)</f>
        <v>4</v>
      </c>
      <c r="Y36" s="104" t="s">
        <v>45</v>
      </c>
      <c r="Z36" s="103">
        <f>VLOOKUP(P36,'Dummy Table'!B4:G40,6,FALSE)</f>
        <v>3</v>
      </c>
      <c r="AA36" s="103">
        <f>X36-Z36</f>
        <v>1</v>
      </c>
      <c r="AB36" s="103">
        <f>U36*3+V36*1</f>
        <v>5</v>
      </c>
      <c r="AC36" s="194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224">
        <v>0</v>
      </c>
      <c r="G37" s="224">
        <v>3</v>
      </c>
      <c r="H37" s="50" t="s">
        <v>14</v>
      </c>
      <c r="I37" s="51"/>
      <c r="J37" s="51"/>
      <c r="K37" s="51"/>
      <c r="L37" s="230"/>
      <c r="M37" s="52" t="str">
        <f t="shared" si="0"/>
        <v>Netherlands</v>
      </c>
      <c r="N37" s="31"/>
      <c r="O37" s="155">
        <v>2</v>
      </c>
      <c r="P37" s="243" t="str">
        <f>VLOOKUP(2,'Dummy Table'!A37:B41,2,FALSE)</f>
        <v>Germany</v>
      </c>
      <c r="Q37" s="243"/>
      <c r="R37" s="243"/>
      <c r="S37" s="243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6</v>
      </c>
      <c r="Y37" s="105" t="s">
        <v>45</v>
      </c>
      <c r="Z37" s="105">
        <f>VLOOKUP(P37,'Dummy Table'!B4:G40,6,FALSE)</f>
        <v>5</v>
      </c>
      <c r="AA37" s="105">
        <f>X37-Z37</f>
        <v>1</v>
      </c>
      <c r="AB37" s="105">
        <f>U37*3+V37*1</f>
        <v>4</v>
      </c>
      <c r="AC37" s="194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224">
        <v>0</v>
      </c>
      <c r="G38" s="224">
        <v>1</v>
      </c>
      <c r="H38" s="50" t="s">
        <v>2</v>
      </c>
      <c r="I38" s="51"/>
      <c r="J38" s="51"/>
      <c r="K38" s="51"/>
      <c r="L38" s="230"/>
      <c r="M38" s="52" t="str">
        <f t="shared" si="0"/>
        <v>Austria</v>
      </c>
      <c r="N38" s="31"/>
      <c r="O38" s="156">
        <v>3</v>
      </c>
      <c r="P38" s="244" t="str">
        <f>VLOOKUP(3,'Dummy Table'!A37:B41,2,FALSE)</f>
        <v>Portugal</v>
      </c>
      <c r="Q38" s="244"/>
      <c r="R38" s="244"/>
      <c r="S38" s="244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7</v>
      </c>
      <c r="Y38" s="106" t="s">
        <v>45</v>
      </c>
      <c r="Z38" s="106">
        <f>VLOOKUP(P38,'Dummy Table'!B4:G40,6,FALSE)</f>
        <v>6</v>
      </c>
      <c r="AA38" s="106">
        <f>X38-Z38</f>
        <v>1</v>
      </c>
      <c r="AB38" s="106">
        <f>U38*3+V38*1</f>
        <v>4</v>
      </c>
      <c r="AC38" s="194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224">
        <v>1</v>
      </c>
      <c r="G39" s="224">
        <v>4</v>
      </c>
      <c r="H39" s="50" t="s">
        <v>7</v>
      </c>
      <c r="I39" s="51"/>
      <c r="J39" s="51"/>
      <c r="K39" s="51"/>
      <c r="L39" s="230"/>
      <c r="M39" s="52" t="str">
        <f t="shared" si="0"/>
        <v>Denmark</v>
      </c>
      <c r="N39" s="31"/>
      <c r="O39" s="146">
        <v>4</v>
      </c>
      <c r="P39" s="245" t="str">
        <f>VLOOKUP(4,'Dummy Table'!A37:B41,2,FALSE)</f>
        <v>Hungary</v>
      </c>
      <c r="Q39" s="245"/>
      <c r="R39" s="245"/>
      <c r="S39" s="245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2</v>
      </c>
      <c r="W39" s="55">
        <f>VLOOKUP(P39,'Dummy Table'!B4:E40,4,FALSE)</f>
        <v>1</v>
      </c>
      <c r="X39" s="55">
        <f>VLOOKUP(P39,'Dummy Table'!B4:F40,5,FALSE)</f>
        <v>3</v>
      </c>
      <c r="Y39" s="55" t="s">
        <v>45</v>
      </c>
      <c r="Z39" s="55">
        <f>VLOOKUP(P39,'Dummy Table'!B4:G40,6,FALSE)</f>
        <v>6</v>
      </c>
      <c r="AA39" s="55">
        <f>X39-Z39</f>
        <v>-3</v>
      </c>
      <c r="AB39" s="55">
        <f>U39*3+V39*1</f>
        <v>2</v>
      </c>
      <c r="AC39" s="194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224">
        <v>0</v>
      </c>
      <c r="G40" s="224">
        <v>2</v>
      </c>
      <c r="H40" s="50" t="s">
        <v>4</v>
      </c>
      <c r="I40" s="51"/>
      <c r="J40" s="51"/>
      <c r="K40" s="51"/>
      <c r="L40" s="230"/>
      <c r="M40" s="52" t="str">
        <f t="shared" si="0"/>
        <v>Belgium</v>
      </c>
      <c r="N40" s="31"/>
      <c r="O40" s="157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58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224">
        <v>3</v>
      </c>
      <c r="G41" s="224">
        <v>1</v>
      </c>
      <c r="H41" s="50" t="s">
        <v>19</v>
      </c>
      <c r="I41" s="51"/>
      <c r="J41" s="51"/>
      <c r="K41" s="51"/>
      <c r="L41" s="230"/>
      <c r="M41" s="52" t="str">
        <f t="shared" si="0"/>
        <v>Croatia</v>
      </c>
      <c r="N41" s="31"/>
      <c r="O41" s="159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60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224">
        <v>0</v>
      </c>
      <c r="G42" s="224">
        <v>1</v>
      </c>
      <c r="H42" s="50" t="s">
        <v>8</v>
      </c>
      <c r="I42" s="51"/>
      <c r="J42" s="51"/>
      <c r="K42" s="51"/>
      <c r="L42" s="230"/>
      <c r="M42" s="52" t="str">
        <f t="shared" si="0"/>
        <v>England</v>
      </c>
      <c r="N42" s="31"/>
      <c r="O42" s="161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62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224">
        <v>3</v>
      </c>
      <c r="G43" s="224">
        <v>2</v>
      </c>
      <c r="H43" s="50" t="s">
        <v>16</v>
      </c>
      <c r="I43" s="51"/>
      <c r="J43" s="51"/>
      <c r="K43" s="51"/>
      <c r="L43" s="230"/>
      <c r="M43" s="52" t="str">
        <f t="shared" si="0"/>
        <v>Sweden</v>
      </c>
      <c r="N43" s="31"/>
      <c r="O43" s="163">
        <v>1</v>
      </c>
      <c r="P43" s="234" t="str">
        <f>INDEX('Dummy Table'!DH3:DH8,MATCH(Matches!O43,'Dummy Table'!DU3:DU8,0),0)</f>
        <v>Portugal</v>
      </c>
      <c r="Q43" s="234"/>
      <c r="R43" s="234"/>
      <c r="S43" s="234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7</v>
      </c>
      <c r="Y43" s="111" t="s">
        <v>45</v>
      </c>
      <c r="Z43" s="111">
        <f>VLOOKUP(P43,P11:AB39,11,FALSE)</f>
        <v>6</v>
      </c>
      <c r="AA43" s="111">
        <f>VLOOKUP(P43,P11:AB39,12,FALSE)</f>
        <v>1</v>
      </c>
      <c r="AB43" s="111">
        <f>VLOOKUP(P43,P11:AB39,13,FALSE)</f>
        <v>4</v>
      </c>
      <c r="AC43" s="164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224">
        <v>0</v>
      </c>
      <c r="G44" s="224">
        <v>5</v>
      </c>
      <c r="H44" s="50" t="s">
        <v>21</v>
      </c>
      <c r="I44" s="51"/>
      <c r="J44" s="51"/>
      <c r="K44" s="51"/>
      <c r="L44" s="230"/>
      <c r="M44" s="52" t="str">
        <f t="shared" si="0"/>
        <v>Spain</v>
      </c>
      <c r="N44" s="31"/>
      <c r="O44" s="163">
        <v>2</v>
      </c>
      <c r="P44" s="234" t="str">
        <f>INDEX('Dummy Table'!DH3:DH8,MATCH(Matches!O44,'Dummy Table'!DU3:DU8,0),0)</f>
        <v>Czech Republic</v>
      </c>
      <c r="Q44" s="234"/>
      <c r="R44" s="234"/>
      <c r="S44" s="234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3</v>
      </c>
      <c r="Y44" s="111" t="s">
        <v>45</v>
      </c>
      <c r="Z44" s="111">
        <f>VLOOKUP(P44,P11:AB39,11,FALSE)</f>
        <v>2</v>
      </c>
      <c r="AA44" s="111">
        <f>VLOOKUP(P44,P11:AB39,12,FALSE)</f>
        <v>1</v>
      </c>
      <c r="AB44" s="111">
        <f>VLOOKUP(P44,P11:AB39,13,FALSE)</f>
        <v>4</v>
      </c>
      <c r="AC44" s="164" t="str">
        <f>INDEX('Dummy Table'!DV3:DV8,MATCH(Matches!O44,'Dummy Table'!DU3:DU8,0),0)</f>
        <v>D</v>
      </c>
      <c r="AD44" s="31"/>
      <c r="AE44" s="14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224">
        <v>2</v>
      </c>
      <c r="G45" s="224">
        <v>2</v>
      </c>
      <c r="H45" s="50" t="s">
        <v>10</v>
      </c>
      <c r="I45" s="51"/>
      <c r="J45" s="51"/>
      <c r="K45" s="51"/>
      <c r="L45" s="230"/>
      <c r="M45" s="52" t="str">
        <f t="shared" si="0"/>
        <v/>
      </c>
      <c r="N45" s="31"/>
      <c r="O45" s="163">
        <v>3</v>
      </c>
      <c r="P45" s="234" t="str">
        <f>INDEX('Dummy Table'!DH3:DH8,MATCH(Matches!O45,'Dummy Table'!DU3:DU8,0),0)</f>
        <v>Switzerland</v>
      </c>
      <c r="Q45" s="234"/>
      <c r="R45" s="234"/>
      <c r="S45" s="234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4</v>
      </c>
      <c r="Y45" s="111" t="s">
        <v>45</v>
      </c>
      <c r="Z45" s="111">
        <f>VLOOKUP(P45,P11:AB39,11,FALSE)</f>
        <v>5</v>
      </c>
      <c r="AA45" s="111">
        <f>VLOOKUP(P45,P11:AB39,12,FALSE)</f>
        <v>-1</v>
      </c>
      <c r="AB45" s="111">
        <f>VLOOKUP(P45,P11:AB39,13,FALSE)</f>
        <v>4</v>
      </c>
      <c r="AC45" s="164" t="str">
        <f>INDEX('Dummy Table'!DV3:DV8,MATCH(Matches!O45,'Dummy Table'!DU3:DU8,0),0)</f>
        <v>A</v>
      </c>
      <c r="AD45" s="31"/>
      <c r="AE45" s="14"/>
      <c r="AF45" s="227"/>
      <c r="AG45" s="16"/>
      <c r="AH45" s="16"/>
      <c r="AI45" s="16"/>
      <c r="AJ45" s="16"/>
      <c r="AK45" s="16"/>
      <c r="AL45" s="16"/>
      <c r="AM45" s="227"/>
      <c r="AN45" s="227"/>
      <c r="AO45" s="227"/>
      <c r="AP45" s="227"/>
      <c r="CY45" s="14"/>
    </row>
    <row r="46" spans="1:103" s="17" customFormat="1" ht="15" customHeight="1" thickBot="1" x14ac:dyDescent="0.25">
      <c r="A46" s="16">
        <f>IF(F46&lt;&gt;"",3,0)</f>
        <v>3</v>
      </c>
      <c r="B46" s="112">
        <v>36</v>
      </c>
      <c r="C46" s="113" t="s">
        <v>41</v>
      </c>
      <c r="D46" s="114">
        <v>44370.875</v>
      </c>
      <c r="E46" s="115" t="s">
        <v>11</v>
      </c>
      <c r="F46" s="226">
        <v>2</v>
      </c>
      <c r="G46" s="226">
        <v>2</v>
      </c>
      <c r="H46" s="116" t="s">
        <v>12</v>
      </c>
      <c r="I46" s="117"/>
      <c r="J46" s="117"/>
      <c r="K46" s="117"/>
      <c r="L46" s="239"/>
      <c r="M46" s="118" t="str">
        <f>IF(F46&lt;&gt;"",IF(F46&gt;G46,E46,IF(F46&lt;G46,H46,"")),"")</f>
        <v/>
      </c>
      <c r="N46" s="31"/>
      <c r="O46" s="163">
        <v>4</v>
      </c>
      <c r="P46" s="234" t="str">
        <f>INDEX('Dummy Table'!DH3:DH8,MATCH(Matches!O46,'Dummy Table'!DU3:DU8,0),0)</f>
        <v>Ukraine</v>
      </c>
      <c r="Q46" s="234"/>
      <c r="R46" s="234"/>
      <c r="S46" s="234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4</v>
      </c>
      <c r="Y46" s="111" t="s">
        <v>45</v>
      </c>
      <c r="Z46" s="111">
        <f>VLOOKUP(P46,P11:AB39,11,FALSE)</f>
        <v>5</v>
      </c>
      <c r="AA46" s="111">
        <f>VLOOKUP(P46,P11:AB39,12,FALSE)</f>
        <v>-1</v>
      </c>
      <c r="AB46" s="111">
        <f>VLOOKUP(P46,P11:AB39,13,FALSE)</f>
        <v>3</v>
      </c>
      <c r="AC46" s="164" t="str">
        <f>INDEX('Dummy Table'!DV3:DV8,MATCH(Matches!O46,'Dummy Table'!DU3:DU8,0),0)</f>
        <v>C</v>
      </c>
      <c r="AD46" s="31"/>
      <c r="AE46" s="14"/>
      <c r="AF46" s="227"/>
      <c r="AG46" s="16"/>
      <c r="AH46" s="16"/>
      <c r="AI46" s="16"/>
      <c r="AJ46" s="16"/>
      <c r="AK46" s="16"/>
      <c r="AL46" s="16"/>
      <c r="AM46" s="227"/>
      <c r="AN46" s="227"/>
      <c r="AO46" s="227"/>
      <c r="AP46" s="227"/>
      <c r="CY46" s="14"/>
    </row>
    <row r="47" spans="1:103" s="17" customFormat="1" ht="15" customHeight="1" thickBot="1" x14ac:dyDescent="0.25">
      <c r="A47" s="16"/>
      <c r="B47" s="209" t="s">
        <v>118</v>
      </c>
      <c r="C47" s="32"/>
      <c r="D47" s="33"/>
      <c r="E47" s="119"/>
      <c r="F47" s="32"/>
      <c r="G47" s="32"/>
      <c r="H47" s="120"/>
      <c r="I47" s="32"/>
      <c r="J47" s="32"/>
      <c r="K47" s="32"/>
      <c r="L47" s="32"/>
      <c r="M47" s="34"/>
      <c r="N47" s="31"/>
      <c r="O47" s="165">
        <v>5</v>
      </c>
      <c r="P47" s="235" t="str">
        <f>INDEX('Dummy Table'!DH3:DH8,MATCH(Matches!O47,'Dummy Table'!DU3:DU8,0),0)</f>
        <v>Finland</v>
      </c>
      <c r="Q47" s="235"/>
      <c r="R47" s="235"/>
      <c r="S47" s="235"/>
      <c r="T47" s="121">
        <f>VLOOKUP(P47,P11:AB39,5,FALSE)</f>
        <v>3</v>
      </c>
      <c r="U47" s="121">
        <f>VLOOKUP(P47,P11:AB39,6,FALSE)</f>
        <v>1</v>
      </c>
      <c r="V47" s="121">
        <f>VLOOKUP(P47,P11:AB39,7,FALSE)</f>
        <v>0</v>
      </c>
      <c r="W47" s="121">
        <f>VLOOKUP(P47,P11:AB39,8,FALSE)</f>
        <v>2</v>
      </c>
      <c r="X47" s="121">
        <f>VLOOKUP(P47,P11:AB39,9,FALSE)</f>
        <v>1</v>
      </c>
      <c r="Y47" s="121" t="s">
        <v>45</v>
      </c>
      <c r="Z47" s="121">
        <f>VLOOKUP(P47,P11:AB39,11,FALSE)</f>
        <v>3</v>
      </c>
      <c r="AA47" s="121">
        <f>VLOOKUP(P47,P11:AB39,12,FALSE)</f>
        <v>-2</v>
      </c>
      <c r="AB47" s="121">
        <f>VLOOKUP(P47,P11:AB39,13,FALSE)</f>
        <v>3</v>
      </c>
      <c r="AC47" s="166" t="str">
        <f>INDEX('Dummy Table'!DV3:DV8,MATCH(Matches!O47,'Dummy Table'!DU3:DU8,0),0)</f>
        <v>B</v>
      </c>
      <c r="AD47" s="31"/>
      <c r="AE47" s="14"/>
      <c r="AF47" s="227"/>
      <c r="AG47" s="16"/>
      <c r="AH47" s="16"/>
      <c r="AI47" s="16"/>
      <c r="AJ47" s="16"/>
      <c r="AK47" s="16"/>
      <c r="AL47" s="16"/>
      <c r="AM47" s="227"/>
      <c r="AN47" s="227"/>
      <c r="AO47" s="227"/>
      <c r="AP47" s="227"/>
      <c r="CY47" s="14"/>
    </row>
    <row r="48" spans="1:103" s="17" customFormat="1" ht="15" customHeight="1" x14ac:dyDescent="0.2">
      <c r="A48" s="16"/>
      <c r="B48" s="71">
        <v>37</v>
      </c>
      <c r="C48" s="72" t="s">
        <v>55</v>
      </c>
      <c r="D48" s="73">
        <v>44373.75</v>
      </c>
      <c r="E48" s="74" t="str">
        <f>IF(SUM(T11:T14)=12,P12,"Group A Runner Up")</f>
        <v>Wales</v>
      </c>
      <c r="F48" s="206">
        <v>1</v>
      </c>
      <c r="G48" s="206" t="s">
        <v>119</v>
      </c>
      <c r="H48" s="75" t="str">
        <f>IF(SUM(T16:T19)=12,P17,"Group B Runner Up")</f>
        <v>Denmark</v>
      </c>
      <c r="I48" s="72"/>
      <c r="J48" s="72"/>
      <c r="K48" s="76"/>
      <c r="L48" s="236">
        <v>4</v>
      </c>
      <c r="M48" s="122" t="str">
        <f t="shared" ref="M48:M50" si="7">IF(AND(F48&lt;&gt;"",G48&lt;&gt;""),IF(AH48+AJ48&gt;AI48+AK48,E48,IF(AH48+AJ48&lt;AI48+AK48,H48,"")),"")</f>
        <v>Denmark</v>
      </c>
      <c r="N48" s="31"/>
      <c r="O48" s="167">
        <v>6</v>
      </c>
      <c r="P48" s="238" t="str">
        <f>INDEX('Dummy Table'!DH3:DH8,MATCH(Matches!O48,'Dummy Table'!DU3:DU8,0),0)</f>
        <v>Slovakia</v>
      </c>
      <c r="Q48" s="238"/>
      <c r="R48" s="238"/>
      <c r="S48" s="238"/>
      <c r="T48" s="168">
        <f>VLOOKUP(P48,P11:AB39,5,FALSE)</f>
        <v>3</v>
      </c>
      <c r="U48" s="168">
        <f>VLOOKUP(P48,P11:AB39,6,FALSE)</f>
        <v>1</v>
      </c>
      <c r="V48" s="168">
        <f>VLOOKUP(P48,P11:AB39,7,FALSE)</f>
        <v>0</v>
      </c>
      <c r="W48" s="168">
        <f>VLOOKUP(P48,P11:AB39,8,FALSE)</f>
        <v>2</v>
      </c>
      <c r="X48" s="168">
        <f>VLOOKUP(P48,P11:AB39,9,FALSE)</f>
        <v>2</v>
      </c>
      <c r="Y48" s="168" t="s">
        <v>45</v>
      </c>
      <c r="Z48" s="168">
        <f>VLOOKUP(P48,P11:AB39,11,FALSE)</f>
        <v>7</v>
      </c>
      <c r="AA48" s="168">
        <f>VLOOKUP(P48,P11:AB39,12,FALSE)</f>
        <v>-5</v>
      </c>
      <c r="AB48" s="168">
        <f>VLOOKUP(P48,P11:AB39,13,FALSE)</f>
        <v>3</v>
      </c>
      <c r="AC48" s="169" t="str">
        <f>INDEX('Dummy Table'!DV3:DV8,MATCH(Matches!O48,'Dummy Table'!DU3:DU8,0),0)</f>
        <v>E</v>
      </c>
      <c r="AD48" s="31"/>
      <c r="AE48" s="14"/>
      <c r="AF48" s="227"/>
      <c r="AG48" s="16"/>
      <c r="AH48" s="16">
        <f>VALUE(SUBSTITUTE(F48,"*",""))</f>
        <v>1</v>
      </c>
      <c r="AI48" s="16">
        <f>VALUE(SUBSTITUTE(G48,"*",""))</f>
        <v>1</v>
      </c>
      <c r="AJ48" s="16">
        <f>IF($AH48=$AI48,IF(RIGHT(TRIM(F48))="*",1,0),0)</f>
        <v>0</v>
      </c>
      <c r="AK48" s="16">
        <f>IF($AH48=$AI48,IF(RIGHT(TRIM(G48))="*",1,0),0)</f>
        <v>1</v>
      </c>
      <c r="AL48" s="16"/>
      <c r="AM48" s="227"/>
      <c r="AN48" s="227"/>
      <c r="AO48" s="227"/>
      <c r="AP48" s="227"/>
      <c r="CV48" s="14"/>
    </row>
    <row r="49" spans="1:96" s="17" customFormat="1" ht="15" customHeight="1" x14ac:dyDescent="0.2">
      <c r="A49" s="16"/>
      <c r="B49" s="79">
        <v>38</v>
      </c>
      <c r="C49" s="80" t="s">
        <v>55</v>
      </c>
      <c r="D49" s="81">
        <v>44373.875</v>
      </c>
      <c r="E49" s="82" t="str">
        <f>IF(SUM(T11:T14)=12,P11,"Group A Winner")</f>
        <v>Italy</v>
      </c>
      <c r="F49" s="206">
        <v>2</v>
      </c>
      <c r="G49" s="206">
        <v>0</v>
      </c>
      <c r="H49" s="83" t="str">
        <f>IF(SUM(T21:T24)=12,P22,"Group C Runner Up")</f>
        <v>Austria</v>
      </c>
      <c r="I49" s="80"/>
      <c r="J49" s="80"/>
      <c r="K49" s="84"/>
      <c r="L49" s="237"/>
      <c r="M49" s="122" t="str">
        <f t="shared" si="7"/>
        <v>Italy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23"/>
      <c r="AD49" s="31"/>
      <c r="AE49" s="14"/>
      <c r="AF49" s="227"/>
      <c r="AG49" s="16"/>
      <c r="AH49" s="16">
        <f t="shared" ref="AH49:AH62" si="8">VALUE(SUBSTITUTE(F49,"*",""))</f>
        <v>2</v>
      </c>
      <c r="AI49" s="16">
        <f t="shared" ref="AI49:AI62" si="9">VALUE(SUBSTITUTE(G49,"*",""))</f>
        <v>0</v>
      </c>
      <c r="AJ49" s="16">
        <f t="shared" ref="AJ49:AJ62" si="10">IF($AH49=$AI49,IF(RIGHT(TRIM(F49))="*",1,0),0)</f>
        <v>0</v>
      </c>
      <c r="AK49" s="16">
        <f t="shared" ref="AK49:AK62" si="11">IF($AH49=$AI49,IF(RIGHT(TRIM(G49))="*",1,0),0)</f>
        <v>0</v>
      </c>
      <c r="AL49" s="16"/>
      <c r="AM49" s="227"/>
      <c r="AN49" s="227"/>
      <c r="AO49" s="227"/>
      <c r="AP49" s="227"/>
      <c r="CR49" s="14"/>
    </row>
    <row r="50" spans="1:96" ht="15" customHeight="1" x14ac:dyDescent="0.2">
      <c r="A50" s="16"/>
      <c r="B50" s="79">
        <v>39</v>
      </c>
      <c r="C50" s="80" t="s">
        <v>55</v>
      </c>
      <c r="D50" s="81">
        <v>44374.75</v>
      </c>
      <c r="E50" s="82" t="str">
        <f>IF(SUM(T21:T24)=12,P21,"Group C Winner")</f>
        <v>Netherlands</v>
      </c>
      <c r="F50" s="206">
        <v>1</v>
      </c>
      <c r="G50" s="206">
        <v>0</v>
      </c>
      <c r="H50" s="83" t="str">
        <f>IF(SUM(T43:T48)=18,INDEX(P43:P48,MATCH(INDEX('Dummy Table'!DM13:DM27,MATCH(10,'Dummy Table'!DU13:DU27,0),0),AC43:AC48,0),0),"Group D/E/F 3rd Place")</f>
        <v>Czech Republic</v>
      </c>
      <c r="I50" s="80"/>
      <c r="J50" s="80"/>
      <c r="K50" s="84"/>
      <c r="L50" s="237"/>
      <c r="M50" s="122" t="str">
        <f t="shared" si="7"/>
        <v>Netherlands</v>
      </c>
      <c r="N50" s="31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17"/>
      <c r="AF50" s="227"/>
      <c r="AG50" s="16"/>
      <c r="AH50" s="16">
        <f t="shared" si="8"/>
        <v>1</v>
      </c>
      <c r="AI50" s="16">
        <f t="shared" si="9"/>
        <v>0</v>
      </c>
      <c r="AJ50" s="16">
        <f t="shared" si="10"/>
        <v>0</v>
      </c>
      <c r="AK50" s="16">
        <f t="shared" si="11"/>
        <v>0</v>
      </c>
      <c r="AL50" s="13"/>
      <c r="AM50" s="228"/>
      <c r="AN50" s="228"/>
      <c r="AO50" s="228"/>
      <c r="AP50" s="228"/>
    </row>
    <row r="51" spans="1:96" ht="15" customHeight="1" x14ac:dyDescent="0.2">
      <c r="B51" s="79">
        <v>40</v>
      </c>
      <c r="C51" s="80" t="s">
        <v>55</v>
      </c>
      <c r="D51" s="81">
        <v>44374.875</v>
      </c>
      <c r="E51" s="196" t="str">
        <f>IF(SUM(T16:T19)=12,P16,"Group B Winner")</f>
        <v>Belgium</v>
      </c>
      <c r="F51" s="206">
        <v>2</v>
      </c>
      <c r="G51" s="206">
        <v>1</v>
      </c>
      <c r="H51" s="197" t="str">
        <f>IF(SUM(T43:T48)=18,INDEX(P43:P48,MATCH(INDEX('Dummy Table'!DL13:DL27,MATCH(10,'Dummy Table'!DU13:DU27,0),0),AC43:AC48,0),0),"Group A/D/E/F 3rd Place")</f>
        <v>Portugal</v>
      </c>
      <c r="I51" s="198"/>
      <c r="J51" s="198"/>
      <c r="K51" s="124"/>
      <c r="L51" s="237"/>
      <c r="M51" s="122" t="str">
        <f>IF(AND(F51&lt;&gt;"",G51&lt;&gt;""),IF(AH51+AJ51&gt;AI51+AK51,E51,IF(AH51+AJ51&lt;AI51+AK51,H51,"")),"")</f>
        <v>Belgium</v>
      </c>
      <c r="N51" s="3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F51" s="228"/>
      <c r="AG51" s="13"/>
      <c r="AH51" s="16">
        <f t="shared" si="8"/>
        <v>2</v>
      </c>
      <c r="AI51" s="16">
        <f t="shared" si="9"/>
        <v>1</v>
      </c>
      <c r="AJ51" s="16">
        <f t="shared" si="10"/>
        <v>0</v>
      </c>
      <c r="AK51" s="16">
        <f t="shared" si="11"/>
        <v>0</v>
      </c>
      <c r="AL51" s="13"/>
      <c r="AM51" s="228"/>
      <c r="AN51" s="228"/>
      <c r="AO51" s="228"/>
      <c r="AP51" s="228"/>
    </row>
    <row r="52" spans="1:96" ht="15" customHeight="1" x14ac:dyDescent="0.2">
      <c r="B52" s="79">
        <v>41</v>
      </c>
      <c r="C52" s="80" t="s">
        <v>55</v>
      </c>
      <c r="D52" s="81">
        <v>44375.75</v>
      </c>
      <c r="E52" s="196" t="str">
        <f>IF(SUM(T26:T29)=12,P27,"Group D Runner Up")</f>
        <v>Croatia</v>
      </c>
      <c r="F52" s="206">
        <v>0</v>
      </c>
      <c r="G52" s="206">
        <v>1</v>
      </c>
      <c r="H52" s="197" t="str">
        <f>IF(SUM(T31:T34)=12,P32,"Group E Runner Up")</f>
        <v>Spain</v>
      </c>
      <c r="I52" s="198"/>
      <c r="J52" s="198"/>
      <c r="K52" s="124"/>
      <c r="L52" s="237"/>
      <c r="M52" s="122" t="str">
        <f t="shared" ref="M52:M62" si="12">IF(AND(F52&lt;&gt;"",G52&lt;&gt;""),IF(AH52+AJ52&gt;AI52+AK52,E52,IF(AH52+AJ52&lt;AI52+AK52,H52,"")),"")</f>
        <v>Spain</v>
      </c>
      <c r="N52" s="21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F52" s="228"/>
      <c r="AG52" s="13"/>
      <c r="AH52" s="16">
        <f t="shared" si="8"/>
        <v>0</v>
      </c>
      <c r="AI52" s="16">
        <f t="shared" si="9"/>
        <v>1</v>
      </c>
      <c r="AJ52" s="16">
        <f t="shared" si="10"/>
        <v>0</v>
      </c>
      <c r="AK52" s="16">
        <f t="shared" si="11"/>
        <v>0</v>
      </c>
      <c r="AL52" s="13"/>
      <c r="AM52" s="228"/>
      <c r="AN52" s="228"/>
      <c r="AO52" s="228"/>
      <c r="AP52" s="228"/>
    </row>
    <row r="53" spans="1:96" ht="15" customHeight="1" x14ac:dyDescent="0.2">
      <c r="B53" s="79">
        <v>42</v>
      </c>
      <c r="C53" s="80" t="s">
        <v>55</v>
      </c>
      <c r="D53" s="81">
        <v>44375.875</v>
      </c>
      <c r="E53" s="196" t="str">
        <f>IF(SUM(T36:T39)=12,P36,"Group F Winner")</f>
        <v>France</v>
      </c>
      <c r="F53" s="206">
        <v>2</v>
      </c>
      <c r="G53" s="206">
        <v>0</v>
      </c>
      <c r="H53" s="197" t="str">
        <f>IF(SUM(T43:T48)=18,INDEX(P43:P48,MATCH(INDEX('Dummy Table'!DO13:DO27,MATCH(10,'Dummy Table'!DU13:DU27,0),0),AC43:AC48,0),0),"Group A/B/C 3rd Place")</f>
        <v>Switzerland</v>
      </c>
      <c r="I53" s="198"/>
      <c r="J53" s="198"/>
      <c r="K53" s="124"/>
      <c r="L53" s="237"/>
      <c r="M53" s="122" t="str">
        <f t="shared" si="12"/>
        <v>France</v>
      </c>
      <c r="N53" s="21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F53" s="228"/>
      <c r="AG53" s="13"/>
      <c r="AH53" s="16">
        <f t="shared" si="8"/>
        <v>2</v>
      </c>
      <c r="AI53" s="16">
        <f t="shared" si="9"/>
        <v>0</v>
      </c>
      <c r="AJ53" s="16">
        <f t="shared" si="10"/>
        <v>0</v>
      </c>
      <c r="AK53" s="16">
        <f t="shared" si="11"/>
        <v>0</v>
      </c>
      <c r="AL53" s="13"/>
      <c r="AM53" s="228"/>
      <c r="AN53" s="228"/>
      <c r="AO53" s="228"/>
      <c r="AP53" s="228"/>
    </row>
    <row r="54" spans="1:96" ht="15" customHeight="1" x14ac:dyDescent="0.2">
      <c r="B54" s="79">
        <v>43</v>
      </c>
      <c r="C54" s="80" t="s">
        <v>55</v>
      </c>
      <c r="D54" s="81">
        <v>44376.75</v>
      </c>
      <c r="E54" s="196" t="str">
        <f>IF(SUM(T26:T29)=12,P26,"Group D Winner")</f>
        <v>England</v>
      </c>
      <c r="F54" s="206" t="s">
        <v>119</v>
      </c>
      <c r="G54" s="206">
        <v>1</v>
      </c>
      <c r="H54" s="197" t="str">
        <f>IF(SUM(T36:T39)=12,P37,"Group F Runner Up")</f>
        <v>Germany</v>
      </c>
      <c r="I54" s="198"/>
      <c r="J54" s="198"/>
      <c r="K54" s="124"/>
      <c r="L54" s="237"/>
      <c r="M54" s="122" t="str">
        <f t="shared" si="12"/>
        <v>England</v>
      </c>
      <c r="N54" s="21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F54" s="228"/>
      <c r="AG54" s="13"/>
      <c r="AH54" s="16">
        <f t="shared" si="8"/>
        <v>1</v>
      </c>
      <c r="AI54" s="16">
        <f t="shared" si="9"/>
        <v>1</v>
      </c>
      <c r="AJ54" s="16">
        <f t="shared" si="10"/>
        <v>1</v>
      </c>
      <c r="AK54" s="16">
        <f t="shared" si="11"/>
        <v>0</v>
      </c>
      <c r="AL54" s="13"/>
      <c r="AM54" s="228"/>
      <c r="AN54" s="228"/>
      <c r="AO54" s="228"/>
      <c r="AP54" s="228"/>
    </row>
    <row r="55" spans="1:96" ht="15" customHeight="1" thickBot="1" x14ac:dyDescent="0.25">
      <c r="A55" s="16">
        <f>IF(F55&lt;&gt;"",4,0)</f>
        <v>4</v>
      </c>
      <c r="B55" s="94">
        <v>44</v>
      </c>
      <c r="C55" s="95" t="s">
        <v>55</v>
      </c>
      <c r="D55" s="96">
        <v>44376.875</v>
      </c>
      <c r="E55" s="199" t="str">
        <f>IF(SUM(T31:T34)=12,P31,"Group E Winner")</f>
        <v>Sweden</v>
      </c>
      <c r="F55" s="207">
        <v>1</v>
      </c>
      <c r="G55" s="207">
        <v>0</v>
      </c>
      <c r="H55" s="200" t="str">
        <f>IF(SUM(T43:T48)=18,INDEX(P43:P48,MATCH(INDEX('Dummy Table'!DN13:DN27,MATCH(10,'Dummy Table'!DU13:DU27,0),0),AC43:AC48,0),0),"Group A/B/C/D 3rd Place")</f>
        <v>Ukraine</v>
      </c>
      <c r="I55" s="134"/>
      <c r="J55" s="134"/>
      <c r="K55" s="125"/>
      <c r="L55" s="233"/>
      <c r="M55" s="122" t="str">
        <f t="shared" si="12"/>
        <v>Sweden</v>
      </c>
      <c r="N55" s="21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F55" s="228"/>
      <c r="AG55" s="13"/>
      <c r="AH55" s="16">
        <f t="shared" si="8"/>
        <v>1</v>
      </c>
      <c r="AI55" s="16">
        <f t="shared" si="9"/>
        <v>0</v>
      </c>
      <c r="AJ55" s="16">
        <f t="shared" si="10"/>
        <v>0</v>
      </c>
      <c r="AK55" s="16">
        <f t="shared" si="11"/>
        <v>0</v>
      </c>
      <c r="AL55" s="13"/>
      <c r="AM55" s="228"/>
      <c r="AN55" s="228"/>
      <c r="AO55" s="228"/>
      <c r="AP55" s="228"/>
    </row>
    <row r="56" spans="1:96" ht="15" customHeight="1" x14ac:dyDescent="0.2">
      <c r="B56" s="37">
        <v>45</v>
      </c>
      <c r="C56" s="126" t="s">
        <v>56</v>
      </c>
      <c r="D56" s="39">
        <v>44379.75</v>
      </c>
      <c r="E56" s="40" t="str">
        <f>IF(AND(F53&lt;&gt;"",G53&lt;&gt;""),IF((AH53+AJ53)&gt;(AI53+AK53),E53,IF((AH53+AJ53)&lt;(AI53+AK53),H53,"Match 42 Winner")),"Match 42 Winner")</f>
        <v>France</v>
      </c>
      <c r="F56" s="205" t="s">
        <v>119</v>
      </c>
      <c r="G56" s="205">
        <v>1</v>
      </c>
      <c r="H56" s="41" t="str">
        <f>IF(AND(F52&lt;&gt;"",G52&lt;&gt;""),IF((AH52+AJ52)&gt;(AI52+AK52),E52,IF((AH52+AJ52)&lt;(AI52+AK52),H52,"Match 41 Winner")),"Match 41 Winner")</f>
        <v>Spain</v>
      </c>
      <c r="I56" s="126"/>
      <c r="J56" s="126"/>
      <c r="K56" s="127"/>
      <c r="L56" s="229">
        <v>5</v>
      </c>
      <c r="M56" s="122" t="str">
        <f t="shared" si="12"/>
        <v>France</v>
      </c>
      <c r="N56" s="21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F56" s="228"/>
      <c r="AG56" s="13"/>
      <c r="AH56" s="16">
        <f t="shared" si="8"/>
        <v>1</v>
      </c>
      <c r="AI56" s="16">
        <f t="shared" si="9"/>
        <v>1</v>
      </c>
      <c r="AJ56" s="16">
        <f t="shared" si="10"/>
        <v>1</v>
      </c>
      <c r="AK56" s="16">
        <f t="shared" si="11"/>
        <v>0</v>
      </c>
      <c r="AL56" s="13"/>
      <c r="AM56" s="228"/>
      <c r="AN56" s="228"/>
      <c r="AO56" s="228"/>
      <c r="AP56" s="228"/>
    </row>
    <row r="57" spans="1:96" ht="15" customHeight="1" x14ac:dyDescent="0.2">
      <c r="B57" s="46">
        <v>46</v>
      </c>
      <c r="C57" s="128" t="s">
        <v>56</v>
      </c>
      <c r="D57" s="48">
        <v>44379.875</v>
      </c>
      <c r="E57" s="49" t="str">
        <f>IF(AND(F51&lt;&gt;"",G51&lt;&gt;""),IF((AH51+AJ51)&gt;(AI51+AK51),E51,IF((AH51+AJ51)&lt;(AI51+AK51),H51,"Match 40 Winner")),"Match 40 Winner")</f>
        <v>Belgium</v>
      </c>
      <c r="F57" s="206">
        <v>1</v>
      </c>
      <c r="G57" s="206">
        <v>2</v>
      </c>
      <c r="H57" s="50" t="str">
        <f>IF(AND(F49&lt;&gt;"",G49&lt;&gt;""),IF((AH49+AJ49)&gt;(AI49+AK49),E49,IF((AH49+AJ49)&lt;(AI49+AK49),H49,"Match 38 Winner")),"Match 38 Winner")</f>
        <v>Italy</v>
      </c>
      <c r="I57" s="128"/>
      <c r="J57" s="128"/>
      <c r="K57" s="129"/>
      <c r="L57" s="230"/>
      <c r="M57" s="122" t="str">
        <f t="shared" si="12"/>
        <v>Italy</v>
      </c>
      <c r="N57" s="21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F57" s="228"/>
      <c r="AG57" s="13"/>
      <c r="AH57" s="16">
        <f t="shared" si="8"/>
        <v>1</v>
      </c>
      <c r="AI57" s="16">
        <f t="shared" si="9"/>
        <v>2</v>
      </c>
      <c r="AJ57" s="16">
        <f t="shared" si="10"/>
        <v>0</v>
      </c>
      <c r="AK57" s="16">
        <f t="shared" si="11"/>
        <v>0</v>
      </c>
      <c r="AL57" s="13"/>
      <c r="AM57" s="228"/>
      <c r="AN57" s="228"/>
      <c r="AO57" s="228"/>
      <c r="AP57" s="228"/>
    </row>
    <row r="58" spans="1:96" ht="15" customHeight="1" x14ac:dyDescent="0.2">
      <c r="B58" s="46">
        <v>47</v>
      </c>
      <c r="C58" s="128" t="s">
        <v>56</v>
      </c>
      <c r="D58" s="48">
        <v>44380.75</v>
      </c>
      <c r="E58" s="49" t="str">
        <f>IF(AND(F50&lt;&gt;"",G50&lt;&gt;""),IF((AH50+AJ50)&gt;(AI50+AK50),E50,IF((AH50+AJ50)&lt;(AI50+AK50),H50,"Match 39 Winner")),"Match 39 Winner")</f>
        <v>Netherlands</v>
      </c>
      <c r="F58" s="206">
        <v>2</v>
      </c>
      <c r="G58" s="206">
        <v>1</v>
      </c>
      <c r="H58" s="50" t="str">
        <f>IF(AND(F48&lt;&gt;"",G48&lt;&gt;""),IF((AH48+AJ48)&gt;(AI48+AK48),E48,IF((AH48+AJ48)&lt;(AI48+AK48),H48,"Match 37 Winner")),"Match 37 Winner")</f>
        <v>Denmark</v>
      </c>
      <c r="I58" s="128"/>
      <c r="J58" s="128"/>
      <c r="K58" s="129"/>
      <c r="L58" s="230"/>
      <c r="M58" s="122" t="str">
        <f t="shared" si="12"/>
        <v>Netherlands</v>
      </c>
      <c r="N58" s="21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F58" s="228"/>
      <c r="AG58" s="13"/>
      <c r="AH58" s="16">
        <f t="shared" si="8"/>
        <v>2</v>
      </c>
      <c r="AI58" s="16">
        <f t="shared" si="9"/>
        <v>1</v>
      </c>
      <c r="AJ58" s="16">
        <f t="shared" si="10"/>
        <v>0</v>
      </c>
      <c r="AK58" s="16">
        <f t="shared" si="11"/>
        <v>0</v>
      </c>
      <c r="AL58" s="13"/>
      <c r="AM58" s="228"/>
      <c r="AN58" s="228"/>
      <c r="AO58" s="228"/>
      <c r="AP58" s="228"/>
    </row>
    <row r="59" spans="1:96" ht="15" customHeight="1" thickBot="1" x14ac:dyDescent="0.25">
      <c r="A59" s="16">
        <f>IF(F59&lt;&gt;"",5,0)</f>
        <v>5</v>
      </c>
      <c r="B59" s="62">
        <v>48</v>
      </c>
      <c r="C59" s="130" t="s">
        <v>56</v>
      </c>
      <c r="D59" s="64">
        <v>44380.875</v>
      </c>
      <c r="E59" s="65" t="str">
        <f>IF(AND(F55&lt;&gt;"",G55&lt;&gt;""),IF((AH55+AJ55)&gt;(AI55+AK55),E55,IF((AH55+AJ55)&lt;(AI55+AK55),H55,"Match 44 Winner")),"Match 44 Winner")</f>
        <v>Sweden</v>
      </c>
      <c r="F59" s="207">
        <v>0</v>
      </c>
      <c r="G59" s="207">
        <v>1</v>
      </c>
      <c r="H59" s="66" t="str">
        <f>IF(AND(F54&lt;&gt;"",G54&lt;&gt;""),IF((AH54+AJ54)&gt;(AI54+AK54),E54,IF((AH54+AJ54)&lt;(AI54+AK54),H54,"Match 43 Winner")),"Match 43 Winner")</f>
        <v>England</v>
      </c>
      <c r="I59" s="130"/>
      <c r="J59" s="130"/>
      <c r="K59" s="131"/>
      <c r="L59" s="231"/>
      <c r="M59" s="122" t="str">
        <f t="shared" si="12"/>
        <v>England</v>
      </c>
      <c r="N59" s="21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F59" s="228"/>
      <c r="AG59" s="13"/>
      <c r="AH59" s="16">
        <f t="shared" si="8"/>
        <v>0</v>
      </c>
      <c r="AI59" s="16">
        <f t="shared" si="9"/>
        <v>1</v>
      </c>
      <c r="AJ59" s="16">
        <f t="shared" si="10"/>
        <v>0</v>
      </c>
      <c r="AK59" s="16">
        <f t="shared" si="11"/>
        <v>0</v>
      </c>
      <c r="AL59" s="13"/>
      <c r="AM59" s="228"/>
      <c r="AN59" s="228"/>
      <c r="AO59" s="228"/>
      <c r="AP59" s="228"/>
    </row>
    <row r="60" spans="1:96" ht="15" customHeight="1" x14ac:dyDescent="0.2">
      <c r="B60" s="71">
        <v>49</v>
      </c>
      <c r="C60" s="132" t="s">
        <v>57</v>
      </c>
      <c r="D60" s="73">
        <v>44383.875</v>
      </c>
      <c r="E60" s="74" t="str">
        <f>IF(AND(F56&lt;&gt;"",G56&lt;&gt;""),IF((AH56+AJ56)&gt;(AI56+AK56),E56,IF((AH56+AJ56)&lt;(AI56+AK56),H56,"Match 45 Winner")),"Match 45 Winner")</f>
        <v>France</v>
      </c>
      <c r="F60" s="205">
        <v>1</v>
      </c>
      <c r="G60" s="205">
        <v>0</v>
      </c>
      <c r="H60" s="75" t="str">
        <f>IF(AND(F57&lt;&gt;"",G57&lt;&gt;""),IF((AH57+AJ57)&gt;(AI57+AK57),E57,IF((AH57+AJ57)&lt;(AI57+AK57),H57,"Match 46 Winner")),"Match 46 Winner")</f>
        <v>Italy</v>
      </c>
      <c r="I60" s="132"/>
      <c r="J60" s="132"/>
      <c r="K60" s="133"/>
      <c r="L60" s="232">
        <v>6</v>
      </c>
      <c r="M60" s="122" t="str">
        <f t="shared" si="12"/>
        <v>France</v>
      </c>
      <c r="N60" s="21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F60" s="228"/>
      <c r="AG60" s="13"/>
      <c r="AH60" s="16">
        <f t="shared" si="8"/>
        <v>1</v>
      </c>
      <c r="AI60" s="16">
        <f t="shared" si="9"/>
        <v>0</v>
      </c>
      <c r="AJ60" s="16">
        <f t="shared" si="10"/>
        <v>0</v>
      </c>
      <c r="AK60" s="16">
        <f t="shared" si="11"/>
        <v>0</v>
      </c>
      <c r="AL60" s="13"/>
      <c r="AM60" s="228"/>
      <c r="AN60" s="228"/>
      <c r="AO60" s="228"/>
      <c r="AP60" s="228"/>
    </row>
    <row r="61" spans="1:96" ht="15" customHeight="1" thickBot="1" x14ac:dyDescent="0.25">
      <c r="A61" s="16">
        <f>IF(F61&lt;&gt;"",6,0)</f>
        <v>6</v>
      </c>
      <c r="B61" s="94">
        <v>50</v>
      </c>
      <c r="C61" s="134" t="s">
        <v>57</v>
      </c>
      <c r="D61" s="96">
        <v>44384.875</v>
      </c>
      <c r="E61" s="97" t="str">
        <f>IF(AND(F58&lt;&gt;"",G58&lt;&gt;""),IF((AH58+AJ58)&gt;(AI58+AK58),E58,IF((AH58+AJ58)&lt;(AI58+AK58),H58,"Match 47 Winner")),"Match 47 Winner")</f>
        <v>Netherlands</v>
      </c>
      <c r="F61" s="207">
        <v>0</v>
      </c>
      <c r="G61" s="207">
        <v>1</v>
      </c>
      <c r="H61" s="98" t="str">
        <f>IF(AND(F59&lt;&gt;"",G59&lt;&gt;""),IF((AH59+AJ59)&gt;(AI59+AK59),E59,IF((AH59+AJ59)&lt;(AI59+AK59),H59,"Match 48 Winner")),"Match 48 Winner")</f>
        <v>England</v>
      </c>
      <c r="I61" s="134"/>
      <c r="J61" s="134"/>
      <c r="K61" s="125"/>
      <c r="L61" s="233"/>
      <c r="M61" s="122" t="str">
        <f t="shared" si="12"/>
        <v>England</v>
      </c>
      <c r="N61" s="2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F61" s="228"/>
      <c r="AG61" s="13"/>
      <c r="AH61" s="16">
        <f t="shared" si="8"/>
        <v>0</v>
      </c>
      <c r="AI61" s="16">
        <f t="shared" si="9"/>
        <v>1</v>
      </c>
      <c r="AJ61" s="16">
        <f t="shared" si="10"/>
        <v>0</v>
      </c>
      <c r="AK61" s="16">
        <f t="shared" si="11"/>
        <v>0</v>
      </c>
      <c r="AL61" s="13"/>
      <c r="AM61" s="228"/>
      <c r="AN61" s="228"/>
      <c r="AO61" s="228"/>
      <c r="AP61" s="228"/>
    </row>
    <row r="62" spans="1:96" ht="15" customHeight="1" thickBot="1" x14ac:dyDescent="0.25">
      <c r="A62" s="16">
        <f>IF(F62&lt;&gt;"",7,0)</f>
        <v>7</v>
      </c>
      <c r="B62" s="135">
        <v>51</v>
      </c>
      <c r="C62" s="136" t="s">
        <v>41</v>
      </c>
      <c r="D62" s="137">
        <v>44388.875</v>
      </c>
      <c r="E62" s="138" t="str">
        <f>IF(AND(F60&lt;&gt;"",G60&lt;&gt;""),IF((AH60+AJ60)&gt;(AI60+AK60),E60,IF((AH60+AJ60)&lt;(AI60+AK60),H60,"Match 49 Winner")),"Match 49 Winner")</f>
        <v>France</v>
      </c>
      <c r="F62" s="208">
        <v>2</v>
      </c>
      <c r="G62" s="208">
        <v>1</v>
      </c>
      <c r="H62" s="139" t="str">
        <f>IF(AND(F61&lt;&gt;"",G61&lt;&gt;""),IF((AH61+AJ61)&gt;(AI61+AK61),E61,IF((AH61+AJ61)&lt;(AI61+AK61),H61,"Match 50 Winner")),"Match 50 Winner")</f>
        <v>England</v>
      </c>
      <c r="I62" s="136"/>
      <c r="J62" s="136"/>
      <c r="K62" s="140"/>
      <c r="L62" s="141">
        <v>7</v>
      </c>
      <c r="M62" s="122" t="str">
        <f t="shared" si="12"/>
        <v>France</v>
      </c>
      <c r="N62" s="21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F62" s="228"/>
      <c r="AG62" s="13"/>
      <c r="AH62" s="13">
        <f t="shared" si="8"/>
        <v>2</v>
      </c>
      <c r="AI62" s="13">
        <f t="shared" si="9"/>
        <v>1</v>
      </c>
      <c r="AJ62" s="16">
        <f t="shared" si="10"/>
        <v>0</v>
      </c>
      <c r="AK62" s="16">
        <f t="shared" si="11"/>
        <v>0</v>
      </c>
      <c r="AL62" s="13"/>
      <c r="AM62" s="228"/>
      <c r="AN62" s="228"/>
      <c r="AO62" s="228"/>
      <c r="AP62" s="228"/>
    </row>
    <row r="63" spans="1:96" ht="15" customHeight="1" x14ac:dyDescent="0.2">
      <c r="A63" s="16"/>
      <c r="B63" s="246" t="s">
        <v>110</v>
      </c>
      <c r="C63" s="247"/>
      <c r="D63" s="247"/>
      <c r="E63" s="247"/>
      <c r="F63" s="247"/>
      <c r="G63" s="247"/>
      <c r="H63" s="247"/>
      <c r="I63" s="247"/>
      <c r="J63" s="247"/>
      <c r="K63" s="247"/>
      <c r="L63" s="247"/>
      <c r="M63" s="248"/>
      <c r="N63" s="201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F63" s="228"/>
      <c r="AG63" s="228"/>
      <c r="AH63" s="228"/>
      <c r="AI63" s="228"/>
      <c r="AJ63" s="228"/>
      <c r="AK63" s="228"/>
      <c r="AL63" s="228"/>
      <c r="AM63" s="228"/>
      <c r="AN63" s="228"/>
      <c r="AO63" s="228"/>
      <c r="AP63" s="228"/>
    </row>
    <row r="64" spans="1:96" ht="21" x14ac:dyDescent="0.2">
      <c r="A64" s="14"/>
      <c r="B64" s="249" t="str">
        <f>IF(F62&lt;&gt;"",IF(F62&gt;G62,E62,IF(F62&lt;G62,H62,"")),"")</f>
        <v>France</v>
      </c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  <c r="N64" s="201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F64" s="228"/>
      <c r="AG64" s="228"/>
      <c r="AH64" s="228"/>
      <c r="AI64" s="228"/>
      <c r="AJ64" s="228"/>
      <c r="AK64" s="228"/>
      <c r="AL64" s="228"/>
      <c r="AM64" s="228"/>
      <c r="AN64" s="228"/>
      <c r="AO64" s="228"/>
      <c r="AP64" s="228"/>
    </row>
    <row r="65" spans="1:42" x14ac:dyDescent="0.2">
      <c r="A65" s="14"/>
      <c r="B65"/>
      <c r="C65"/>
      <c r="D65"/>
      <c r="E65"/>
      <c r="F65"/>
      <c r="G65"/>
      <c r="H65"/>
      <c r="I65"/>
      <c r="J65"/>
      <c r="K65"/>
      <c r="L65"/>
      <c r="M65"/>
      <c r="N65" s="201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F65" s="228"/>
      <c r="AG65" s="228"/>
      <c r="AH65" s="228"/>
      <c r="AI65" s="228"/>
      <c r="AJ65" s="228"/>
      <c r="AK65" s="228"/>
      <c r="AL65" s="228"/>
      <c r="AM65" s="228"/>
      <c r="AN65" s="228"/>
      <c r="AO65" s="228"/>
      <c r="AP65" s="228"/>
    </row>
    <row r="66" spans="1:42" x14ac:dyDescent="0.2">
      <c r="A66" s="14"/>
      <c r="B66"/>
      <c r="C66"/>
      <c r="D66"/>
      <c r="E66"/>
      <c r="F66"/>
      <c r="G66"/>
      <c r="H66"/>
      <c r="I66"/>
      <c r="J66"/>
      <c r="K66"/>
      <c r="L66"/>
      <c r="M66"/>
      <c r="N66" s="201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F66" s="228"/>
      <c r="AG66" s="228"/>
      <c r="AH66" s="228"/>
      <c r="AI66" s="228"/>
      <c r="AJ66" s="228"/>
      <c r="AK66" s="228"/>
      <c r="AL66" s="228"/>
      <c r="AM66" s="228"/>
      <c r="AN66" s="228"/>
      <c r="AO66" s="228"/>
      <c r="AP66" s="228"/>
    </row>
    <row r="67" spans="1:42" x14ac:dyDescent="0.2">
      <c r="B67"/>
      <c r="C67"/>
      <c r="D67"/>
      <c r="E67"/>
      <c r="F67"/>
      <c r="G67"/>
      <c r="H67"/>
      <c r="I67"/>
      <c r="J67"/>
      <c r="K67"/>
      <c r="L67"/>
      <c r="M67"/>
      <c r="N67" s="201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F67" s="228"/>
      <c r="AG67" s="228"/>
      <c r="AH67" s="228"/>
      <c r="AI67" s="228"/>
      <c r="AJ67" s="228"/>
      <c r="AK67" s="228"/>
      <c r="AL67" s="228"/>
      <c r="AM67" s="228"/>
      <c r="AN67" s="228"/>
      <c r="AO67" s="228"/>
      <c r="AP67" s="228"/>
    </row>
    <row r="68" spans="1:42" x14ac:dyDescent="0.2">
      <c r="B68"/>
      <c r="C68"/>
      <c r="D68"/>
      <c r="E68"/>
      <c r="F68"/>
      <c r="G68"/>
      <c r="H68"/>
      <c r="I68"/>
      <c r="J68"/>
      <c r="K68"/>
      <c r="L68"/>
      <c r="M68"/>
      <c r="N68" s="201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42" ht="16" x14ac:dyDescent="0.2">
      <c r="N69" s="202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</row>
    <row r="70" spans="1:42" x14ac:dyDescent="0.2"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</row>
    <row r="71" spans="1:42" x14ac:dyDescent="0.2"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</row>
  </sheetData>
  <sheetProtection algorithmName="SHA-512" hashValue="/anjC/VibEvrOhwJhbZYuDlbz53xoMiOcrRT3Mjt4kM0IwrVsHLVQQ45KnUvTZIJoktcKx0pMKTgdz8tdOMXEg==" saltValue="S0iiwTAf48Ea6Y2tRRagwA==" spinCount="100000" sheet="1" selectLockedCells="1"/>
  <mergeCells count="53">
    <mergeCell ref="U6:AC6"/>
    <mergeCell ref="B1:AC1"/>
    <mergeCell ref="O15:S15"/>
    <mergeCell ref="P16:S16"/>
    <mergeCell ref="P17:S17"/>
    <mergeCell ref="N7:AC7"/>
    <mergeCell ref="P18:S18"/>
    <mergeCell ref="P19:S19"/>
    <mergeCell ref="O20:S20"/>
    <mergeCell ref="L23:L34"/>
    <mergeCell ref="P32:S32"/>
    <mergeCell ref="P23:S23"/>
    <mergeCell ref="P24:S24"/>
    <mergeCell ref="P21:S21"/>
    <mergeCell ref="P28:S28"/>
    <mergeCell ref="P29:S29"/>
    <mergeCell ref="O25:S25"/>
    <mergeCell ref="P26:S26"/>
    <mergeCell ref="O30:S30"/>
    <mergeCell ref="P31:S31"/>
    <mergeCell ref="P33:S33"/>
    <mergeCell ref="P34:S34"/>
    <mergeCell ref="B63:M63"/>
    <mergeCell ref="B64:M64"/>
    <mergeCell ref="B2:D4"/>
    <mergeCell ref="U2:AC2"/>
    <mergeCell ref="U3:AC3"/>
    <mergeCell ref="U4:AC4"/>
    <mergeCell ref="U5:AC5"/>
    <mergeCell ref="F9:G9"/>
    <mergeCell ref="O10:S10"/>
    <mergeCell ref="L11:L22"/>
    <mergeCell ref="P11:S11"/>
    <mergeCell ref="P12:S12"/>
    <mergeCell ref="P13:S13"/>
    <mergeCell ref="P14:S14"/>
    <mergeCell ref="P22:S22"/>
    <mergeCell ref="P27:S27"/>
    <mergeCell ref="L56:L59"/>
    <mergeCell ref="L60:L61"/>
    <mergeCell ref="P45:S45"/>
    <mergeCell ref="P46:S46"/>
    <mergeCell ref="P47:S47"/>
    <mergeCell ref="L48:L55"/>
    <mergeCell ref="P48:S48"/>
    <mergeCell ref="L35:L46"/>
    <mergeCell ref="O35:S35"/>
    <mergeCell ref="P36:S36"/>
    <mergeCell ref="P37:S37"/>
    <mergeCell ref="P38:S38"/>
    <mergeCell ref="P39:S39"/>
    <mergeCell ref="P43:S43"/>
    <mergeCell ref="P44:S44"/>
  </mergeCells>
  <conditionalFormatting sqref="E11:E46">
    <cfRule type="expression" dxfId="15" priority="27">
      <formula>$F11&lt;$G11</formula>
    </cfRule>
    <cfRule type="expression" dxfId="14" priority="28">
      <formula>$F11&gt;$G11</formula>
    </cfRule>
  </conditionalFormatting>
  <conditionalFormatting sqref="H11:H46">
    <cfRule type="expression" dxfId="13" priority="25">
      <formula>$F11&lt;$G11</formula>
    </cfRule>
    <cfRule type="expression" dxfId="12" priority="26">
      <formula>$F11&gt;$G11</formula>
    </cfRule>
  </conditionalFormatting>
  <conditionalFormatting sqref="E48:E62">
    <cfRule type="expression" dxfId="11" priority="32">
      <formula>F48+I48&lt;G48+J48</formula>
    </cfRule>
    <cfRule type="expression" dxfId="10" priority="33">
      <formula>F48+I48&gt;G48+J48</formula>
    </cfRule>
  </conditionalFormatting>
  <conditionalFormatting sqref="H48:H62">
    <cfRule type="expression" dxfId="9" priority="30">
      <formula>F48+I48&gt;G48+J48</formula>
    </cfRule>
    <cfRule type="expression" dxfId="8" priority="31">
      <formula>F48+I48&lt;G48+J48</formula>
    </cfRule>
  </conditionalFormatting>
  <conditionalFormatting sqref="B64">
    <cfRule type="expression" dxfId="7" priority="9">
      <formula>$R122=8</formula>
    </cfRule>
    <cfRule type="expression" dxfId="6" priority="10">
      <formula>$R122=7</formula>
    </cfRule>
    <cfRule type="expression" dxfId="5" priority="11">
      <formula>$R122=6</formula>
    </cfRule>
    <cfRule type="expression" dxfId="4" priority="12">
      <formula>$R122=5</formula>
    </cfRule>
    <cfRule type="expression" dxfId="3" priority="13">
      <formula>$R122=4</formula>
    </cfRule>
    <cfRule type="expression" dxfId="2" priority="14">
      <formula>$R122=3</formula>
    </cfRule>
    <cfRule type="expression" dxfId="1" priority="15">
      <formula>$R122=2</formula>
    </cfRule>
    <cfRule type="expression" dxfId="0" priority="16">
      <formula>$R122=1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B40"/>
  <sheetViews>
    <sheetView workbookViewId="0">
      <selection activeCell="A36" sqref="A36"/>
    </sheetView>
  </sheetViews>
  <sheetFormatPr baseColWidth="10" defaultColWidth="9.1640625" defaultRowHeight="15" x14ac:dyDescent="0.2"/>
  <cols>
    <col min="1" max="1" width="23.1640625" style="211" bestFit="1" customWidth="1"/>
    <col min="2" max="16384" width="9.1640625" style="204"/>
  </cols>
  <sheetData>
    <row r="1" spans="1:2" x14ac:dyDescent="0.2">
      <c r="A1" s="285" t="s">
        <v>55</v>
      </c>
      <c r="B1" s="285"/>
    </row>
    <row r="2" spans="1:2" x14ac:dyDescent="0.2">
      <c r="A2" s="210" t="str">
        <f>Matches!E48</f>
        <v>Wales</v>
      </c>
      <c r="B2" s="210">
        <f>Matches!F48</f>
        <v>1</v>
      </c>
    </row>
    <row r="3" spans="1:2" x14ac:dyDescent="0.2">
      <c r="A3" s="210" t="str">
        <f>Matches!E49</f>
        <v>Italy</v>
      </c>
      <c r="B3" s="210">
        <f>Matches!F49</f>
        <v>2</v>
      </c>
    </row>
    <row r="4" spans="1:2" x14ac:dyDescent="0.2">
      <c r="A4" s="210" t="str">
        <f>Matches!E50</f>
        <v>Netherlands</v>
      </c>
      <c r="B4" s="210">
        <f>Matches!F50</f>
        <v>1</v>
      </c>
    </row>
    <row r="5" spans="1:2" x14ac:dyDescent="0.2">
      <c r="A5" s="210" t="str">
        <f>Matches!E51</f>
        <v>Belgium</v>
      </c>
      <c r="B5" s="210">
        <f>Matches!F51</f>
        <v>2</v>
      </c>
    </row>
    <row r="6" spans="1:2" x14ac:dyDescent="0.2">
      <c r="A6" s="210" t="str">
        <f>Matches!E52</f>
        <v>Croatia</v>
      </c>
      <c r="B6" s="210">
        <f>Matches!F52</f>
        <v>0</v>
      </c>
    </row>
    <row r="7" spans="1:2" x14ac:dyDescent="0.2">
      <c r="A7" s="210" t="str">
        <f>Matches!E53</f>
        <v>France</v>
      </c>
      <c r="B7" s="210">
        <f>Matches!F53</f>
        <v>2</v>
      </c>
    </row>
    <row r="8" spans="1:2" x14ac:dyDescent="0.2">
      <c r="A8" s="210" t="str">
        <f>Matches!E54</f>
        <v>England</v>
      </c>
      <c r="B8" s="210" t="str">
        <f>Matches!F54</f>
        <v>1*</v>
      </c>
    </row>
    <row r="9" spans="1:2" x14ac:dyDescent="0.2">
      <c r="A9" s="210" t="str">
        <f>Matches!E55</f>
        <v>Sweden</v>
      </c>
      <c r="B9" s="210">
        <f>Matches!F55</f>
        <v>1</v>
      </c>
    </row>
    <row r="10" spans="1:2" x14ac:dyDescent="0.2">
      <c r="A10" s="210" t="str">
        <f>Matches!H48</f>
        <v>Denmark</v>
      </c>
      <c r="B10" s="210" t="str">
        <f>Matches!G48</f>
        <v>1*</v>
      </c>
    </row>
    <row r="11" spans="1:2" x14ac:dyDescent="0.2">
      <c r="A11" s="210" t="str">
        <f>Matches!H49</f>
        <v>Austria</v>
      </c>
      <c r="B11" s="210">
        <f>Matches!G49</f>
        <v>0</v>
      </c>
    </row>
    <row r="12" spans="1:2" x14ac:dyDescent="0.2">
      <c r="A12" s="210" t="str">
        <f>Matches!H50</f>
        <v>Czech Republic</v>
      </c>
      <c r="B12" s="210">
        <f>Matches!G50</f>
        <v>0</v>
      </c>
    </row>
    <row r="13" spans="1:2" x14ac:dyDescent="0.2">
      <c r="A13" s="210" t="str">
        <f>Matches!H51</f>
        <v>Portugal</v>
      </c>
      <c r="B13" s="210">
        <f>Matches!G51</f>
        <v>1</v>
      </c>
    </row>
    <row r="14" spans="1:2" x14ac:dyDescent="0.2">
      <c r="A14" s="210" t="str">
        <f>Matches!H52</f>
        <v>Spain</v>
      </c>
      <c r="B14" s="210">
        <f>Matches!G52</f>
        <v>1</v>
      </c>
    </row>
    <row r="15" spans="1:2" x14ac:dyDescent="0.2">
      <c r="A15" s="210" t="str">
        <f>Matches!H53</f>
        <v>Switzerland</v>
      </c>
      <c r="B15" s="210">
        <f>Matches!G53</f>
        <v>0</v>
      </c>
    </row>
    <row r="16" spans="1:2" x14ac:dyDescent="0.2">
      <c r="A16" s="210" t="str">
        <f>Matches!H54</f>
        <v>Germany</v>
      </c>
      <c r="B16" s="210">
        <f>Matches!G54</f>
        <v>1</v>
      </c>
    </row>
    <row r="17" spans="1:2" x14ac:dyDescent="0.2">
      <c r="A17" s="210" t="str">
        <f>Matches!H55</f>
        <v>Ukraine</v>
      </c>
      <c r="B17" s="210">
        <f>Matches!G55</f>
        <v>0</v>
      </c>
    </row>
    <row r="18" spans="1:2" x14ac:dyDescent="0.2">
      <c r="A18" s="285" t="s">
        <v>56</v>
      </c>
      <c r="B18" s="285"/>
    </row>
    <row r="19" spans="1:2" x14ac:dyDescent="0.2">
      <c r="A19" s="210" t="str">
        <f>Matches!E56</f>
        <v>France</v>
      </c>
      <c r="B19" s="210" t="str">
        <f>Matches!F56</f>
        <v>1*</v>
      </c>
    </row>
    <row r="20" spans="1:2" x14ac:dyDescent="0.2">
      <c r="A20" s="210" t="str">
        <f>Matches!E57</f>
        <v>Belgium</v>
      </c>
      <c r="B20" s="210">
        <f>Matches!F57</f>
        <v>1</v>
      </c>
    </row>
    <row r="21" spans="1:2" x14ac:dyDescent="0.2">
      <c r="A21" s="210" t="str">
        <f>Matches!E58</f>
        <v>Netherlands</v>
      </c>
      <c r="B21" s="210">
        <f>Matches!F58</f>
        <v>2</v>
      </c>
    </row>
    <row r="22" spans="1:2" x14ac:dyDescent="0.2">
      <c r="A22" s="210" t="str">
        <f>Matches!E59</f>
        <v>Sweden</v>
      </c>
      <c r="B22" s="210">
        <f>Matches!F59</f>
        <v>0</v>
      </c>
    </row>
    <row r="23" spans="1:2" x14ac:dyDescent="0.2">
      <c r="A23" s="210" t="str">
        <f>Matches!H56</f>
        <v>Spain</v>
      </c>
      <c r="B23" s="210">
        <f>Matches!G56</f>
        <v>1</v>
      </c>
    </row>
    <row r="24" spans="1:2" x14ac:dyDescent="0.2">
      <c r="A24" s="210" t="str">
        <f>Matches!H57</f>
        <v>Italy</v>
      </c>
      <c r="B24" s="210">
        <f>Matches!G57</f>
        <v>2</v>
      </c>
    </row>
    <row r="25" spans="1:2" x14ac:dyDescent="0.2">
      <c r="A25" s="210" t="str">
        <f>Matches!H58</f>
        <v>Denmark</v>
      </c>
      <c r="B25" s="210">
        <f>Matches!G58</f>
        <v>1</v>
      </c>
    </row>
    <row r="26" spans="1:2" x14ac:dyDescent="0.2">
      <c r="A26" s="210" t="str">
        <f>Matches!H59</f>
        <v>England</v>
      </c>
      <c r="B26" s="210">
        <f>Matches!G59</f>
        <v>1</v>
      </c>
    </row>
    <row r="27" spans="1:2" x14ac:dyDescent="0.2">
      <c r="A27" s="285" t="s">
        <v>57</v>
      </c>
      <c r="B27" s="285"/>
    </row>
    <row r="28" spans="1:2" x14ac:dyDescent="0.2">
      <c r="A28" s="210" t="str">
        <f>Matches!E60</f>
        <v>France</v>
      </c>
      <c r="B28" s="210">
        <f>Matches!F60</f>
        <v>1</v>
      </c>
    </row>
    <row r="29" spans="1:2" x14ac:dyDescent="0.2">
      <c r="A29" s="210" t="str">
        <f>Matches!E61</f>
        <v>Netherlands</v>
      </c>
      <c r="B29" s="210">
        <f>Matches!F61</f>
        <v>0</v>
      </c>
    </row>
    <row r="30" spans="1:2" x14ac:dyDescent="0.2">
      <c r="A30" s="210" t="str">
        <f>Matches!H60</f>
        <v>Italy</v>
      </c>
      <c r="B30" s="210">
        <f>Matches!G60</f>
        <v>0</v>
      </c>
    </row>
    <row r="31" spans="1:2" x14ac:dyDescent="0.2">
      <c r="A31" s="210" t="str">
        <f>Matches!H61</f>
        <v>England</v>
      </c>
      <c r="B31" s="210">
        <f>Matches!G61</f>
        <v>1</v>
      </c>
    </row>
    <row r="32" spans="1:2" x14ac:dyDescent="0.2">
      <c r="A32" s="285" t="s">
        <v>41</v>
      </c>
      <c r="B32" s="285"/>
    </row>
    <row r="33" spans="1:2" x14ac:dyDescent="0.2">
      <c r="A33" s="210" t="str">
        <f>Matches!E62</f>
        <v>France</v>
      </c>
      <c r="B33" s="210">
        <f>Matches!F62</f>
        <v>2</v>
      </c>
    </row>
    <row r="34" spans="1:2" x14ac:dyDescent="0.2">
      <c r="A34" s="210" t="str">
        <f>Matches!H62</f>
        <v>England</v>
      </c>
      <c r="B34" s="210">
        <f>Matches!G62</f>
        <v>1</v>
      </c>
    </row>
    <row r="35" spans="1:2" x14ac:dyDescent="0.2">
      <c r="A35" s="285" t="s">
        <v>110</v>
      </c>
      <c r="B35" s="285"/>
    </row>
    <row r="36" spans="1:2" x14ac:dyDescent="0.2">
      <c r="A36" s="210" t="str">
        <f>Matches!B64</f>
        <v>France</v>
      </c>
      <c r="B36" s="210"/>
    </row>
    <row r="37" spans="1:2" x14ac:dyDescent="0.2">
      <c r="A37"/>
    </row>
    <row r="38" spans="1:2" x14ac:dyDescent="0.2">
      <c r="A38"/>
    </row>
    <row r="39" spans="1:2" x14ac:dyDescent="0.2">
      <c r="A39"/>
    </row>
    <row r="40" spans="1:2" x14ac:dyDescent="0.2">
      <c r="A40"/>
    </row>
  </sheetData>
  <sheetProtection algorithmName="SHA-512" hashValue="Tx3agSYt6mOB9KEErjO/nug5+1YA8Nir2w77PCxWnYX6Cbm4fug6Xk2h28pspqH8n/hAik7KH6qiirN8AmOs4Q==" saltValue="Gani8J1vwGYzsz45SHAlDg==" spinCount="100000" sheet="1" objects="1" scenarios="1"/>
  <mergeCells count="5">
    <mergeCell ref="A18:B18"/>
    <mergeCell ref="A27:B27"/>
    <mergeCell ref="A32:B32"/>
    <mergeCell ref="A35:B35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I59" sqref="I59"/>
      <selection pane="bottomLeft" activeCell="I59" sqref="I59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70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71"/>
      <c r="F5" s="17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71"/>
      <c r="F6" s="17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71"/>
      <c r="F7" s="17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71"/>
      <c r="F8" s="17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7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73"/>
      <c r="F11" s="174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75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86"/>
      <c r="G13" s="286"/>
      <c r="H13" s="286"/>
      <c r="I13" s="286"/>
      <c r="J13" s="286"/>
      <c r="K13" s="286"/>
      <c r="L13" s="286"/>
      <c r="M13" s="286"/>
      <c r="N13" s="286"/>
      <c r="O13" s="286"/>
      <c r="P13" s="286"/>
    </row>
    <row r="14" spans="1:16" ht="15" customHeight="1" x14ac:dyDescent="0.2">
      <c r="B14" s="9">
        <v>10</v>
      </c>
      <c r="C14" s="20" t="s">
        <v>12</v>
      </c>
      <c r="E14" s="12"/>
      <c r="F14" s="286"/>
      <c r="G14" s="286"/>
      <c r="H14" s="286"/>
      <c r="I14" s="286"/>
      <c r="J14" s="286"/>
      <c r="K14" s="286"/>
      <c r="L14" s="286"/>
      <c r="M14" s="286"/>
      <c r="N14" s="286"/>
      <c r="O14" s="286"/>
      <c r="P14" s="286"/>
    </row>
    <row r="15" spans="1:16" ht="15" customHeight="1" x14ac:dyDescent="0.2">
      <c r="B15" s="9">
        <v>11</v>
      </c>
      <c r="C15" s="20" t="s">
        <v>13</v>
      </c>
      <c r="E15" s="173"/>
      <c r="F15" s="174"/>
      <c r="G15" s="176"/>
      <c r="H15" s="176"/>
      <c r="I15" s="176"/>
      <c r="J15" s="176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77"/>
      <c r="F16" s="175"/>
      <c r="G16" s="176"/>
      <c r="H16" s="176"/>
      <c r="I16" s="176"/>
      <c r="J16" s="176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78"/>
      <c r="G17" s="176"/>
      <c r="H17" s="176"/>
      <c r="I17" s="176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73"/>
      <c r="F18" s="178"/>
      <c r="G18" s="176"/>
      <c r="H18" s="176"/>
      <c r="I18" s="176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75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86"/>
      <c r="G21" s="286"/>
      <c r="H21" s="286"/>
      <c r="I21" s="286"/>
      <c r="J21" s="286"/>
      <c r="K21" s="286"/>
      <c r="L21" s="286"/>
      <c r="M21" s="286"/>
      <c r="N21" s="286"/>
      <c r="O21" s="286"/>
      <c r="P21" s="286"/>
    </row>
    <row r="22" spans="2:16" ht="15" customHeight="1" x14ac:dyDescent="0.2">
      <c r="B22" s="9">
        <v>18</v>
      </c>
      <c r="C22" s="20" t="s">
        <v>20</v>
      </c>
      <c r="E22" s="12"/>
      <c r="F22" s="286"/>
      <c r="G22" s="286"/>
      <c r="H22" s="286"/>
      <c r="I22" s="286"/>
      <c r="J22" s="286"/>
      <c r="K22" s="286"/>
      <c r="L22" s="286"/>
      <c r="M22" s="286"/>
      <c r="N22" s="286"/>
      <c r="O22" s="286"/>
      <c r="P22" s="286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79"/>
      <c r="J23" s="179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73"/>
      <c r="F24" s="12"/>
      <c r="G24" s="179"/>
      <c r="H24" s="179"/>
      <c r="I24" s="179"/>
      <c r="J24" s="179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79"/>
      <c r="H25" s="179"/>
      <c r="I25" s="179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80"/>
      <c r="G26" s="179"/>
      <c r="H26" s="179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7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80"/>
      <c r="G28" s="12"/>
      <c r="H28" s="12"/>
      <c r="I28" s="12"/>
      <c r="J28" s="178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80"/>
  <sheetViews>
    <sheetView showGridLines="0" topLeftCell="A13" zoomScale="80" zoomScaleNormal="80" workbookViewId="0">
      <selection activeCell="I59" sqref="I59"/>
    </sheetView>
  </sheetViews>
  <sheetFormatPr baseColWidth="10" defaultColWidth="9.1640625" defaultRowHeight="13" x14ac:dyDescent="0.15"/>
  <cols>
    <col min="1" max="112" width="8.83203125" style="213" customWidth="1"/>
    <col min="113" max="119" width="8.83203125" style="219" customWidth="1"/>
    <col min="120" max="240" width="8.83203125" style="213" customWidth="1"/>
    <col min="241" max="247" width="8.83203125" style="219" customWidth="1"/>
    <col min="248" max="256" width="8.83203125" style="213" customWidth="1"/>
    <col min="257" max="16384" width="9.1640625" style="213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58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2"/>
      <c r="DJ1" s="212"/>
      <c r="DK1" s="212"/>
      <c r="DL1" s="212"/>
      <c r="DM1" s="212"/>
      <c r="DN1" s="212"/>
      <c r="DO1" s="212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2"/>
      <c r="IH1" s="212"/>
      <c r="II1" s="212"/>
      <c r="IJ1" s="212"/>
      <c r="IK1" s="212"/>
      <c r="IL1" s="212"/>
      <c r="IM1" s="212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59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60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61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62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63</v>
      </c>
      <c r="DB2" s="21" t="s">
        <v>64</v>
      </c>
      <c r="DC2" s="21"/>
      <c r="DD2" s="21"/>
      <c r="DE2" s="21"/>
      <c r="DF2" s="21"/>
      <c r="DG2" s="21"/>
      <c r="DH2" s="21"/>
      <c r="DI2" s="212" t="s">
        <v>38</v>
      </c>
      <c r="DJ2" s="212" t="s">
        <v>39</v>
      </c>
      <c r="DK2" s="212" t="s">
        <v>40</v>
      </c>
      <c r="DL2" s="212" t="s">
        <v>63</v>
      </c>
      <c r="DM2" s="212" t="s">
        <v>64</v>
      </c>
      <c r="DN2" s="212" t="s">
        <v>65</v>
      </c>
      <c r="DO2" s="212" t="s">
        <v>44</v>
      </c>
      <c r="DP2" s="21" t="s">
        <v>66</v>
      </c>
      <c r="DQ2" s="21" t="s">
        <v>67</v>
      </c>
      <c r="DR2" s="21" t="s">
        <v>68</v>
      </c>
      <c r="DS2" s="21" t="s">
        <v>69</v>
      </c>
      <c r="DT2" s="21" t="s">
        <v>70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2"/>
      <c r="IH2" s="212"/>
      <c r="II2" s="212"/>
      <c r="IJ2" s="212"/>
      <c r="IK2" s="212"/>
      <c r="IL2" s="212"/>
      <c r="IM2" s="212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63</v>
      </c>
      <c r="G3" s="21" t="s">
        <v>64</v>
      </c>
      <c r="H3" s="21" t="s">
        <v>71</v>
      </c>
      <c r="I3" s="21" t="s">
        <v>72</v>
      </c>
      <c r="J3" s="21" t="s">
        <v>73</v>
      </c>
      <c r="K3" s="21" t="s">
        <v>74</v>
      </c>
      <c r="L3" s="21"/>
      <c r="M3" s="21" t="s">
        <v>75</v>
      </c>
      <c r="N3" s="21"/>
      <c r="O3" s="21"/>
      <c r="P3" s="21" t="s">
        <v>76</v>
      </c>
      <c r="Q3" s="21" t="s">
        <v>77</v>
      </c>
      <c r="R3" s="21" t="s">
        <v>78</v>
      </c>
      <c r="S3" s="21" t="s">
        <v>79</v>
      </c>
      <c r="T3" s="21"/>
      <c r="U3" s="21" t="s">
        <v>80</v>
      </c>
      <c r="V3" s="21" t="s">
        <v>38</v>
      </c>
      <c r="W3" s="21" t="s">
        <v>39</v>
      </c>
      <c r="X3" s="21" t="s">
        <v>40</v>
      </c>
      <c r="Y3" s="21" t="s">
        <v>63</v>
      </c>
      <c r="Z3" s="21" t="s">
        <v>64</v>
      </c>
      <c r="AA3" s="21" t="s">
        <v>71</v>
      </c>
      <c r="AB3" s="21" t="s">
        <v>37</v>
      </c>
      <c r="AC3" s="21" t="s">
        <v>81</v>
      </c>
      <c r="AD3" s="21" t="s">
        <v>82</v>
      </c>
      <c r="AE3" s="21" t="s">
        <v>66</v>
      </c>
      <c r="AF3" s="21" t="s">
        <v>44</v>
      </c>
      <c r="AG3" s="21" t="s">
        <v>3</v>
      </c>
      <c r="AH3" s="21" t="s">
        <v>65</v>
      </c>
      <c r="AI3" s="21" t="s">
        <v>63</v>
      </c>
      <c r="AJ3" s="21" t="s">
        <v>83</v>
      </c>
      <c r="AK3" s="21" t="s">
        <v>82</v>
      </c>
      <c r="AL3" s="21" t="s">
        <v>66</v>
      </c>
      <c r="AM3" s="21" t="s">
        <v>84</v>
      </c>
      <c r="AN3" s="21"/>
      <c r="AO3" s="21" t="s">
        <v>80</v>
      </c>
      <c r="AP3" s="21" t="s">
        <v>38</v>
      </c>
      <c r="AQ3" s="21" t="s">
        <v>39</v>
      </c>
      <c r="AR3" s="21" t="s">
        <v>40</v>
      </c>
      <c r="AS3" s="21" t="s">
        <v>63</v>
      </c>
      <c r="AT3" s="21" t="s">
        <v>64</v>
      </c>
      <c r="AU3" s="21" t="s">
        <v>71</v>
      </c>
      <c r="AV3" s="21" t="s">
        <v>37</v>
      </c>
      <c r="AW3" s="21" t="s">
        <v>81</v>
      </c>
      <c r="AX3" s="21" t="s">
        <v>82</v>
      </c>
      <c r="AY3" s="21" t="s">
        <v>66</v>
      </c>
      <c r="AZ3" s="21" t="s">
        <v>44</v>
      </c>
      <c r="BA3" s="21" t="s">
        <v>3</v>
      </c>
      <c r="BB3" s="21" t="s">
        <v>65</v>
      </c>
      <c r="BC3" s="21" t="s">
        <v>63</v>
      </c>
      <c r="BD3" s="21" t="s">
        <v>83</v>
      </c>
      <c r="BE3" s="21" t="s">
        <v>82</v>
      </c>
      <c r="BF3" s="21" t="s">
        <v>66</v>
      </c>
      <c r="BG3" s="21" t="s">
        <v>84</v>
      </c>
      <c r="BH3" s="21"/>
      <c r="BI3" s="21" t="s">
        <v>80</v>
      </c>
      <c r="BJ3" s="21" t="s">
        <v>38</v>
      </c>
      <c r="BK3" s="21" t="s">
        <v>39</v>
      </c>
      <c r="BL3" s="21" t="s">
        <v>40</v>
      </c>
      <c r="BM3" s="21" t="s">
        <v>63</v>
      </c>
      <c r="BN3" s="21" t="s">
        <v>64</v>
      </c>
      <c r="BO3" s="21" t="s">
        <v>71</v>
      </c>
      <c r="BP3" s="21" t="s">
        <v>37</v>
      </c>
      <c r="BQ3" s="21" t="s">
        <v>81</v>
      </c>
      <c r="BR3" s="21" t="s">
        <v>82</v>
      </c>
      <c r="BS3" s="21" t="s">
        <v>66</v>
      </c>
      <c r="BT3" s="21" t="s">
        <v>44</v>
      </c>
      <c r="BU3" s="21" t="s">
        <v>3</v>
      </c>
      <c r="BV3" s="21" t="s">
        <v>65</v>
      </c>
      <c r="BW3" s="21" t="s">
        <v>63</v>
      </c>
      <c r="BX3" s="21" t="s">
        <v>81</v>
      </c>
      <c r="BY3" s="21" t="s">
        <v>82</v>
      </c>
      <c r="BZ3" s="21" t="s">
        <v>66</v>
      </c>
      <c r="CA3" s="21" t="s">
        <v>84</v>
      </c>
      <c r="CB3" s="21"/>
      <c r="CC3" s="21" t="s">
        <v>80</v>
      </c>
      <c r="CD3" s="21" t="s">
        <v>38</v>
      </c>
      <c r="CE3" s="21" t="s">
        <v>39</v>
      </c>
      <c r="CF3" s="21" t="s">
        <v>40</v>
      </c>
      <c r="CG3" s="21" t="s">
        <v>63</v>
      </c>
      <c r="CH3" s="21" t="s">
        <v>64</v>
      </c>
      <c r="CI3" s="21" t="s">
        <v>71</v>
      </c>
      <c r="CJ3" s="21" t="s">
        <v>37</v>
      </c>
      <c r="CK3" s="21" t="s">
        <v>81</v>
      </c>
      <c r="CL3" s="21" t="s">
        <v>82</v>
      </c>
      <c r="CM3" s="21" t="s">
        <v>66</v>
      </c>
      <c r="CN3" s="21" t="s">
        <v>44</v>
      </c>
      <c r="CO3" s="21" t="s">
        <v>3</v>
      </c>
      <c r="CP3" s="21" t="s">
        <v>65</v>
      </c>
      <c r="CQ3" s="21" t="s">
        <v>63</v>
      </c>
      <c r="CR3" s="21" t="s">
        <v>81</v>
      </c>
      <c r="CS3" s="21" t="s">
        <v>82</v>
      </c>
      <c r="CT3" s="21" t="s">
        <v>66</v>
      </c>
      <c r="CU3" s="21" t="s">
        <v>84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212">
        <f>Matches!U13</f>
        <v>1</v>
      </c>
      <c r="DJ3" s="212">
        <f>Matches!V13</f>
        <v>1</v>
      </c>
      <c r="DK3" s="212">
        <f>Matches!W13</f>
        <v>1</v>
      </c>
      <c r="DL3" s="212">
        <f>Matches!X13</f>
        <v>4</v>
      </c>
      <c r="DM3" s="212">
        <f>Matches!Z13</f>
        <v>5</v>
      </c>
      <c r="DN3" s="212">
        <f>Matches!AA13</f>
        <v>-1</v>
      </c>
      <c r="DO3" s="212">
        <f>Matches!AB13</f>
        <v>4</v>
      </c>
      <c r="DP3" s="21">
        <f>VLOOKUP(DH3,B4:J40,9,FALSE)</f>
        <v>47</v>
      </c>
      <c r="DQ3" s="21">
        <f>RANK(DO3,DO3:DO8)</f>
        <v>1</v>
      </c>
      <c r="DR3" s="21">
        <f>SUMPRODUCT((DQ3:DQ8=DQ3)*(DN3:DN8&gt;DN3))</f>
        <v>2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3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4"/>
      <c r="HZ3" s="214"/>
      <c r="IA3" s="21"/>
      <c r="IB3" s="21"/>
      <c r="IC3" s="21"/>
      <c r="ID3" s="21"/>
      <c r="IE3" s="21"/>
      <c r="IF3" s="21"/>
      <c r="IG3" s="212"/>
      <c r="IH3" s="212"/>
      <c r="II3" s="212"/>
      <c r="IJ3" s="212"/>
      <c r="IK3" s="212"/>
      <c r="IL3" s="212"/>
      <c r="IM3" s="212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4</v>
      </c>
      <c r="B4" s="21" t="str">
        <f>Matches!AH10</f>
        <v>Turkey</v>
      </c>
      <c r="C4" s="21">
        <f>SUMPRODUCT((CZ3:CZ42=B4)*(DD3:DD42="W"))+SUMPRODUCT((DC3:DC42=B4)*(DE3:DE42="W"))</f>
        <v>0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3</v>
      </c>
      <c r="F4" s="21">
        <f>SUMIF(CZ3:CZ60,B4,DA3:DA60)+SUMIF(DC3:DC60,B4,DB3:DB60)</f>
        <v>1</v>
      </c>
      <c r="G4" s="21">
        <f>SUMIF(DC3:DC60,B4,DA3:DA60)+SUMIF(CZ3:CZ60,B4,DB3:DB60)</f>
        <v>7</v>
      </c>
      <c r="H4" s="21">
        <f>F4-G4+1000</f>
        <v>994</v>
      </c>
      <c r="I4" s="21">
        <f>C4*3+D4*1</f>
        <v>0</v>
      </c>
      <c r="J4" s="21">
        <v>42</v>
      </c>
      <c r="K4" s="21">
        <f>IF(COUNTIF(I4:I8,4)&lt;&gt;4,RANK(I4,I4:I8),I44)</f>
        <v>4</v>
      </c>
      <c r="L4" s="21"/>
      <c r="M4" s="21">
        <f>SUMPRODUCT((K4:K7=K4)*(J4:J7&lt;J4))+K4</f>
        <v>4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>Wales</v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Finland</v>
      </c>
      <c r="DI4" s="212">
        <f>Matches!U18</f>
        <v>1</v>
      </c>
      <c r="DJ4" s="212">
        <f>Matches!V18</f>
        <v>0</v>
      </c>
      <c r="DK4" s="212">
        <f>Matches!W18</f>
        <v>2</v>
      </c>
      <c r="DL4" s="212">
        <f>Matches!X18</f>
        <v>1</v>
      </c>
      <c r="DM4" s="212">
        <f>Matches!Z18</f>
        <v>3</v>
      </c>
      <c r="DN4" s="212">
        <f>Matches!AA18</f>
        <v>-2</v>
      </c>
      <c r="DO4" s="212">
        <f>Matches!AB18</f>
        <v>3</v>
      </c>
      <c r="DP4" s="21">
        <f>VLOOKUP(DH4,B4:J40,9,FALSE)</f>
        <v>36</v>
      </c>
      <c r="DQ4" s="21">
        <f>RANK(DO4,DO3:DO8)</f>
        <v>4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5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4"/>
      <c r="HZ4" s="214"/>
      <c r="IA4" s="21"/>
      <c r="IB4" s="21"/>
      <c r="IC4" s="21"/>
      <c r="ID4" s="21"/>
      <c r="IE4" s="21"/>
      <c r="IF4" s="21"/>
      <c r="IG4" s="212"/>
      <c r="IH4" s="212"/>
      <c r="II4" s="212"/>
      <c r="IJ4" s="212"/>
      <c r="IK4" s="212"/>
      <c r="IL4" s="212"/>
      <c r="IM4" s="212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0</v>
      </c>
      <c r="H5" s="21">
        <f t="shared" ref="H5:H7" si="2">F5-G5+1000</f>
        <v>1006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>Switzerland</v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>Wales</v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1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1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1</v>
      </c>
      <c r="AU5" s="21">
        <f>AS5-AT5+1000</f>
        <v>1000</v>
      </c>
      <c r="AV5" s="21">
        <f t="shared" ref="AV5:AV7" si="7">IF(AO5&lt;&gt;"",AP5*3+AQ5*1,"")</f>
        <v>1</v>
      </c>
      <c r="AW5" s="21">
        <f>IF(AO5&lt;&gt;"",VLOOKUP(AO5,B4:H40,7,FALSE),"")</f>
        <v>1001</v>
      </c>
      <c r="AX5" s="21">
        <f>IF(AO5&lt;&gt;"",VLOOKUP(AO5,B4:H40,5,FALSE),"")</f>
        <v>3</v>
      </c>
      <c r="AY5" s="21">
        <f>IF(AO5&lt;&gt;"",VLOOKUP(AO5,B4:J40,9,FALSE),"")</f>
        <v>37</v>
      </c>
      <c r="AZ5" s="21">
        <f t="shared" ref="AZ5:AZ7" si="8">AV5</f>
        <v>1</v>
      </c>
      <c r="BA5" s="21">
        <f>IF(AO5&lt;&gt;"",RANK(AZ5,AZ4:AZ8),"")</f>
        <v>1</v>
      </c>
      <c r="BB5" s="21">
        <f>IF(AO5&lt;&gt;"",SUMPRODUCT((AZ4:AZ8=AZ5)*(AU4:AU8&gt;AU5)),"")</f>
        <v>0</v>
      </c>
      <c r="BC5" s="21">
        <f>IF(AO5&lt;&gt;"",SUMPRODUCT((AZ4:AZ8=AZ5)*(AU4:AU8=AU5)*(AS4:AS8&gt;AS5)),"")</f>
        <v>0</v>
      </c>
      <c r="BD5" s="21">
        <f>IF(AO5&lt;&gt;"",SUMPRODUCT((AZ4:AZ8=AZ5)*(AU4:AU8=AU5)*(AS4:AS8=AS5)*(AW4:AW8&gt;AW5)),"")</f>
        <v>0</v>
      </c>
      <c r="BE5" s="21">
        <f>IF(AO5&lt;&gt;"",SUMPRODUCT((AZ4:AZ8=AZ5)*(AU4:AU8=AU5)*(AS4:AS8=AS5)*(AW4:AW8=AW5)*(AX4:AX8&gt;AX5)),"")</f>
        <v>0</v>
      </c>
      <c r="BF5" s="21">
        <f>IF(AO5&lt;&gt;"",SUMPRODUCT((AZ4:AZ8=AZ5)*(AU4:AU8=AU5)*(AS4:AS8=AS5)*(AW4:AW8=AW5)*(AX4:AX8=AX5)*(AY4:AY8&gt;AY5)),"")</f>
        <v>0</v>
      </c>
      <c r="BG5" s="21">
        <f>IF(AO5&lt;&gt;"",IF(BG45&lt;&gt;"",IF(AN43=3,BG45,BG45+AN43),SUM(BA5:BF5)+1),"")</f>
        <v>2</v>
      </c>
      <c r="BH5" s="21" t="str">
        <f>IF(AO5&lt;&gt;"",INDEX(AO5:AO8,MATCH(2,BG5:BG8,0),0),"")</f>
        <v>Wales</v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0</v>
      </c>
      <c r="DB5" s="21">
        <f>IF(AND(Matches!G13&lt;&gt;"",Matches!F13&lt;&gt;""),Matches!G13,0)</f>
        <v>1</v>
      </c>
      <c r="DC5" s="21" t="str">
        <f>Matches!H13</f>
        <v>Finland</v>
      </c>
      <c r="DD5" s="21" t="str">
        <f>IF(AND(Matches!F13&lt;&gt;"",Matches!G13&lt;&gt;""),IF(DA5&gt;DB5,"W",IF(DA5=DB5,"D","L")),"")</f>
        <v>L</v>
      </c>
      <c r="DE5" s="21" t="str">
        <f t="shared" si="0"/>
        <v>W</v>
      </c>
      <c r="DF5" s="21"/>
      <c r="DG5" s="21"/>
      <c r="DH5" s="21" t="str">
        <f>Matches!P23</f>
        <v>Ukraine</v>
      </c>
      <c r="DI5" s="212">
        <f>Matches!U23</f>
        <v>1</v>
      </c>
      <c r="DJ5" s="212">
        <f>Matches!V23</f>
        <v>0</v>
      </c>
      <c r="DK5" s="212">
        <f>Matches!W23</f>
        <v>2</v>
      </c>
      <c r="DL5" s="212">
        <f>Matches!X23</f>
        <v>4</v>
      </c>
      <c r="DM5" s="212">
        <f>Matches!Z23</f>
        <v>5</v>
      </c>
      <c r="DN5" s="212">
        <f>Matches!AA23</f>
        <v>-1</v>
      </c>
      <c r="DO5" s="212">
        <f>Matches!AB23</f>
        <v>3</v>
      </c>
      <c r="DP5" s="21">
        <f>VLOOKUP(DH5,B4:J40,9,FALSE)</f>
        <v>50</v>
      </c>
      <c r="DQ5" s="21">
        <f>RANK(DO5,DO3:DO8)</f>
        <v>4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4"/>
      <c r="HZ5" s="214"/>
      <c r="IA5" s="21"/>
      <c r="IB5" s="21"/>
      <c r="IC5" s="21"/>
      <c r="ID5" s="21"/>
      <c r="IE5" s="21"/>
      <c r="IF5" s="21"/>
      <c r="IG5" s="212"/>
      <c r="IH5" s="212"/>
      <c r="II5" s="212"/>
      <c r="IJ5" s="212"/>
      <c r="IK5" s="212"/>
      <c r="IL5" s="212"/>
      <c r="IM5" s="212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1</v>
      </c>
      <c r="F6" s="21">
        <f>SUMIF(CZ3:CZ60,B6,DA3:DA60)+SUMIF(DC3:DC60,B6,DB3:DB60)</f>
        <v>3</v>
      </c>
      <c r="G6" s="21">
        <f>SUMIF(DC3:DC60,B6,DA3:DA60)+SUMIF(CZ3:CZ60,B6,DB3:DB60)</f>
        <v>2</v>
      </c>
      <c r="H6" s="21">
        <f t="shared" si="2"/>
        <v>1001</v>
      </c>
      <c r="I6" s="21">
        <f t="shared" si="3"/>
        <v>4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Switzerland</v>
      </c>
      <c r="O6" s="21">
        <f>INDEX(K4:K8,MATCH(N6,B4:B8,0),0)</f>
        <v>2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>Switzerland</v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1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1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1</v>
      </c>
      <c r="AU6" s="21">
        <f>AS6-AT6+1000</f>
        <v>1000</v>
      </c>
      <c r="AV6" s="21">
        <f t="shared" si="7"/>
        <v>1</v>
      </c>
      <c r="AW6" s="21">
        <f>IF(AO6&lt;&gt;"",VLOOKUP(AO6,B4:H40,7,FALSE),"")</f>
        <v>999</v>
      </c>
      <c r="AX6" s="21">
        <f>IF(AO6&lt;&gt;"",VLOOKUP(AO6,B4:H40,5,FALSE),"")</f>
        <v>4</v>
      </c>
      <c r="AY6" s="21">
        <f>IF(AO6&lt;&gt;"",VLOOKUP(AO6,B4:J40,9,FALSE),"")</f>
        <v>47</v>
      </c>
      <c r="AZ6" s="21">
        <f t="shared" si="8"/>
        <v>1</v>
      </c>
      <c r="BA6" s="21">
        <f>IF(AO6&lt;&gt;"",RANK(AZ6,AZ4:AZ8),"")</f>
        <v>1</v>
      </c>
      <c r="BB6" s="21">
        <f>IF(AO6&lt;&gt;"",SUMPRODUCT((AZ4:AZ8=AZ6)*(AU4:AU8&gt;AU6)),"")</f>
        <v>0</v>
      </c>
      <c r="BC6" s="21">
        <f>IF(AO6&lt;&gt;"",SUMPRODUCT((AZ4:AZ8=AZ6)*(AU4:AU8=AU6)*(AS4:AS8&gt;AS6)),"")</f>
        <v>0</v>
      </c>
      <c r="BD6" s="21">
        <f>IF(AO6&lt;&gt;"",SUMPRODUCT((AZ4:AZ8=AZ6)*(AU4:AU8=AU6)*(AS4:AS8=AS6)*(AW4:AW8&gt;AW6)),"")</f>
        <v>1</v>
      </c>
      <c r="BE6" s="21">
        <f>IF(AO6&lt;&gt;"",SUMPRODUCT((AZ4:AZ8=AZ6)*(AU4:AU8=AU6)*(AS4:AS8=AS6)*(AW4:AW8=AW6)*(AX4:AX8&gt;AX6)),"")</f>
        <v>0</v>
      </c>
      <c r="BF6" s="21">
        <f>IF(AO6&lt;&gt;"",SUMPRODUCT((AZ4:AZ8=AZ6)*(AU4:AU8=AU6)*(AS4:AS8=AS6)*(AW4:AW8=AW6)*(AX4:AX8=AX6)*(AY4:AY8&gt;AY6)),"")</f>
        <v>0</v>
      </c>
      <c r="BG6" s="21">
        <f>IF(AO6&lt;&gt;"",IF(BG46&lt;&gt;"",IF(AN43=3,BG46,BG46+AN43),SUM(BA6:BF6)+1),"")</f>
        <v>3</v>
      </c>
      <c r="BH6" s="21" t="str">
        <f>IF(AO6&lt;&gt;"",INDEX(AO5:AO8,MATCH(3,BG5:BG8,0),0),"")</f>
        <v>Switzerland</v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212">
        <f>Matches!U28</f>
        <v>1</v>
      </c>
      <c r="DJ6" s="212">
        <f>Matches!V28</f>
        <v>1</v>
      </c>
      <c r="DK6" s="212">
        <f>Matches!W28</f>
        <v>1</v>
      </c>
      <c r="DL6" s="212">
        <f>Matches!X28</f>
        <v>3</v>
      </c>
      <c r="DM6" s="212">
        <f>Matches!Z28</f>
        <v>2</v>
      </c>
      <c r="DN6" s="212">
        <f>Matches!AA28</f>
        <v>1</v>
      </c>
      <c r="DO6" s="212">
        <f>Matches!AB28</f>
        <v>4</v>
      </c>
      <c r="DP6" s="21">
        <f>VLOOKUP(DH6,B4:J40,9,FALSE)</f>
        <v>38</v>
      </c>
      <c r="DQ6" s="21">
        <f>RANK(DO6,DO3:DO8)</f>
        <v>1</v>
      </c>
      <c r="DR6" s="21">
        <f>SUMPRODUCT((DQ3:DQ8=DQ6)*(DN3:DN8&gt;DN6))</f>
        <v>0</v>
      </c>
      <c r="DS6" s="21">
        <f>SUMPRODUCT((DQ3:DQ8=DQ6)*(DN3:DN8=DN6)*(DL3:DL8&gt;DL6))</f>
        <v>1</v>
      </c>
      <c r="DT6" s="21">
        <f>SUMPRODUCT((DQ3:DQ8=DQ6)*(DN3:DN8=DN6)*(DL3:DL8=DL6)*(DP3:DP8&gt;DP6))</f>
        <v>0</v>
      </c>
      <c r="DU6" s="21">
        <f t="shared" si="1"/>
        <v>2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4"/>
      <c r="HZ6" s="214"/>
      <c r="IA6" s="21"/>
      <c r="IB6" s="21"/>
      <c r="IC6" s="21"/>
      <c r="ID6" s="21"/>
      <c r="IE6" s="21"/>
      <c r="IF6" s="21"/>
      <c r="IG6" s="212"/>
      <c r="IH6" s="212"/>
      <c r="II6" s="212"/>
      <c r="IJ6" s="212"/>
      <c r="IK6" s="212"/>
      <c r="IL6" s="212"/>
      <c r="IM6" s="212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1</v>
      </c>
      <c r="F7" s="21">
        <f>SUMIF(CZ3:CZ60,B7,DA3:DA60)+SUMIF(DC3:DC60,B7,DB3:DB60)</f>
        <v>4</v>
      </c>
      <c r="G7" s="21">
        <f>SUMIF(DC3:DC60,B7,DA3:DA60)+SUMIF(CZ3:CZ60,B7,DB3:DB60)</f>
        <v>5</v>
      </c>
      <c r="H7" s="21">
        <f t="shared" si="2"/>
        <v>999</v>
      </c>
      <c r="I7" s="21">
        <f t="shared" si="3"/>
        <v>4</v>
      </c>
      <c r="J7" s="21">
        <v>47</v>
      </c>
      <c r="K7" s="21">
        <f>IF(COUNTIF(I4:I8,4)&lt;&gt;4,RANK(I7,I4:I8),I47)</f>
        <v>2</v>
      </c>
      <c r="L7" s="21"/>
      <c r="M7" s="21">
        <f>SUMPRODUCT((K4:K7=K7)*(J4:J7&lt;J7))+K7</f>
        <v>3</v>
      </c>
      <c r="N7" s="21" t="str">
        <f>INDEX(B4:B8,MATCH(4,M4:M8,0),0)</f>
        <v>Turkey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Turkey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Slovakia</v>
      </c>
      <c r="DI7" s="212">
        <f>Matches!U33</f>
        <v>1</v>
      </c>
      <c r="DJ7" s="212">
        <f>Matches!V33</f>
        <v>0</v>
      </c>
      <c r="DK7" s="212">
        <f>Matches!W33</f>
        <v>2</v>
      </c>
      <c r="DL7" s="212">
        <f>Matches!X33</f>
        <v>2</v>
      </c>
      <c r="DM7" s="212">
        <f>Matches!Z33</f>
        <v>7</v>
      </c>
      <c r="DN7" s="212">
        <f>Matches!AA33</f>
        <v>-5</v>
      </c>
      <c r="DO7" s="212">
        <f>Matches!AB33</f>
        <v>3</v>
      </c>
      <c r="DP7" s="21">
        <f>VLOOKUP(DH7,B4:J40,9,FALSE)</f>
        <v>34</v>
      </c>
      <c r="DQ7" s="21">
        <f>RANK(DO7,DO3:DO8)</f>
        <v>4</v>
      </c>
      <c r="DR7" s="21">
        <f>SUMPRODUCT((DQ3:DQ8=DQ7)*(DN3:DN8&gt;DN7))</f>
        <v>2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6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4"/>
      <c r="HZ7" s="214"/>
      <c r="IA7" s="21"/>
      <c r="IB7" s="21"/>
      <c r="IC7" s="21"/>
      <c r="ID7" s="21"/>
      <c r="IE7" s="21"/>
      <c r="IF7" s="21"/>
      <c r="IG7" s="212"/>
      <c r="IH7" s="212"/>
      <c r="II7" s="212"/>
      <c r="IJ7" s="212"/>
      <c r="IK7" s="212"/>
      <c r="IL7" s="212"/>
      <c r="IM7" s="212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3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212">
        <f>Matches!U38</f>
        <v>1</v>
      </c>
      <c r="DJ8" s="212">
        <f>Matches!V38</f>
        <v>1</v>
      </c>
      <c r="DK8" s="212">
        <f>Matches!W38</f>
        <v>1</v>
      </c>
      <c r="DL8" s="212">
        <f>Matches!X38</f>
        <v>7</v>
      </c>
      <c r="DM8" s="212">
        <f>Matches!Z38</f>
        <v>6</v>
      </c>
      <c r="DN8" s="212">
        <f>Matches!AA38</f>
        <v>1</v>
      </c>
      <c r="DO8" s="212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4"/>
      <c r="HZ8" s="214"/>
      <c r="IA8" s="21"/>
      <c r="IB8" s="21"/>
      <c r="IC8" s="21"/>
      <c r="ID8" s="21"/>
      <c r="IE8" s="21"/>
      <c r="IF8" s="21"/>
      <c r="IG8" s="212"/>
      <c r="IH8" s="212"/>
      <c r="II8" s="212"/>
      <c r="IJ8" s="212"/>
      <c r="IK8" s="212"/>
      <c r="IL8" s="212"/>
      <c r="IM8" s="212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85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3</v>
      </c>
      <c r="DB9" s="21">
        <f>IF(AND(Matches!G17&lt;&gt;"",Matches!F17&lt;&gt;""),Matches!G17,0)</f>
        <v>2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212"/>
      <c r="DJ9" s="212"/>
      <c r="DK9" s="212"/>
      <c r="DL9" s="212"/>
      <c r="DM9" s="212"/>
      <c r="DN9" s="212"/>
      <c r="DO9" s="212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4"/>
      <c r="HZ9" s="214"/>
      <c r="IA9" s="21"/>
      <c r="IB9" s="21"/>
      <c r="IC9" s="21"/>
      <c r="ID9" s="21"/>
      <c r="IE9" s="21"/>
      <c r="IF9" s="21"/>
      <c r="IG9" s="212"/>
      <c r="IH9" s="212"/>
      <c r="II9" s="212"/>
      <c r="IJ9" s="212"/>
      <c r="IK9" s="212"/>
      <c r="IL9" s="212"/>
      <c r="IM9" s="212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0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212"/>
      <c r="DJ10" s="212"/>
      <c r="DK10" s="212"/>
      <c r="DL10" s="212"/>
      <c r="DM10" s="212"/>
      <c r="DN10" s="212"/>
      <c r="DO10" s="212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4"/>
      <c r="HZ10" s="214"/>
      <c r="IA10" s="21"/>
      <c r="IB10" s="21"/>
      <c r="IC10" s="21"/>
      <c r="ID10" s="21"/>
      <c r="IE10" s="21"/>
      <c r="IF10" s="21"/>
      <c r="IG10" s="212"/>
      <c r="IH10" s="212"/>
      <c r="II10" s="212"/>
      <c r="IJ10" s="212"/>
      <c r="IK10" s="212"/>
      <c r="IL10" s="212"/>
      <c r="IM10" s="212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7</v>
      </c>
      <c r="G11" s="21">
        <f>SUMIF(DC3:DC60,B11,DA3:DA60)+SUMIF(CZ3:CZ60,B11,DB3:DB60)</f>
        <v>1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Finland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2</v>
      </c>
      <c r="DC11" s="21" t="str">
        <f>Matches!H19</f>
        <v>Slovakia</v>
      </c>
      <c r="DD11" s="21" t="str">
        <f>IF(AND(Matches!F19&lt;&gt;"",Matches!G19&lt;&gt;""),IF(DA11&gt;DB11,"W",IF(DA11=DB11,"D","L")),"")</f>
        <v>L</v>
      </c>
      <c r="DE11" s="21" t="str">
        <f t="shared" si="0"/>
        <v>W</v>
      </c>
      <c r="DF11" s="21"/>
      <c r="DG11" s="21"/>
      <c r="DH11" s="21"/>
      <c r="DI11" s="212"/>
      <c r="DJ11" s="212"/>
      <c r="DK11" s="212"/>
      <c r="DL11" s="212"/>
      <c r="DM11" s="212"/>
      <c r="DN11" s="212"/>
      <c r="DO11" s="212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4"/>
      <c r="HZ11" s="214"/>
      <c r="IA11" s="21"/>
      <c r="IB11" s="21"/>
      <c r="IC11" s="21"/>
      <c r="ID11" s="21"/>
      <c r="IE11" s="21"/>
      <c r="IF11" s="21"/>
      <c r="IG11" s="212"/>
      <c r="IH11" s="212"/>
      <c r="II11" s="212"/>
      <c r="IJ11" s="212"/>
      <c r="IK11" s="212"/>
      <c r="IL11" s="212"/>
      <c r="IM11" s="212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4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2</v>
      </c>
      <c r="G12" s="21">
        <f>SUMIF(DC3:DC60,B12,DA3:DA60)+SUMIF(CZ3:CZ60,B12,DB3:DB60)</f>
        <v>7</v>
      </c>
      <c r="H12" s="21">
        <f t="shared" si="13"/>
        <v>995</v>
      </c>
      <c r="I12" s="21">
        <f t="shared" si="14"/>
        <v>3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4</v>
      </c>
      <c r="N12" s="21" t="str">
        <f>INDEX(B11:B15,MATCH(2,M11:M15,0),0)</f>
        <v>Finland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Denmark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Finland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1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1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1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1</v>
      </c>
      <c r="AU12" s="21">
        <f>AS12-AT12+1000</f>
        <v>1000</v>
      </c>
      <c r="AV12" s="21">
        <f t="shared" ref="AV12:AV14" si="18">IF(AO12&lt;&gt;"",AP12*3+AQ12*1,"")</f>
        <v>3</v>
      </c>
      <c r="AW12" s="21">
        <f>IF(AO12&lt;&gt;"",VLOOKUP(AO12,B4:H40,7,FALSE),"")</f>
        <v>998</v>
      </c>
      <c r="AX12" s="21">
        <f>IF(AO12&lt;&gt;"",VLOOKUP(AO12,B4:H40,5,FALSE),"")</f>
        <v>1</v>
      </c>
      <c r="AY12" s="21">
        <f>IF(AO12&lt;&gt;"",VLOOKUP(AO12,B4:J40,9,FALSE),"")</f>
        <v>36</v>
      </c>
      <c r="AZ12" s="21">
        <f t="shared" ref="AZ12:AZ14" si="19">AV12</f>
        <v>3</v>
      </c>
      <c r="BA12" s="21">
        <f>IF(AO12&lt;&gt;"",RANK(AZ12,AZ11:AZ15),"")</f>
        <v>1</v>
      </c>
      <c r="BB12" s="21">
        <f>IF(AO12&lt;&gt;"",SUMPRODUCT((AZ11:AZ15=AZ12)*(AU11:AU15&gt;AU12)),"")</f>
        <v>1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3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0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D</v>
      </c>
      <c r="DE12" s="21" t="str">
        <f t="shared" si="0"/>
        <v>D</v>
      </c>
      <c r="DF12" s="21"/>
      <c r="DG12" s="21"/>
      <c r="DH12" s="215" t="s">
        <v>86</v>
      </c>
      <c r="DI12" s="215"/>
      <c r="DJ12" s="215"/>
      <c r="DK12" s="215"/>
      <c r="DL12" s="216" t="s">
        <v>87</v>
      </c>
      <c r="DM12" s="216" t="s">
        <v>88</v>
      </c>
      <c r="DN12" s="216" t="s">
        <v>89</v>
      </c>
      <c r="DO12" s="216" t="s">
        <v>90</v>
      </c>
      <c r="DP12" s="217"/>
      <c r="DQ12" s="216" t="str">
        <f>Matches!AC43</f>
        <v>F</v>
      </c>
      <c r="DR12" s="218" t="str">
        <f>Matches!AC44</f>
        <v>D</v>
      </c>
      <c r="DS12" s="218" t="str">
        <f>Matches!AC45</f>
        <v>A</v>
      </c>
      <c r="DT12" s="218" t="str">
        <f>Matches!AC46</f>
        <v>C</v>
      </c>
      <c r="DU12" s="218"/>
      <c r="DV12" s="217"/>
      <c r="DW12" s="217"/>
      <c r="DX12" s="217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4"/>
      <c r="HZ12" s="214"/>
      <c r="IA12" s="21"/>
      <c r="IB12" s="21"/>
      <c r="IC12" s="21"/>
      <c r="ID12" s="21"/>
      <c r="IE12" s="21"/>
      <c r="IF12" s="215"/>
      <c r="IG12" s="215"/>
      <c r="IH12" s="215"/>
      <c r="II12" s="215"/>
      <c r="IJ12" s="216"/>
      <c r="IK12" s="216"/>
      <c r="IL12" s="216"/>
      <c r="IM12" s="216"/>
      <c r="IN12" s="217"/>
      <c r="IO12" s="216"/>
      <c r="IP12" s="218"/>
      <c r="IQ12" s="218"/>
      <c r="IR12" s="218"/>
      <c r="IS12" s="218"/>
      <c r="IT12" s="217"/>
      <c r="IU12" s="217"/>
      <c r="IV12" s="217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2</v>
      </c>
      <c r="F13" s="21">
        <f>SUMIF(CZ3:CZ60,B13,DA3:DA60)+SUMIF(DC3:DC60,B13,DB3:DB60)</f>
        <v>5</v>
      </c>
      <c r="G13" s="21">
        <f>SUMIF(DC3:DC60,B13,DA3:DA60)+SUMIF(CZ3:CZ60,B13,DB3:DB60)</f>
        <v>4</v>
      </c>
      <c r="H13" s="21">
        <f t="shared" si="13"/>
        <v>1001</v>
      </c>
      <c r="I13" s="21">
        <f t="shared" si="14"/>
        <v>3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3</v>
      </c>
      <c r="N13" s="21" t="str">
        <f>INDEX(B11:B15,MATCH(3,M11:M15,0),0)</f>
        <v>Denmark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>Russia</v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Denmark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1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1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4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2</v>
      </c>
      <c r="AU13" s="21">
        <f>AS13-AT13+1000</f>
        <v>1002</v>
      </c>
      <c r="AV13" s="21">
        <f t="shared" si="18"/>
        <v>3</v>
      </c>
      <c r="AW13" s="21">
        <f>IF(AO13&lt;&gt;"",VLOOKUP(AO13,B4:H40,7,FALSE),"")</f>
        <v>1001</v>
      </c>
      <c r="AX13" s="21">
        <f>IF(AO13&lt;&gt;"",VLOOKUP(AO13,B4:H40,5,FALSE),"")</f>
        <v>5</v>
      </c>
      <c r="AY13" s="21">
        <f>IF(AO13&lt;&gt;"",VLOOKUP(AO13,B4:J40,9,FALSE),"")</f>
        <v>41</v>
      </c>
      <c r="AZ13" s="21">
        <f t="shared" si="19"/>
        <v>3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0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2</v>
      </c>
      <c r="BH13" s="21" t="str">
        <f>IF(AO13&lt;&gt;"",INDEX(AO12:AO15,MATCH(3,BG12:BG15,0),0),"")</f>
        <v>Finland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Finland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216" t="s">
        <v>42</v>
      </c>
      <c r="DI13" s="217" t="s">
        <v>46</v>
      </c>
      <c r="DJ13" s="217" t="s">
        <v>48</v>
      </c>
      <c r="DK13" s="217" t="s">
        <v>39</v>
      </c>
      <c r="DL13" s="216" t="s">
        <v>42</v>
      </c>
      <c r="DM13" s="216" t="s">
        <v>39</v>
      </c>
      <c r="DN13" s="216" t="s">
        <v>46</v>
      </c>
      <c r="DO13" s="216" t="s">
        <v>48</v>
      </c>
      <c r="DP13" s="217"/>
      <c r="DQ13" s="218">
        <f>IFERROR(MATCH(DQ12,DH13:DK13,0),0)</f>
        <v>0</v>
      </c>
      <c r="DR13" s="218">
        <f>IFERROR(MATCH(DR12,DH13:DK13,0),0)</f>
        <v>4</v>
      </c>
      <c r="DS13" s="218">
        <f>IFERROR(MATCH(DS12,DH13:DK13,0),0)</f>
        <v>1</v>
      </c>
      <c r="DT13" s="218">
        <f>IFERROR(MATCH(DT12,DH13:DK13,0),0)</f>
        <v>3</v>
      </c>
      <c r="DU13" s="218">
        <f t="shared" ref="DU13:DU27" si="22">SUM(DQ13:DT13)</f>
        <v>8</v>
      </c>
      <c r="DV13" s="217"/>
      <c r="DW13" s="217" t="str">
        <f>INDEX(DH3:DH8,MATCH(1,DU3:DU8,0),0)</f>
        <v>Portugal</v>
      </c>
      <c r="DX13" s="217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4"/>
      <c r="HZ13" s="214"/>
      <c r="IA13" s="21"/>
      <c r="IB13" s="21"/>
      <c r="IC13" s="21"/>
      <c r="ID13" s="21"/>
      <c r="IE13" s="21"/>
      <c r="IF13" s="216"/>
      <c r="IG13" s="217"/>
      <c r="IH13" s="217"/>
      <c r="II13" s="217"/>
      <c r="IJ13" s="216"/>
      <c r="IK13" s="216"/>
      <c r="IL13" s="216"/>
      <c r="IM13" s="216"/>
      <c r="IN13" s="217"/>
      <c r="IO13" s="218"/>
      <c r="IP13" s="218"/>
      <c r="IQ13" s="218"/>
      <c r="IR13" s="218"/>
      <c r="IS13" s="218"/>
      <c r="IT13" s="217"/>
      <c r="IU13" s="217"/>
      <c r="IV13" s="217"/>
    </row>
    <row r="14" spans="1:256" ht="14" x14ac:dyDescent="0.2">
      <c r="A14" s="21">
        <f>VLOOKUP(B14,CW11:CX15,2,FALSE)</f>
        <v>3</v>
      </c>
      <c r="B14" s="21" t="str">
        <f>Matches!AH17</f>
        <v>Finland</v>
      </c>
      <c r="C14" s="21">
        <f>SUMPRODUCT((CZ3:CZ42=B14)*(DD3:DD42="W"))+SUMPRODUCT((DC3:DC42=B14)*(DE3:DE42="W"))</f>
        <v>1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2</v>
      </c>
      <c r="F14" s="21">
        <f>SUMIF(CZ3:CZ60,B14,DA3:DA60)+SUMIF(DC3:DC60,B14,DB3:DB60)</f>
        <v>1</v>
      </c>
      <c r="G14" s="21">
        <f>SUMIF(DC3:DC60,B14,DA3:DA60)+SUMIF(CZ3:CZ60,B14,DB3:DB60)</f>
        <v>3</v>
      </c>
      <c r="H14" s="21">
        <f t="shared" si="13"/>
        <v>998</v>
      </c>
      <c r="I14" s="21">
        <f t="shared" si="14"/>
        <v>3</v>
      </c>
      <c r="J14" s="21">
        <v>36</v>
      </c>
      <c r="K14" s="21">
        <f>IF(COUNTIF(I11:I15,4)&lt;&gt;4,RANK(I14,I11:I15),I54)</f>
        <v>2</v>
      </c>
      <c r="L14" s="21"/>
      <c r="M14" s="21">
        <f>SUMPRODUCT((K11:K14=K14)*(J11:J14&lt;J14))+K14</f>
        <v>2</v>
      </c>
      <c r="N14" s="21" t="str">
        <f>INDEX(B11:B15,MATCH(4,M11:M15,0),0)</f>
        <v>Russia</v>
      </c>
      <c r="O14" s="21">
        <f>INDEX(K11:K15,MATCH(N14,B11:B15,0),0)</f>
        <v>2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>Russia</v>
      </c>
      <c r="AP14" s="21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>1</v>
      </c>
      <c r="AQ14" s="21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>0</v>
      </c>
      <c r="AR14" s="21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>1</v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2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4</v>
      </c>
      <c r="AU14" s="21">
        <f>AS14-AT14+1000</f>
        <v>998</v>
      </c>
      <c r="AV14" s="21">
        <f t="shared" si="18"/>
        <v>3</v>
      </c>
      <c r="AW14" s="21">
        <f>IF(AO14&lt;&gt;"",VLOOKUP(AO14,B4:H40,7,FALSE),"")</f>
        <v>995</v>
      </c>
      <c r="AX14" s="21">
        <f>IF(AO14&lt;&gt;"",VLOOKUP(AO14,B4:H40,5,FALSE),"")</f>
        <v>2</v>
      </c>
      <c r="AY14" s="21">
        <f>IF(AO14&lt;&gt;"",VLOOKUP(AO14,B4:J40,9,FALSE),"")</f>
        <v>44</v>
      </c>
      <c r="AZ14" s="21">
        <f t="shared" si="19"/>
        <v>3</v>
      </c>
      <c r="BA14" s="21">
        <f>IF(AO14&lt;&gt;"",RANK(AZ14,AZ11:AZ15),"")</f>
        <v>1</v>
      </c>
      <c r="BB14" s="21">
        <f>IF(AO14&lt;&gt;"",SUMPRODUCT((AZ11:AZ15=AZ14)*(AU11:AU15&gt;AU14)),"")</f>
        <v>2</v>
      </c>
      <c r="BC14" s="21">
        <f>IF(AO14&lt;&gt;"",SUMPRODUCT((AZ11:AZ15=AZ14)*(AU11:AU15=AU14)*(AS11:AS15&gt;AS14)),"")</f>
        <v>0</v>
      </c>
      <c r="BD14" s="21">
        <f>IF(AO14&lt;&gt;"",SUMPRODUCT((AZ11:AZ15=AZ14)*(AU11:AU15=AU14)*(AS11:AS15=AS14)*(AW11:AW15&gt;AW14)),"")</f>
        <v>0</v>
      </c>
      <c r="BE14" s="21">
        <f>IF(AO14&lt;&gt;"",SUMPRODUCT((AZ11:AZ15=AZ14)*(AU11:AU15=AU14)*(AS11:AS15=AS14)*(AW11:AW15=AW14)*(AX11:AX15&gt;AX14)),"")</f>
        <v>0</v>
      </c>
      <c r="BF14" s="21">
        <f>IF(AO14&lt;&gt;"",SUMPRODUCT((AZ11:AZ15=AZ14)*(AU11:AU15=AU14)*(AS11:AS15=AS14)*(AW11:AW15=AW14)*(AX11:AX15=AX14)*(AY11:AY15&gt;AY14)),"")</f>
        <v>0</v>
      </c>
      <c r="BG14" s="21">
        <f>IF(AO14&lt;&gt;"",IF(BG54&lt;&gt;"",IF(AN50=3,BG54,BG54+AN50),SUM(BA14:BF14)+1),"")</f>
        <v>4</v>
      </c>
      <c r="BH14" s="21" t="str">
        <f>IF(AO14&lt;&gt;"",INDEX(AO12:AO15,MATCH(4,BG12:BG15,0),0),"")</f>
        <v>Russia</v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Russia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0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216" t="s">
        <v>42</v>
      </c>
      <c r="DI14" s="217" t="s">
        <v>46</v>
      </c>
      <c r="DJ14" s="217" t="s">
        <v>48</v>
      </c>
      <c r="DK14" s="217" t="s">
        <v>49</v>
      </c>
      <c r="DL14" s="216" t="s">
        <v>42</v>
      </c>
      <c r="DM14" s="216" t="s">
        <v>49</v>
      </c>
      <c r="DN14" s="216" t="s">
        <v>46</v>
      </c>
      <c r="DO14" s="216" t="s">
        <v>48</v>
      </c>
      <c r="DP14" s="217"/>
      <c r="DQ14" s="218">
        <f>IFERROR(MATCH(DQ12,DH14:DK14,0),0)</f>
        <v>0</v>
      </c>
      <c r="DR14" s="218">
        <f>IFERROR(MATCH(DR12,DH14:DK14,0),0)</f>
        <v>0</v>
      </c>
      <c r="DS14" s="218">
        <f>IFERROR(MATCH(DS12,DH14:DK14,0),0)</f>
        <v>1</v>
      </c>
      <c r="DT14" s="218">
        <f>IFERROR(MATCH(DT12,DH14:DK14,0),0)</f>
        <v>3</v>
      </c>
      <c r="DU14" s="218">
        <f t="shared" si="22"/>
        <v>4</v>
      </c>
      <c r="DV14" s="217"/>
      <c r="DW14" s="217" t="str">
        <f>INDEX(DH3:DH8,MATCH(2,DU3:DU8,0),0)</f>
        <v>Czech Republic</v>
      </c>
      <c r="DX14" s="217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4"/>
      <c r="HZ14" s="214"/>
      <c r="IA14" s="21"/>
      <c r="IB14" s="21"/>
      <c r="IC14" s="21"/>
      <c r="ID14" s="21"/>
      <c r="IE14" s="21"/>
      <c r="IF14" s="216"/>
      <c r="IG14" s="217"/>
      <c r="IH14" s="217"/>
      <c r="II14" s="217"/>
      <c r="IJ14" s="216"/>
      <c r="IK14" s="216"/>
      <c r="IL14" s="216"/>
      <c r="IM14" s="216"/>
      <c r="IN14" s="217"/>
      <c r="IO14" s="218"/>
      <c r="IP14" s="218"/>
      <c r="IQ14" s="218"/>
      <c r="IR14" s="218"/>
      <c r="IS14" s="218"/>
      <c r="IT14" s="217"/>
      <c r="IU14" s="217"/>
      <c r="IV14" s="217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216" t="s">
        <v>42</v>
      </c>
      <c r="DI15" s="217" t="s">
        <v>46</v>
      </c>
      <c r="DJ15" s="217" t="s">
        <v>48</v>
      </c>
      <c r="DK15" s="217" t="s">
        <v>41</v>
      </c>
      <c r="DL15" s="216" t="s">
        <v>42</v>
      </c>
      <c r="DM15" s="216" t="s">
        <v>41</v>
      </c>
      <c r="DN15" s="216" t="s">
        <v>46</v>
      </c>
      <c r="DO15" s="216" t="s">
        <v>48</v>
      </c>
      <c r="DP15" s="217"/>
      <c r="DQ15" s="218">
        <f>IFERROR(MATCH(DQ12,DH15:DK15,0),0)</f>
        <v>4</v>
      </c>
      <c r="DR15" s="218">
        <f>IFERROR(MATCH(DR12,DH15:DK15,0),0)</f>
        <v>0</v>
      </c>
      <c r="DS15" s="218">
        <f>IFERROR(MATCH(DS12,DH15:DK15,0),0)</f>
        <v>1</v>
      </c>
      <c r="DT15" s="218">
        <f>IFERROR(MATCH(DT12,DH15:DK15,0),0)</f>
        <v>3</v>
      </c>
      <c r="DU15" s="218">
        <f t="shared" si="22"/>
        <v>8</v>
      </c>
      <c r="DV15" s="217"/>
      <c r="DW15" s="217" t="str">
        <f>INDEX(DH3:DH8,MATCH(3,DU3:DU8,0),0)</f>
        <v>Switzerland</v>
      </c>
      <c r="DX15" s="217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4"/>
      <c r="HZ15" s="214"/>
      <c r="IA15" s="21"/>
      <c r="IB15" s="21"/>
      <c r="IC15" s="21"/>
      <c r="ID15" s="21"/>
      <c r="IE15" s="21"/>
      <c r="IF15" s="216"/>
      <c r="IG15" s="217"/>
      <c r="IH15" s="217"/>
      <c r="II15" s="217"/>
      <c r="IJ15" s="216"/>
      <c r="IK15" s="216"/>
      <c r="IL15" s="216"/>
      <c r="IM15" s="216"/>
      <c r="IN15" s="217"/>
      <c r="IO15" s="218"/>
      <c r="IP15" s="218"/>
      <c r="IQ15" s="218"/>
      <c r="IR15" s="218"/>
      <c r="IS15" s="218"/>
      <c r="IT15" s="217"/>
      <c r="IU15" s="217"/>
      <c r="IV15" s="217"/>
    </row>
    <row r="16" spans="1:256" ht="14" x14ac:dyDescent="0.2">
      <c r="A16" s="21"/>
      <c r="B16" s="21"/>
      <c r="C16" s="21"/>
      <c r="D16" s="21"/>
      <c r="E16" s="21"/>
      <c r="F16" s="21" t="s">
        <v>91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0</v>
      </c>
      <c r="DB16" s="21">
        <f>IF(AND(Matches!G24&lt;&gt;"",Matches!F24&lt;&gt;""),Matches!G24,0)</f>
        <v>2</v>
      </c>
      <c r="DC16" s="21" t="str">
        <f>Matches!H24</f>
        <v>Wales</v>
      </c>
      <c r="DD16" s="21" t="str">
        <f>IF(AND(Matches!F24&lt;&gt;"",Matches!G24&lt;&gt;""),IF(DA16&gt;DB16,"W",IF(DA16=DB16,"D","L")),"")</f>
        <v>L</v>
      </c>
      <c r="DE16" s="21" t="str">
        <f t="shared" si="0"/>
        <v>W</v>
      </c>
      <c r="DF16" s="21"/>
      <c r="DG16" s="21"/>
      <c r="DH16" s="216" t="s">
        <v>42</v>
      </c>
      <c r="DI16" s="217" t="s">
        <v>46</v>
      </c>
      <c r="DJ16" s="217" t="s">
        <v>39</v>
      </c>
      <c r="DK16" s="217" t="s">
        <v>49</v>
      </c>
      <c r="DL16" s="216" t="s">
        <v>39</v>
      </c>
      <c r="DM16" s="216" t="s">
        <v>49</v>
      </c>
      <c r="DN16" s="216" t="s">
        <v>42</v>
      </c>
      <c r="DO16" s="216" t="s">
        <v>46</v>
      </c>
      <c r="DP16" s="217"/>
      <c r="DQ16" s="218">
        <f>IFERROR(MATCH(DQ12,DH16:DK16,0),0)</f>
        <v>0</v>
      </c>
      <c r="DR16" s="218">
        <f>IFERROR(MATCH(DR12,DH16:DK16,0),0)</f>
        <v>3</v>
      </c>
      <c r="DS16" s="218">
        <f>IFERROR(MATCH(DS12,DH16:DK16,0),0)</f>
        <v>1</v>
      </c>
      <c r="DT16" s="218">
        <f>IFERROR(MATCH(DT12,DH16:DK16,0),0)</f>
        <v>0</v>
      </c>
      <c r="DU16" s="218">
        <f t="shared" si="22"/>
        <v>4</v>
      </c>
      <c r="DV16" s="217"/>
      <c r="DW16" s="217" t="str">
        <f>INDEX(DH3:DH8,MATCH(4,DU3:DU8,0),0)</f>
        <v>Ukraine</v>
      </c>
      <c r="DX16" s="217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4"/>
      <c r="HZ16" s="214"/>
      <c r="IA16" s="21"/>
      <c r="IB16" s="21"/>
      <c r="IC16" s="21"/>
      <c r="ID16" s="21"/>
      <c r="IE16" s="21"/>
      <c r="IF16" s="216"/>
      <c r="IG16" s="217"/>
      <c r="IH16" s="217"/>
      <c r="II16" s="217"/>
      <c r="IJ16" s="216"/>
      <c r="IK16" s="216"/>
      <c r="IL16" s="216"/>
      <c r="IM16" s="216"/>
      <c r="IN16" s="217"/>
      <c r="IO16" s="218"/>
      <c r="IP16" s="218"/>
      <c r="IQ16" s="218"/>
      <c r="IR16" s="218"/>
      <c r="IS16" s="218"/>
      <c r="IT16" s="217"/>
      <c r="IU16" s="217"/>
      <c r="IV16" s="217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3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216" t="s">
        <v>42</v>
      </c>
      <c r="DI17" s="217" t="s">
        <v>46</v>
      </c>
      <c r="DJ17" s="217" t="s">
        <v>39</v>
      </c>
      <c r="DK17" s="217" t="s">
        <v>41</v>
      </c>
      <c r="DL17" s="216" t="s">
        <v>39</v>
      </c>
      <c r="DM17" s="216" t="s">
        <v>41</v>
      </c>
      <c r="DN17" s="216" t="s">
        <v>42</v>
      </c>
      <c r="DO17" s="216" t="s">
        <v>46</v>
      </c>
      <c r="DP17" s="217"/>
      <c r="DQ17" s="218">
        <f>IFERROR(MATCH(DQ12,DH17:DK17,0),0)</f>
        <v>4</v>
      </c>
      <c r="DR17" s="218">
        <f>IFERROR(MATCH(DR12,DH17:DK17,0),0)</f>
        <v>3</v>
      </c>
      <c r="DS17" s="218">
        <f>IFERROR(MATCH(DS12,DH17:DK17,0),0)</f>
        <v>1</v>
      </c>
      <c r="DT17" s="218">
        <f>IFERROR(MATCH(DT12,DH17:DK17,0),0)</f>
        <v>0</v>
      </c>
      <c r="DU17" s="218">
        <f t="shared" si="22"/>
        <v>8</v>
      </c>
      <c r="DV17" s="217"/>
      <c r="DW17" s="217"/>
      <c r="DX17" s="217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4"/>
      <c r="HZ17" s="214"/>
      <c r="IA17" s="21"/>
      <c r="IB17" s="21"/>
      <c r="IC17" s="21"/>
      <c r="ID17" s="21"/>
      <c r="IE17" s="21"/>
      <c r="IF17" s="216"/>
      <c r="IG17" s="217"/>
      <c r="IH17" s="217"/>
      <c r="II17" s="217"/>
      <c r="IJ17" s="216"/>
      <c r="IK17" s="216"/>
      <c r="IL17" s="216"/>
      <c r="IM17" s="216"/>
      <c r="IN17" s="217"/>
      <c r="IO17" s="218"/>
      <c r="IP17" s="218"/>
      <c r="IQ17" s="218"/>
      <c r="IR17" s="218"/>
      <c r="IS17" s="218"/>
      <c r="IT17" s="217"/>
      <c r="IU17" s="217"/>
      <c r="IV17" s="217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8</v>
      </c>
      <c r="G18" s="21">
        <f>SUMIF(DC3:DC60,B18,DA3:DA60)+SUMIF(CZ3:CZ60,B18,DB3:DB60)</f>
        <v>2</v>
      </c>
      <c r="H18" s="21">
        <f t="shared" ref="H18:H21" si="25">F18-G18+1000</f>
        <v>1006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216" t="s">
        <v>42</v>
      </c>
      <c r="DI18" s="217" t="s">
        <v>46</v>
      </c>
      <c r="DJ18" s="217" t="s">
        <v>49</v>
      </c>
      <c r="DK18" s="217" t="s">
        <v>41</v>
      </c>
      <c r="DL18" s="216" t="s">
        <v>49</v>
      </c>
      <c r="DM18" s="216" t="s">
        <v>41</v>
      </c>
      <c r="DN18" s="216" t="s">
        <v>46</v>
      </c>
      <c r="DO18" s="216" t="s">
        <v>42</v>
      </c>
      <c r="DP18" s="217"/>
      <c r="DQ18" s="218">
        <f>IFERROR(MATCH(DQ12,DH18:DK18,0),0)</f>
        <v>4</v>
      </c>
      <c r="DR18" s="218">
        <f>IFERROR(MATCH(DR12,DH18:DK18,0),0)</f>
        <v>0</v>
      </c>
      <c r="DS18" s="218">
        <f>IFERROR(MATCH(DS12,DH18:DK18,0),0)</f>
        <v>1</v>
      </c>
      <c r="DT18" s="218">
        <f>IFERROR(MATCH(DT12,DH18:DK18,0),0)</f>
        <v>0</v>
      </c>
      <c r="DU18" s="218">
        <f t="shared" si="22"/>
        <v>5</v>
      </c>
      <c r="DV18" s="217" t="s">
        <v>92</v>
      </c>
      <c r="DW18" s="217" t="str">
        <f>INDEX(DH3:DH8,MATCH(INDEX(DL13:DL27,MATCH(10,DU13:DU27,0),0),DV3:DV8,0),0)</f>
        <v>Portugal</v>
      </c>
      <c r="DX18" s="217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4"/>
      <c r="HZ18" s="214"/>
      <c r="IA18" s="21"/>
      <c r="IB18" s="21"/>
      <c r="IC18" s="21"/>
      <c r="ID18" s="21"/>
      <c r="IE18" s="21"/>
      <c r="IF18" s="216"/>
      <c r="IG18" s="217"/>
      <c r="IH18" s="217"/>
      <c r="II18" s="217"/>
      <c r="IJ18" s="216"/>
      <c r="IK18" s="216"/>
      <c r="IL18" s="216"/>
      <c r="IM18" s="216"/>
      <c r="IN18" s="217"/>
      <c r="IO18" s="218"/>
      <c r="IP18" s="218"/>
      <c r="IQ18" s="218"/>
      <c r="IR18" s="218"/>
      <c r="IS18" s="218"/>
      <c r="IT18" s="217"/>
      <c r="IU18" s="217"/>
      <c r="IV18" s="217"/>
    </row>
    <row r="19" spans="1:256" ht="14" x14ac:dyDescent="0.2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2</v>
      </c>
      <c r="F19" s="21">
        <f>SUMIF(CZ3:CZ60,B19,DA3:DA60)+SUMIF(DC3:DC60,B19,DB3:DB60)</f>
        <v>4</v>
      </c>
      <c r="G19" s="21">
        <f>SUMIF(DC3:DC60,B19,DA3:DA60)+SUMIF(CZ3:CZ60,B19,DB3:DB60)</f>
        <v>5</v>
      </c>
      <c r="H19" s="21">
        <f t="shared" si="25"/>
        <v>999</v>
      </c>
      <c r="I19" s="21">
        <f t="shared" si="26"/>
        <v>3</v>
      </c>
      <c r="J19" s="21">
        <v>50</v>
      </c>
      <c r="K19" s="21">
        <f>IF(COUNTIF(I18:I22,4)&lt;&gt;4,RANK(I19,I18:I22),I59)</f>
        <v>3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216" t="s">
        <v>42</v>
      </c>
      <c r="DI19" s="217" t="s">
        <v>48</v>
      </c>
      <c r="DJ19" s="217" t="s">
        <v>39</v>
      </c>
      <c r="DK19" s="217" t="s">
        <v>49</v>
      </c>
      <c r="DL19" s="216" t="s">
        <v>49</v>
      </c>
      <c r="DM19" s="216" t="s">
        <v>39</v>
      </c>
      <c r="DN19" s="216" t="s">
        <v>48</v>
      </c>
      <c r="DO19" s="216" t="s">
        <v>42</v>
      </c>
      <c r="DP19" s="217"/>
      <c r="DQ19" s="218">
        <f>IFERROR(MATCH(DQ12,DH19:DK19,0),0)</f>
        <v>0</v>
      </c>
      <c r="DR19" s="218">
        <f>IFERROR(MATCH(DR12,DH19:DK19,0),0)</f>
        <v>3</v>
      </c>
      <c r="DS19" s="218">
        <f>IFERROR(MATCH(DS12,DH19:DK19,0),0)</f>
        <v>1</v>
      </c>
      <c r="DT19" s="218">
        <f>IFERROR(MATCH(DT12,DH19:DK19,0),0)</f>
        <v>2</v>
      </c>
      <c r="DU19" s="218">
        <f t="shared" si="22"/>
        <v>6</v>
      </c>
      <c r="DV19" s="217" t="s">
        <v>87</v>
      </c>
      <c r="DW19" s="217" t="str">
        <f>INDEX(DH3:DH8,MATCH(INDEX(DM13:DM27,MATCH(10,DU13:DU27,0),0),DV3:DV8,0),0)</f>
        <v>Czech Republic</v>
      </c>
      <c r="DX19" s="217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4"/>
      <c r="HZ19" s="214"/>
      <c r="IA19" s="21"/>
      <c r="IB19" s="21"/>
      <c r="IC19" s="21"/>
      <c r="ID19" s="21"/>
      <c r="IE19" s="21"/>
      <c r="IF19" s="216"/>
      <c r="IG19" s="217"/>
      <c r="IH19" s="217"/>
      <c r="II19" s="217"/>
      <c r="IJ19" s="216"/>
      <c r="IK19" s="216"/>
      <c r="IL19" s="216"/>
      <c r="IM19" s="216"/>
      <c r="IN19" s="217"/>
      <c r="IO19" s="218"/>
      <c r="IP19" s="218"/>
      <c r="IQ19" s="218"/>
      <c r="IR19" s="218"/>
      <c r="IS19" s="218"/>
      <c r="IT19" s="217"/>
      <c r="IU19" s="217"/>
      <c r="IV19" s="217"/>
    </row>
    <row r="20" spans="1:256" ht="14" x14ac:dyDescent="0.2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2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1</v>
      </c>
      <c r="F20" s="21">
        <f>SUMIF(CZ3:CZ60,B20,DA3:DA60)+SUMIF(DC3:DC60,B20,DB3:DB60)</f>
        <v>4</v>
      </c>
      <c r="G20" s="21">
        <f>SUMIF(DC3:DC60,B20,DA3:DA60)+SUMIF(CZ3:CZ60,B20,DB3:DB60)</f>
        <v>3</v>
      </c>
      <c r="H20" s="21">
        <f t="shared" si="25"/>
        <v>1001</v>
      </c>
      <c r="I20" s="21">
        <f t="shared" si="26"/>
        <v>6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216" t="s">
        <v>42</v>
      </c>
      <c r="DI20" s="217" t="s">
        <v>48</v>
      </c>
      <c r="DJ20" s="217" t="s">
        <v>39</v>
      </c>
      <c r="DK20" s="217" t="s">
        <v>41</v>
      </c>
      <c r="DL20" s="216" t="s">
        <v>41</v>
      </c>
      <c r="DM20" s="216" t="s">
        <v>39</v>
      </c>
      <c r="DN20" s="216" t="s">
        <v>48</v>
      </c>
      <c r="DO20" s="216" t="s">
        <v>42</v>
      </c>
      <c r="DP20" s="217"/>
      <c r="DQ20" s="218">
        <f>IFERROR(MATCH(DQ12,DH20:DK20,0),0)</f>
        <v>4</v>
      </c>
      <c r="DR20" s="218">
        <f>IFERROR(MATCH(DR12,DH20:DK20,0),0)</f>
        <v>3</v>
      </c>
      <c r="DS20" s="218">
        <f>IFERROR(MATCH(DS12,DH20:DK20,0),0)</f>
        <v>1</v>
      </c>
      <c r="DT20" s="218">
        <f>IFERROR(MATCH(DT12,DH20:DK20,0),0)</f>
        <v>2</v>
      </c>
      <c r="DU20" s="218">
        <f t="shared" si="22"/>
        <v>10</v>
      </c>
      <c r="DV20" s="217" t="s">
        <v>88</v>
      </c>
      <c r="DW20" s="217" t="str">
        <f>INDEX(DH3:DH8,MATCH(INDEX(DN13:DN27,MATCH(10,DU13:DU27,0),0),DV3:DV8,0),0)</f>
        <v>Ukraine</v>
      </c>
      <c r="DX20" s="217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4"/>
      <c r="HZ20" s="214"/>
      <c r="IA20" s="21"/>
      <c r="IB20" s="21"/>
      <c r="IC20" s="21"/>
      <c r="ID20" s="21"/>
      <c r="IE20" s="21"/>
      <c r="IF20" s="216"/>
      <c r="IG20" s="217"/>
      <c r="IH20" s="217"/>
      <c r="II20" s="217"/>
      <c r="IJ20" s="216"/>
      <c r="IK20" s="216"/>
      <c r="IL20" s="216"/>
      <c r="IM20" s="216"/>
      <c r="IN20" s="217"/>
      <c r="IO20" s="218"/>
      <c r="IP20" s="218"/>
      <c r="IQ20" s="218"/>
      <c r="IR20" s="218"/>
      <c r="IS20" s="218"/>
      <c r="IT20" s="217"/>
      <c r="IU20" s="217"/>
      <c r="IV20" s="217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2</v>
      </c>
      <c r="G21" s="21">
        <f>SUMIF(DC3:DC60,B21,DA3:DA60)+SUMIF(CZ3:CZ60,B21,DB3:DB60)</f>
        <v>8</v>
      </c>
      <c r="H21" s="21">
        <f t="shared" si="25"/>
        <v>994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216" t="s">
        <v>42</v>
      </c>
      <c r="DI21" s="217" t="s">
        <v>48</v>
      </c>
      <c r="DJ21" s="217" t="s">
        <v>49</v>
      </c>
      <c r="DK21" s="217" t="s">
        <v>41</v>
      </c>
      <c r="DL21" s="216" t="s">
        <v>49</v>
      </c>
      <c r="DM21" s="216" t="s">
        <v>41</v>
      </c>
      <c r="DN21" s="216" t="s">
        <v>48</v>
      </c>
      <c r="DO21" s="216" t="s">
        <v>42</v>
      </c>
      <c r="DP21" s="217"/>
      <c r="DQ21" s="218">
        <f>IFERROR(MATCH(DQ12,DH21:DK21,0),0)</f>
        <v>4</v>
      </c>
      <c r="DR21" s="218">
        <f>IFERROR(MATCH(DR12,DH21:DK21,0),0)</f>
        <v>0</v>
      </c>
      <c r="DS21" s="218">
        <f>IFERROR(MATCH(DS12,DH21:DK21,0),0)</f>
        <v>1</v>
      </c>
      <c r="DT21" s="218">
        <f>IFERROR(MATCH(DT12,DH21:DK21,0),0)</f>
        <v>2</v>
      </c>
      <c r="DU21" s="218">
        <f t="shared" si="22"/>
        <v>7</v>
      </c>
      <c r="DV21" s="217" t="s">
        <v>93</v>
      </c>
      <c r="DW21" s="217" t="str">
        <f>INDEX(DH3:DH8,MATCH(INDEX(DO13:DO27,MATCH(10,DU13:DU27,0),0),DV3:DV8,0),0)</f>
        <v>Switzerland</v>
      </c>
      <c r="DX21" s="217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4"/>
      <c r="HZ21" s="214"/>
      <c r="IA21" s="21"/>
      <c r="IB21" s="21"/>
      <c r="IC21" s="21"/>
      <c r="ID21" s="21"/>
      <c r="IE21" s="21"/>
      <c r="IF21" s="216"/>
      <c r="IG21" s="217"/>
      <c r="IH21" s="217"/>
      <c r="II21" s="217"/>
      <c r="IJ21" s="216"/>
      <c r="IK21" s="216"/>
      <c r="IL21" s="216"/>
      <c r="IM21" s="216"/>
      <c r="IN21" s="217"/>
      <c r="IO21" s="218"/>
      <c r="IP21" s="218"/>
      <c r="IQ21" s="218"/>
      <c r="IR21" s="218"/>
      <c r="IS21" s="218"/>
      <c r="IT21" s="217"/>
      <c r="IU21" s="217"/>
      <c r="IV21" s="217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1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D</v>
      </c>
      <c r="DE22" s="21" t="str">
        <f t="shared" si="0"/>
        <v>D</v>
      </c>
      <c r="DF22" s="21"/>
      <c r="DG22" s="21"/>
      <c r="DH22" s="216" t="s">
        <v>42</v>
      </c>
      <c r="DI22" s="217" t="s">
        <v>39</v>
      </c>
      <c r="DJ22" s="217" t="s">
        <v>49</v>
      </c>
      <c r="DK22" s="217" t="s">
        <v>41</v>
      </c>
      <c r="DL22" s="216" t="s">
        <v>49</v>
      </c>
      <c r="DM22" s="216" t="s">
        <v>41</v>
      </c>
      <c r="DN22" s="216" t="s">
        <v>39</v>
      </c>
      <c r="DO22" s="216" t="s">
        <v>42</v>
      </c>
      <c r="DP22" s="217"/>
      <c r="DQ22" s="218">
        <f>IFERROR(MATCH(DQ12,DH22:DK22,0),0)</f>
        <v>4</v>
      </c>
      <c r="DR22" s="218">
        <f>IFERROR(MATCH(DR12,DH22:DK22,0),0)</f>
        <v>2</v>
      </c>
      <c r="DS22" s="218">
        <f>IFERROR(MATCH(DS12,DH22:DK22,0),0)</f>
        <v>1</v>
      </c>
      <c r="DT22" s="218">
        <f>IFERROR(MATCH(DT12,DH22:DK22,0),0)</f>
        <v>0</v>
      </c>
      <c r="DU22" s="218">
        <f t="shared" si="22"/>
        <v>7</v>
      </c>
      <c r="DV22" s="217" t="s">
        <v>42</v>
      </c>
      <c r="DW22" s="217" t="str">
        <f>VLOOKUP(1,A4:B7,2,FALSE)</f>
        <v>Italy</v>
      </c>
      <c r="DX22" s="217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4"/>
      <c r="HZ22" s="214"/>
      <c r="IA22" s="21"/>
      <c r="IB22" s="21"/>
      <c r="IC22" s="21"/>
      <c r="ID22" s="21"/>
      <c r="IE22" s="21"/>
      <c r="IF22" s="216"/>
      <c r="IG22" s="217"/>
      <c r="IH22" s="217"/>
      <c r="II22" s="217"/>
      <c r="IJ22" s="216"/>
      <c r="IK22" s="216"/>
      <c r="IL22" s="216"/>
      <c r="IM22" s="216"/>
      <c r="IN22" s="217"/>
      <c r="IO22" s="218"/>
      <c r="IP22" s="218"/>
      <c r="IQ22" s="218"/>
      <c r="IR22" s="218"/>
      <c r="IS22" s="218"/>
      <c r="IT22" s="217"/>
      <c r="IU22" s="217"/>
      <c r="IV22" s="217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0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D</v>
      </c>
      <c r="DE23" s="21" t="str">
        <f t="shared" si="0"/>
        <v>D</v>
      </c>
      <c r="DF23" s="21"/>
      <c r="DG23" s="21"/>
      <c r="DH23" s="216" t="s">
        <v>46</v>
      </c>
      <c r="DI23" s="217" t="s">
        <v>48</v>
      </c>
      <c r="DJ23" s="217" t="s">
        <v>39</v>
      </c>
      <c r="DK23" s="217" t="s">
        <v>49</v>
      </c>
      <c r="DL23" s="216" t="s">
        <v>49</v>
      </c>
      <c r="DM23" s="216" t="s">
        <v>39</v>
      </c>
      <c r="DN23" s="216" t="s">
        <v>46</v>
      </c>
      <c r="DO23" s="216" t="s">
        <v>48</v>
      </c>
      <c r="DP23" s="217"/>
      <c r="DQ23" s="218">
        <f>IFERROR(MATCH(DQ12,DH23:DK23,0),0)</f>
        <v>0</v>
      </c>
      <c r="DR23" s="218">
        <f>IFERROR(MATCH(DR12,DH23:DK23,0),0)</f>
        <v>3</v>
      </c>
      <c r="DS23" s="218">
        <f>IFERROR(MATCH(DS12,DH23:DK23,0),0)</f>
        <v>0</v>
      </c>
      <c r="DT23" s="218">
        <f>IFERROR(MATCH(DT12,DH23:DK23,0),0)</f>
        <v>2</v>
      </c>
      <c r="DU23" s="218">
        <f t="shared" si="22"/>
        <v>5</v>
      </c>
      <c r="DV23" s="217"/>
      <c r="DW23" s="217" t="str">
        <f>VLOOKUP(2,A4:B7,2,FALSE)</f>
        <v>Wales</v>
      </c>
      <c r="DX23" s="217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4"/>
      <c r="HZ23" s="214"/>
      <c r="IA23" s="21"/>
      <c r="IB23" s="21"/>
      <c r="IC23" s="21"/>
      <c r="ID23" s="21"/>
      <c r="IE23" s="21"/>
      <c r="IF23" s="216"/>
      <c r="IG23" s="217"/>
      <c r="IH23" s="217"/>
      <c r="II23" s="217"/>
      <c r="IJ23" s="216"/>
      <c r="IK23" s="216"/>
      <c r="IL23" s="216"/>
      <c r="IM23" s="216"/>
      <c r="IN23" s="217"/>
      <c r="IO23" s="218"/>
      <c r="IP23" s="218"/>
      <c r="IQ23" s="218"/>
      <c r="IR23" s="218"/>
      <c r="IS23" s="218"/>
      <c r="IT23" s="217"/>
      <c r="IU23" s="217"/>
      <c r="IV23" s="217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1</v>
      </c>
      <c r="DB24" s="21">
        <f>IF(AND(Matches!G32&lt;&gt;"",Matches!F32&lt;&gt;""),Matches!G32,0)</f>
        <v>1</v>
      </c>
      <c r="DC24" s="21" t="str">
        <f>Matches!H32</f>
        <v>France</v>
      </c>
      <c r="DD24" s="21" t="str">
        <f>IF(AND(Matches!F32&lt;&gt;"",Matches!G32&lt;&gt;""),IF(DA24&gt;DB24,"W",IF(DA24=DB24,"D","L")),"")</f>
        <v>D</v>
      </c>
      <c r="DE24" s="21" t="str">
        <f t="shared" si="0"/>
        <v>D</v>
      </c>
      <c r="DF24" s="21"/>
      <c r="DG24" s="21"/>
      <c r="DH24" s="216" t="s">
        <v>46</v>
      </c>
      <c r="DI24" s="217" t="s">
        <v>48</v>
      </c>
      <c r="DJ24" s="217" t="s">
        <v>39</v>
      </c>
      <c r="DK24" s="217" t="s">
        <v>41</v>
      </c>
      <c r="DL24" s="216" t="s">
        <v>41</v>
      </c>
      <c r="DM24" s="216" t="s">
        <v>39</v>
      </c>
      <c r="DN24" s="216" t="s">
        <v>48</v>
      </c>
      <c r="DO24" s="216" t="s">
        <v>46</v>
      </c>
      <c r="DP24" s="217"/>
      <c r="DQ24" s="218">
        <f>IFERROR(MATCH(DQ12,DH24:DK24,0),0)</f>
        <v>4</v>
      </c>
      <c r="DR24" s="218">
        <f>IFERROR(MATCH(DR12,DH24:DK24,0),0)</f>
        <v>3</v>
      </c>
      <c r="DS24" s="218">
        <f>IFERROR(MATCH(DS12,DH24:DK24,0),0)</f>
        <v>0</v>
      </c>
      <c r="DT24" s="218">
        <f>IFERROR(MATCH(DT12,DH24:DK24,0),0)</f>
        <v>2</v>
      </c>
      <c r="DU24" s="218">
        <f t="shared" si="22"/>
        <v>9</v>
      </c>
      <c r="DV24" s="217" t="s">
        <v>46</v>
      </c>
      <c r="DW24" s="217" t="str">
        <f>VLOOKUP(1,A11:B14,2,FALSE)</f>
        <v>Belgium</v>
      </c>
      <c r="DX24" s="217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4"/>
      <c r="HZ24" s="214"/>
      <c r="IA24" s="21"/>
      <c r="IB24" s="21"/>
      <c r="IC24" s="21"/>
      <c r="ID24" s="21"/>
      <c r="IE24" s="21"/>
      <c r="IF24" s="216"/>
      <c r="IG24" s="217"/>
      <c r="IH24" s="217"/>
      <c r="II24" s="217"/>
      <c r="IJ24" s="216"/>
      <c r="IK24" s="216"/>
      <c r="IL24" s="216"/>
      <c r="IM24" s="216"/>
      <c r="IN24" s="217"/>
      <c r="IO24" s="218"/>
      <c r="IP24" s="218"/>
      <c r="IQ24" s="218"/>
      <c r="IR24" s="218"/>
      <c r="IS24" s="218"/>
      <c r="IT24" s="217"/>
      <c r="IU24" s="217"/>
      <c r="IV24" s="217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5</v>
      </c>
      <c r="H25" s="21">
        <f t="shared" ref="H25:H28" si="36">F25-G25+1000</f>
        <v>996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>Czech Republic</v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4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216" t="s">
        <v>46</v>
      </c>
      <c r="DI25" s="217" t="s">
        <v>48</v>
      </c>
      <c r="DJ25" s="217" t="s">
        <v>49</v>
      </c>
      <c r="DK25" s="217" t="s">
        <v>41</v>
      </c>
      <c r="DL25" s="216" t="s">
        <v>41</v>
      </c>
      <c r="DM25" s="216" t="s">
        <v>49</v>
      </c>
      <c r="DN25" s="216" t="s">
        <v>48</v>
      </c>
      <c r="DO25" s="216" t="s">
        <v>46</v>
      </c>
      <c r="DP25" s="217"/>
      <c r="DQ25" s="218">
        <f>IFERROR(MATCH(DQ12,DH25:DK25,0),0)</f>
        <v>4</v>
      </c>
      <c r="DR25" s="218">
        <f>IFERROR(MATCH(DR12,DH25:DK25,0),0)</f>
        <v>0</v>
      </c>
      <c r="DS25" s="218">
        <f>IFERROR(MATCH(DS12,DH25:DK25,0),0)</f>
        <v>0</v>
      </c>
      <c r="DT25" s="218">
        <f>IFERROR(MATCH(DT12,DH25:DK25,0),0)</f>
        <v>2</v>
      </c>
      <c r="DU25" s="218">
        <f t="shared" si="22"/>
        <v>6</v>
      </c>
      <c r="DV25" s="217"/>
      <c r="DW25" s="217" t="str">
        <f>VLOOKUP(2,A11:B14,2,FALSE)</f>
        <v>Denmark</v>
      </c>
      <c r="DX25" s="217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4"/>
      <c r="HZ25" s="214"/>
      <c r="IA25" s="21"/>
      <c r="IB25" s="21"/>
      <c r="IC25" s="21"/>
      <c r="ID25" s="21"/>
      <c r="IE25" s="21"/>
      <c r="IF25" s="216"/>
      <c r="IG25" s="217"/>
      <c r="IH25" s="217"/>
      <c r="II25" s="217"/>
      <c r="IJ25" s="216"/>
      <c r="IK25" s="216"/>
      <c r="IL25" s="216"/>
      <c r="IM25" s="216"/>
      <c r="IN25" s="217"/>
      <c r="IO25" s="218"/>
      <c r="IP25" s="218"/>
      <c r="IQ25" s="218"/>
      <c r="IR25" s="218"/>
      <c r="IS25" s="218"/>
      <c r="IT25" s="217"/>
      <c r="IU25" s="217"/>
      <c r="IV25" s="217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1</v>
      </c>
      <c r="F26" s="21">
        <f>SUMIF(CZ3:CZ60,B26,DA3:DA60)+SUMIF(DC3:DC60,B26,DB3:DB60)</f>
        <v>3</v>
      </c>
      <c r="G26" s="21">
        <f>SUMIF(DC3:DC60,B26,DA3:DA60)+SUMIF(CZ3:CZ60,B26,DB3:DB60)</f>
        <v>2</v>
      </c>
      <c r="H26" s="21">
        <f t="shared" si="36"/>
        <v>1001</v>
      </c>
      <c r="I26" s="21">
        <f t="shared" si="37"/>
        <v>4</v>
      </c>
      <c r="J26" s="21">
        <v>38</v>
      </c>
      <c r="K26" s="21">
        <f>IF(COUNTIF(I25:I29,4)&lt;&gt;4,RANK(I26,I25:I29),I66)</f>
        <v>2</v>
      </c>
      <c r="L26" s="21"/>
      <c r="M26" s="21">
        <f>SUMPRODUCT((K25:K28=K26)*(J25:J28&lt;J26))+K26</f>
        <v>2</v>
      </c>
      <c r="N26" s="21" t="str">
        <f>INDEX(B25:B29,MATCH(2,M25:M29,0),0)</f>
        <v>Czech Republic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>Croatia</v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>Czech Republic</v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1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1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1</v>
      </c>
      <c r="AU26" s="21">
        <f>AS26-AT26+1000</f>
        <v>1000</v>
      </c>
      <c r="AV26" s="21">
        <f t="shared" ref="AV26:AV28" si="41">IF(AO26&lt;&gt;"",AP26*3+AQ26*1,"")</f>
        <v>1</v>
      </c>
      <c r="AW26" s="21">
        <f>IF(AO26&lt;&gt;"",VLOOKUP(AO26,B4:H40,7,FALSE),"")</f>
        <v>1001</v>
      </c>
      <c r="AX26" s="21">
        <f>IF(AO26&lt;&gt;"",VLOOKUP(AO26,B4:H40,5,FALSE),"")</f>
        <v>3</v>
      </c>
      <c r="AY26" s="21">
        <f>IF(AO26&lt;&gt;"",VLOOKUP(AO26,B4:J40,9,FALSE),"")</f>
        <v>38</v>
      </c>
      <c r="AZ26" s="21">
        <f t="shared" ref="AZ26:AZ28" si="42">AV26</f>
        <v>1</v>
      </c>
      <c r="BA26" s="21">
        <f>IF(AO26&lt;&gt;"",RANK(AZ26,AZ25:AZ29),"")</f>
        <v>1</v>
      </c>
      <c r="BB26" s="21">
        <f>IF(AO26&lt;&gt;"",SUMPRODUCT((AZ25:AZ29=AZ26)*(AU25:AU29&gt;AU26)),"")</f>
        <v>0</v>
      </c>
      <c r="BC26" s="21">
        <f>IF(AO26&lt;&gt;"",SUMPRODUCT((AZ25:AZ29=AZ26)*(AU25:AU29=AU26)*(AS25:AS29&gt;AS26)),"")</f>
        <v>0</v>
      </c>
      <c r="BD26" s="21">
        <f>IF(AO26&lt;&gt;"",SUMPRODUCT((AZ25:AZ29=AZ26)*(AU25:AU29=AU26)*(AS25:AS29=AS26)*(AW25:AW29&gt;AW26)),"")</f>
        <v>0</v>
      </c>
      <c r="BE26" s="21">
        <f>IF(AO26&lt;&gt;"",SUMPRODUCT((AZ25:AZ29=AZ26)*(AU25:AU29=AU26)*(AS25:AS29=AS26)*(AW25:AW29=AW26)*(AX25:AX29&gt;AX26)),"")</f>
        <v>1</v>
      </c>
      <c r="BF26" s="21">
        <f>IF(AO26&lt;&gt;"",SUMPRODUCT((AZ25:AZ29=AZ26)*(AU25:AU29=AU26)*(AS25:AS29=AS26)*(AW25:AW29=AW26)*(AX25:AX29=AX26)*(AY25:AY29&gt;AY26)),"")</f>
        <v>0</v>
      </c>
      <c r="BG26" s="21">
        <f>IF(AO26&lt;&gt;"",IF(BG66&lt;&gt;"",IF(AN64=3,BG66,BG66+AN64),SUM(BA26:BF26)+1),"")</f>
        <v>3</v>
      </c>
      <c r="BH26" s="21" t="str">
        <f>IF(AO26&lt;&gt;"",INDEX(AO26:AO29,MATCH(2,BG26:BG29,0),0),"")</f>
        <v>Croatia</v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216" t="s">
        <v>46</v>
      </c>
      <c r="DI26" s="217" t="s">
        <v>39</v>
      </c>
      <c r="DJ26" s="217" t="s">
        <v>49</v>
      </c>
      <c r="DK26" s="217" t="s">
        <v>41</v>
      </c>
      <c r="DL26" s="216" t="s">
        <v>41</v>
      </c>
      <c r="DM26" s="216" t="s">
        <v>49</v>
      </c>
      <c r="DN26" s="216" t="s">
        <v>39</v>
      </c>
      <c r="DO26" s="216" t="s">
        <v>46</v>
      </c>
      <c r="DP26" s="217"/>
      <c r="DQ26" s="218">
        <f>IFERROR(MATCH(DQ12,DH26:DK26,0),0)</f>
        <v>4</v>
      </c>
      <c r="DR26" s="218">
        <f>IFERROR(MATCH(DR12,DH26:DK26,0),0)</f>
        <v>2</v>
      </c>
      <c r="DS26" s="218">
        <f>IFERROR(MATCH(DS12,DH26:DK26,0),0)</f>
        <v>0</v>
      </c>
      <c r="DT26" s="218">
        <f>IFERROR(MATCH(DT12,DH26:DK26,0),0)</f>
        <v>0</v>
      </c>
      <c r="DU26" s="218">
        <f t="shared" si="22"/>
        <v>6</v>
      </c>
      <c r="DV26" s="217" t="s">
        <v>48</v>
      </c>
      <c r="DW26" s="217" t="str">
        <f>VLOOKUP(1,A18:B21,2,FALSE)</f>
        <v>Netherlands</v>
      </c>
      <c r="DX26" s="217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4"/>
      <c r="HZ26" s="214"/>
      <c r="IA26" s="21"/>
      <c r="IB26" s="21"/>
      <c r="IC26" s="21"/>
      <c r="ID26" s="21"/>
      <c r="IE26" s="21"/>
      <c r="IF26" s="216"/>
      <c r="IG26" s="217"/>
      <c r="IH26" s="217"/>
      <c r="II26" s="217"/>
      <c r="IJ26" s="216"/>
      <c r="IK26" s="216"/>
      <c r="IL26" s="216"/>
      <c r="IM26" s="216"/>
      <c r="IN26" s="217"/>
      <c r="IO26" s="218"/>
      <c r="IP26" s="218"/>
      <c r="IQ26" s="218"/>
      <c r="IR26" s="218"/>
      <c r="IS26" s="218"/>
      <c r="IT26" s="217"/>
      <c r="IU26" s="217"/>
      <c r="IV26" s="217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2</v>
      </c>
      <c r="G27" s="21">
        <f>SUMIF(DC3:DC60,B27,DA3:DA60)+SUMIF(CZ3:CZ60,B27,DB3:DB60)</f>
        <v>0</v>
      </c>
      <c r="H27" s="21">
        <f t="shared" si="36"/>
        <v>1002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Croatia</v>
      </c>
      <c r="O27" s="21">
        <f>INDEX(K25:K29,MATCH(N27,B25:B29,0),0)</f>
        <v>2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>Croatia</v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1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1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1</v>
      </c>
      <c r="AU27" s="21">
        <f>AS27-AT27+1000</f>
        <v>1000</v>
      </c>
      <c r="AV27" s="21">
        <f t="shared" si="41"/>
        <v>1</v>
      </c>
      <c r="AW27" s="21">
        <f>IF(AO27&lt;&gt;"",VLOOKUP(AO27,B4:H40,7,FALSE),"")</f>
        <v>1001</v>
      </c>
      <c r="AX27" s="21">
        <f>IF(AO27&lt;&gt;"",VLOOKUP(AO27,B4:H40,5,FALSE),"")</f>
        <v>4</v>
      </c>
      <c r="AY27" s="21">
        <f>IF(AO27&lt;&gt;"",VLOOKUP(AO27,B4:J40,9,FALSE),"")</f>
        <v>46</v>
      </c>
      <c r="AZ27" s="21">
        <f t="shared" si="42"/>
        <v>1</v>
      </c>
      <c r="BA27" s="21">
        <f>IF(AO27&lt;&gt;"",RANK(AZ27,AZ25:AZ29),"")</f>
        <v>1</v>
      </c>
      <c r="BB27" s="21">
        <f>IF(AO27&lt;&gt;"",SUMPRODUCT((AZ25:AZ29=AZ27)*(AU25:AU29&gt;AU27)),"")</f>
        <v>0</v>
      </c>
      <c r="BC27" s="21">
        <f>IF(AO27&lt;&gt;"",SUMPRODUCT((AZ25:AZ29=AZ27)*(AU25:AU29=AU27)*(AS25:AS29&gt;AS27)),"")</f>
        <v>0</v>
      </c>
      <c r="BD27" s="21">
        <f>IF(AO27&lt;&gt;"",SUMPRODUCT((AZ25:AZ29=AZ27)*(AU25:AU29=AU27)*(AS25:AS29=AS27)*(AW25:AW29&gt;AW27)),"")</f>
        <v>0</v>
      </c>
      <c r="BE27" s="21">
        <f>IF(AO27&lt;&gt;"",SUMPRODUCT((AZ25:AZ29=AZ27)*(AU25:AU29=AU27)*(AS25:AS29=AS27)*(AW25:AW29=AW27)*(AX25:AX29&gt;AX27)),"")</f>
        <v>0</v>
      </c>
      <c r="BF27" s="21">
        <f>IF(AO27&lt;&gt;"",SUMPRODUCT((AZ25:AZ29=AZ27)*(AU25:AU29=AU27)*(AS25:AS29=AS27)*(AW25:AW29=AW27)*(AX25:AX29=AX27)*(AY25:AY29&gt;AY27)),"")</f>
        <v>0</v>
      </c>
      <c r="BG27" s="21">
        <f>IF(AO27&lt;&gt;"",IF(BG67&lt;&gt;"",IF(AN64=3,BG67,BG67+AN64),SUM(BA27:BF27)+1),"")</f>
        <v>2</v>
      </c>
      <c r="BH27" s="21" t="str">
        <f>IF(AO27&lt;&gt;"",INDEX(AO26:AO29,MATCH(3,BG26:BG29,0),0),"")</f>
        <v>Czech Republic</v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3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W</v>
      </c>
      <c r="DE27" s="21" t="str">
        <f t="shared" si="0"/>
        <v>L</v>
      </c>
      <c r="DF27" s="21"/>
      <c r="DG27" s="21"/>
      <c r="DH27" s="216" t="s">
        <v>48</v>
      </c>
      <c r="DI27" s="217" t="s">
        <v>39</v>
      </c>
      <c r="DJ27" s="217" t="s">
        <v>49</v>
      </c>
      <c r="DK27" s="217" t="s">
        <v>41</v>
      </c>
      <c r="DL27" s="216" t="s">
        <v>41</v>
      </c>
      <c r="DM27" s="216" t="s">
        <v>49</v>
      </c>
      <c r="DN27" s="216" t="s">
        <v>39</v>
      </c>
      <c r="DO27" s="216" t="s">
        <v>48</v>
      </c>
      <c r="DP27" s="217"/>
      <c r="DQ27" s="218">
        <f>IFERROR(MATCH(DQ12,DH27:DK27,0),0)</f>
        <v>4</v>
      </c>
      <c r="DR27" s="218">
        <f>IFERROR(MATCH(DR12,DH27:DK27,0),0)</f>
        <v>2</v>
      </c>
      <c r="DS27" s="218">
        <f>IFERROR(MATCH(DS12,DH27:DK27,0),0)</f>
        <v>0</v>
      </c>
      <c r="DT27" s="218">
        <f>IFERROR(MATCH(DT12,DH27:DK27,0),0)</f>
        <v>1</v>
      </c>
      <c r="DU27" s="218">
        <f t="shared" si="22"/>
        <v>7</v>
      </c>
      <c r="DV27" s="21"/>
      <c r="DW27" s="21" t="str">
        <f>VLOOKUP(2,A18:B21,2,FALSE)</f>
        <v>Austria</v>
      </c>
      <c r="DX27" s="217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4"/>
      <c r="HZ27" s="214"/>
      <c r="IA27" s="21"/>
      <c r="IB27" s="21"/>
      <c r="IC27" s="21"/>
      <c r="ID27" s="21"/>
      <c r="IE27" s="21"/>
      <c r="IF27" s="216"/>
      <c r="IG27" s="217"/>
      <c r="IH27" s="217"/>
      <c r="II27" s="217"/>
      <c r="IJ27" s="216"/>
      <c r="IK27" s="216"/>
      <c r="IL27" s="216"/>
      <c r="IM27" s="216"/>
      <c r="IN27" s="217"/>
      <c r="IO27" s="218"/>
      <c r="IP27" s="218"/>
      <c r="IQ27" s="218"/>
      <c r="IR27" s="218"/>
      <c r="IS27" s="218"/>
      <c r="IT27" s="21"/>
      <c r="IU27" s="21"/>
      <c r="IV27" s="217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1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1</v>
      </c>
      <c r="F28" s="21">
        <f>SUMIF(CZ3:CZ60,B28,DA3:DA60)+SUMIF(DC3:DC60,B28,DB3:DB60)</f>
        <v>4</v>
      </c>
      <c r="G28" s="21">
        <f>SUMIF(DC3:DC60,B28,DA3:DA60)+SUMIF(CZ3:CZ60,B28,DB3:DB60)</f>
        <v>3</v>
      </c>
      <c r="H28" s="21">
        <f t="shared" si="36"/>
        <v>1001</v>
      </c>
      <c r="I28" s="21">
        <f t="shared" si="37"/>
        <v>4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3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212"/>
      <c r="DJ28" s="212"/>
      <c r="DK28" s="212"/>
      <c r="DL28" s="212"/>
      <c r="DM28" s="212"/>
      <c r="DN28" s="212"/>
      <c r="DO28" s="212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4"/>
      <c r="HZ28" s="214"/>
      <c r="IA28" s="21"/>
      <c r="IB28" s="21"/>
      <c r="IC28" s="21"/>
      <c r="ID28" s="21"/>
      <c r="IE28" s="21"/>
      <c r="IF28" s="21"/>
      <c r="IG28" s="212"/>
      <c r="IH28" s="212"/>
      <c r="II28" s="212"/>
      <c r="IJ28" s="212"/>
      <c r="IK28" s="212"/>
      <c r="IL28" s="212"/>
      <c r="IM28" s="212"/>
      <c r="IN28" s="21"/>
      <c r="IO28" s="21"/>
      <c r="IP28" s="21"/>
      <c r="IQ28" s="21"/>
      <c r="IR28" s="21"/>
      <c r="IS28" s="21"/>
      <c r="IT28" s="21"/>
      <c r="IU28" s="21"/>
      <c r="IV28" s="217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212"/>
      <c r="DJ29" s="212"/>
      <c r="DK29" s="212"/>
      <c r="DL29" s="212"/>
      <c r="DM29" s="212"/>
      <c r="DN29" s="212"/>
      <c r="DO29" s="212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4"/>
      <c r="HZ29" s="214"/>
      <c r="IA29" s="21"/>
      <c r="IB29" s="21"/>
      <c r="IC29" s="21"/>
      <c r="ID29" s="21"/>
      <c r="IE29" s="21"/>
      <c r="IF29" s="21"/>
      <c r="IG29" s="212"/>
      <c r="IH29" s="212"/>
      <c r="II29" s="212"/>
      <c r="IJ29" s="212"/>
      <c r="IK29" s="212"/>
      <c r="IL29" s="212"/>
      <c r="IM29" s="212"/>
      <c r="IN29" s="21"/>
      <c r="IO29" s="21"/>
      <c r="IP29" s="21"/>
      <c r="IQ29" s="21"/>
      <c r="IR29" s="21"/>
      <c r="IS29" s="21"/>
      <c r="IT29" s="21"/>
      <c r="IU29" s="21"/>
      <c r="IV29" s="217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94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0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L</v>
      </c>
      <c r="DE30" s="21" t="str">
        <f t="shared" si="0"/>
        <v>W</v>
      </c>
      <c r="DF30" s="21"/>
      <c r="DG30" s="21"/>
      <c r="DH30" s="21"/>
      <c r="DI30" s="212"/>
      <c r="DJ30" s="212"/>
      <c r="DK30" s="212"/>
      <c r="DL30" s="212"/>
      <c r="DM30" s="212"/>
      <c r="DN30" s="212"/>
      <c r="DO30" s="212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Sweden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4"/>
      <c r="HZ30" s="214"/>
      <c r="IA30" s="21"/>
      <c r="IB30" s="21"/>
      <c r="IC30" s="21"/>
      <c r="ID30" s="21"/>
      <c r="IE30" s="21"/>
      <c r="IF30" s="21"/>
      <c r="IG30" s="212"/>
      <c r="IH30" s="212"/>
      <c r="II30" s="212"/>
      <c r="IJ30" s="212"/>
      <c r="IK30" s="212"/>
      <c r="IL30" s="212"/>
      <c r="IM30" s="212"/>
      <c r="IN30" s="21"/>
      <c r="IO30" s="21"/>
      <c r="IP30" s="21"/>
      <c r="IQ30" s="21"/>
      <c r="IR30" s="21"/>
      <c r="IS30" s="21"/>
      <c r="IT30" s="21"/>
      <c r="IU30" s="21"/>
      <c r="IV30" s="217"/>
    </row>
    <row r="31" spans="1:256" ht="14" x14ac:dyDescent="0.2">
      <c r="A31" s="21">
        <f>VLOOKUP(B31,CW31:CX35,2,FALSE)</f>
        <v>2</v>
      </c>
      <c r="B31" s="21" t="str">
        <f>Matches!AH26</f>
        <v>Spain</v>
      </c>
      <c r="C31" s="21">
        <f>SUMPRODUCT((CZ3:CZ42=B31)*(DD3:DD42="W"))+SUMPRODUCT((DC3:DC42=B31)*(DE3:DE42="W"))</f>
        <v>1</v>
      </c>
      <c r="D31" s="21">
        <f>SUMPRODUCT((CZ3:CZ42=B31)*(DD3:DD42="D"))+SUMPRODUCT((DC3:DC42=B31)*(DE3:DE42="D"))</f>
        <v>2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1</v>
      </c>
      <c r="H31" s="21">
        <f t="shared" ref="H31:H34" si="47">F31-G31+1000</f>
        <v>1005</v>
      </c>
      <c r="I31" s="21">
        <f t="shared" ref="I31:I34" si="48">C31*3+D31*1</f>
        <v>5</v>
      </c>
      <c r="J31" s="21">
        <v>51</v>
      </c>
      <c r="K31" s="21">
        <f>IF(COUNTIF(I31:I35,4)&lt;&gt;4,RANK(I31,I31:I35),I71)</f>
        <v>2</v>
      </c>
      <c r="L31" s="21"/>
      <c r="M31" s="21">
        <f>SUMPRODUCT((K31:K34=K31)*(J31:J34&lt;J31))+K31</f>
        <v>2</v>
      </c>
      <c r="N31" s="21" t="str">
        <f>INDEX(B31:B35,MATCH(1,M31:M35,0),0)</f>
        <v>Sweden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Sweden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4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212"/>
      <c r="DJ31" s="212"/>
      <c r="DK31" s="212"/>
      <c r="DL31" s="212"/>
      <c r="DM31" s="212"/>
      <c r="DN31" s="212"/>
      <c r="DO31" s="212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Spain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4"/>
      <c r="HZ31" s="214"/>
      <c r="IA31" s="21"/>
      <c r="IB31" s="21"/>
      <c r="IC31" s="21"/>
      <c r="ID31" s="21"/>
      <c r="IE31" s="21"/>
      <c r="IF31" s="21"/>
      <c r="IG31" s="212"/>
      <c r="IH31" s="212"/>
      <c r="II31" s="212"/>
      <c r="IJ31" s="212"/>
      <c r="IK31" s="212"/>
      <c r="IL31" s="212"/>
      <c r="IM31" s="212"/>
      <c r="IN31" s="21"/>
      <c r="IO31" s="21"/>
      <c r="IP31" s="21"/>
      <c r="IQ31" s="21"/>
      <c r="IR31" s="21"/>
      <c r="IS31" s="21"/>
      <c r="IT31" s="21"/>
      <c r="IU31" s="21"/>
      <c r="IV31" s="217"/>
    </row>
    <row r="32" spans="1:256" ht="14" x14ac:dyDescent="0.2">
      <c r="A32" s="21">
        <f>VLOOKUP(B32,CW31:CX35,2,FALSE)</f>
        <v>1</v>
      </c>
      <c r="B32" s="21" t="str">
        <f>Matches!AH27</f>
        <v>Sweden</v>
      </c>
      <c r="C32" s="21">
        <f>SUMPRODUCT((CZ3:CZ42=B32)*(DD3:DD42="W"))+SUMPRODUCT((DC3:DC42=B32)*(DE3:DE42="W"))</f>
        <v>2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0</v>
      </c>
      <c r="F32" s="21">
        <f>SUMIF(CZ3:CZ60,B32,DA3:DA60)+SUMIF(DC3:DC60,B32,DB3:DB60)</f>
        <v>4</v>
      </c>
      <c r="G32" s="21">
        <f>SUMIF(DC3:DC60,B32,DA3:DA60)+SUMIF(CZ3:CZ60,B32,DB3:DB60)</f>
        <v>2</v>
      </c>
      <c r="H32" s="21">
        <f t="shared" si="47"/>
        <v>1002</v>
      </c>
      <c r="I32" s="21">
        <f t="shared" si="48"/>
        <v>7</v>
      </c>
      <c r="J32" s="21">
        <v>39</v>
      </c>
      <c r="K32" s="21">
        <f>IF(COUNTIF(I31:I35,4)&lt;&gt;4,RANK(I32,I31:I35),I72)</f>
        <v>1</v>
      </c>
      <c r="L32" s="21"/>
      <c r="M32" s="21">
        <f>SUMPRODUCT((K31:K34=K32)*(J31:J34&lt;J32))+K32</f>
        <v>1</v>
      </c>
      <c r="N32" s="21" t="str">
        <f>INDEX(B31:B35,MATCH(2,M31:M35,0),0)</f>
        <v>Spain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Spain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212"/>
      <c r="DJ32" s="212"/>
      <c r="DK32" s="212"/>
      <c r="DL32" s="212"/>
      <c r="DM32" s="212"/>
      <c r="DN32" s="212"/>
      <c r="DO32" s="212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4"/>
      <c r="HZ32" s="214"/>
      <c r="IA32" s="21"/>
      <c r="IB32" s="21"/>
      <c r="IC32" s="21"/>
      <c r="ID32" s="21"/>
      <c r="IE32" s="21"/>
      <c r="IF32" s="21"/>
      <c r="IG32" s="212"/>
      <c r="IH32" s="212"/>
      <c r="II32" s="212"/>
      <c r="IJ32" s="212"/>
      <c r="IK32" s="212"/>
      <c r="IL32" s="212"/>
      <c r="IM32" s="212"/>
      <c r="IN32" s="21"/>
      <c r="IO32" s="21"/>
      <c r="IP32" s="21"/>
      <c r="IQ32" s="21"/>
      <c r="IR32" s="21"/>
      <c r="IS32" s="21"/>
      <c r="IT32" s="21"/>
      <c r="IU32" s="21"/>
      <c r="IV32" s="217"/>
    </row>
    <row r="33" spans="1:256" ht="14" x14ac:dyDescent="0.2">
      <c r="A33" s="21">
        <f>VLOOKUP(B33,CW31:CX35,2,FALSE)</f>
        <v>4</v>
      </c>
      <c r="B33" s="21" t="str">
        <f>Matches!AH28</f>
        <v>Poland</v>
      </c>
      <c r="C33" s="21">
        <f>SUMPRODUCT((CZ3:CZ42=B33)*(DD3:DD42="W"))+SUMPRODUCT((DC3:DC42=B33)*(DE3:DE42="W"))</f>
        <v>0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2</v>
      </c>
      <c r="F33" s="21">
        <f>SUMIF(CZ3:CZ60,B33,DA3:DA60)+SUMIF(DC3:DC60,B33,DB3:DB60)</f>
        <v>4</v>
      </c>
      <c r="G33" s="21">
        <f>SUMIF(DC3:DC60,B33,DA3:DA60)+SUMIF(CZ3:CZ60,B33,DB3:DB60)</f>
        <v>6</v>
      </c>
      <c r="H33" s="21">
        <f t="shared" si="47"/>
        <v>998</v>
      </c>
      <c r="I33" s="21">
        <f t="shared" si="48"/>
        <v>1</v>
      </c>
      <c r="J33" s="21">
        <v>48</v>
      </c>
      <c r="K33" s="21">
        <f>IF(COUNTIF(I31:I35,4)&lt;&gt;4,RANK(I33,I31:I35),I73)</f>
        <v>4</v>
      </c>
      <c r="L33" s="21"/>
      <c r="M33" s="21">
        <f>SUMPRODUCT((K31:K34=K33)*(J31:J34&lt;J33))+K33</f>
        <v>4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Slovakia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3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212"/>
      <c r="DJ33" s="212"/>
      <c r="DK33" s="212"/>
      <c r="DL33" s="212"/>
      <c r="DM33" s="212"/>
      <c r="DN33" s="212"/>
      <c r="DO33" s="212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4"/>
      <c r="HZ33" s="214"/>
      <c r="IA33" s="21"/>
      <c r="IB33" s="21"/>
      <c r="IC33" s="21"/>
      <c r="ID33" s="21"/>
      <c r="IE33" s="21"/>
      <c r="IF33" s="21"/>
      <c r="IG33" s="212"/>
      <c r="IH33" s="212"/>
      <c r="II33" s="212"/>
      <c r="IJ33" s="212"/>
      <c r="IK33" s="212"/>
      <c r="IL33" s="212"/>
      <c r="IM33" s="212"/>
      <c r="IN33" s="21"/>
      <c r="IO33" s="21"/>
      <c r="IP33" s="21"/>
      <c r="IQ33" s="21"/>
      <c r="IR33" s="21"/>
      <c r="IS33" s="21"/>
      <c r="IT33" s="21"/>
      <c r="IU33" s="21"/>
      <c r="IV33" s="217"/>
    </row>
    <row r="34" spans="1:256" ht="14" x14ac:dyDescent="0.2">
      <c r="A34" s="21">
        <f>VLOOKUP(B34,CW31:CX35,2,FALSE)</f>
        <v>3</v>
      </c>
      <c r="B34" s="21" t="str">
        <f>Matches!AH29</f>
        <v>Slovakia</v>
      </c>
      <c r="C34" s="21">
        <f>SUMPRODUCT((CZ3:CZ42=B34)*(DD3:DD42="W"))+SUMPRODUCT((DC3:DC42=B34)*(DE3:DE42="W"))</f>
        <v>1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2</v>
      </c>
      <c r="F34" s="21">
        <f>SUMIF(CZ3:CZ60,B34,DA3:DA60)+SUMIF(DC3:DC60,B34,DB3:DB60)</f>
        <v>2</v>
      </c>
      <c r="G34" s="21">
        <f>SUMIF(DC3:DC60,B34,DA3:DA60)+SUMIF(CZ3:CZ60,B34,DB3:DB60)</f>
        <v>7</v>
      </c>
      <c r="H34" s="21">
        <f t="shared" si="47"/>
        <v>995</v>
      </c>
      <c r="I34" s="21">
        <f t="shared" si="48"/>
        <v>3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Poland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Poland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1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212"/>
      <c r="DJ34" s="212"/>
      <c r="DK34" s="212"/>
      <c r="DL34" s="212"/>
      <c r="DM34" s="212"/>
      <c r="DN34" s="212"/>
      <c r="DO34" s="212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4"/>
      <c r="HZ34" s="214"/>
      <c r="IA34" s="21"/>
      <c r="IB34" s="21"/>
      <c r="IC34" s="21"/>
      <c r="ID34" s="21"/>
      <c r="IE34" s="21"/>
      <c r="IF34" s="21"/>
      <c r="IG34" s="212"/>
      <c r="IH34" s="212"/>
      <c r="II34" s="212"/>
      <c r="IJ34" s="212"/>
      <c r="IK34" s="212"/>
      <c r="IL34" s="212"/>
      <c r="IM34" s="212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3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W</v>
      </c>
      <c r="DE35" s="21" t="str">
        <f t="shared" si="0"/>
        <v>L</v>
      </c>
      <c r="DF35" s="21"/>
      <c r="DG35" s="21"/>
      <c r="DH35" s="21"/>
      <c r="DI35" s="212"/>
      <c r="DJ35" s="212"/>
      <c r="DK35" s="212"/>
      <c r="DL35" s="212"/>
      <c r="DM35" s="212"/>
      <c r="DN35" s="212"/>
      <c r="DO35" s="212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4"/>
      <c r="HZ35" s="214"/>
      <c r="IA35" s="21"/>
      <c r="IB35" s="21"/>
      <c r="IC35" s="21"/>
      <c r="ID35" s="21"/>
      <c r="IE35" s="21"/>
      <c r="IF35" s="21"/>
      <c r="IG35" s="212"/>
      <c r="IH35" s="212"/>
      <c r="II35" s="212"/>
      <c r="IJ35" s="212"/>
      <c r="IK35" s="212"/>
      <c r="IL35" s="212"/>
      <c r="IM35" s="212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5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212"/>
      <c r="DJ36" s="212"/>
      <c r="DK36" s="212"/>
      <c r="DL36" s="212"/>
      <c r="DM36" s="212"/>
      <c r="DN36" s="212"/>
      <c r="DO36" s="212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4"/>
      <c r="HZ36" s="214"/>
      <c r="IA36" s="21"/>
      <c r="IB36" s="21"/>
      <c r="IC36" s="21"/>
      <c r="ID36" s="21"/>
      <c r="IE36" s="21"/>
      <c r="IF36" s="21"/>
      <c r="IG36" s="212"/>
      <c r="IH36" s="212"/>
      <c r="II36" s="212"/>
      <c r="IJ36" s="212"/>
      <c r="IK36" s="212"/>
      <c r="IL36" s="212"/>
      <c r="IM36" s="212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1</v>
      </c>
      <c r="D37" s="21">
        <f>SUMPRODUCT((CZ3:CZ42=B37)*(DD3:DD42="D"))+SUMPRODUCT((DC3:DC42=B37)*(DE3:DE42="D"))</f>
        <v>2</v>
      </c>
      <c r="E37" s="21">
        <f>SUMPRODUCT((CZ3:CZ42=B37)*(DD3:DD42="L"))+SUMPRODUCT((DC3:DC42=B37)*(DE3:DE42="L"))</f>
        <v>0</v>
      </c>
      <c r="F37" s="21">
        <f>SUMIF(CZ3:CZ60,B37,DA3:DA60)+SUMIF(DC3:DC60,B37,DB3:DB60)</f>
        <v>4</v>
      </c>
      <c r="G37" s="21">
        <f>SUMIF(DC3:DC60,B37,DA3:DA60)+SUMIF(CZ3:CZ60,B37,DB3:DB60)</f>
        <v>3</v>
      </c>
      <c r="H37" s="21">
        <f t="shared" ref="H37:H40" si="58">F37-G37+1000</f>
        <v>1001</v>
      </c>
      <c r="I37" s="21">
        <f t="shared" ref="I37:I40" si="59">C37*3+D37*1</f>
        <v>5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2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212"/>
      <c r="DJ37" s="212"/>
      <c r="DK37" s="212"/>
      <c r="DL37" s="212"/>
      <c r="DM37" s="212"/>
      <c r="DN37" s="212"/>
      <c r="DO37" s="212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4"/>
      <c r="HZ37" s="214"/>
      <c r="IA37" s="21"/>
      <c r="IB37" s="21"/>
      <c r="IC37" s="21"/>
      <c r="ID37" s="21"/>
      <c r="IE37" s="21"/>
      <c r="IF37" s="21"/>
      <c r="IG37" s="212"/>
      <c r="IH37" s="212"/>
      <c r="II37" s="212"/>
      <c r="IJ37" s="212"/>
      <c r="IK37" s="212"/>
      <c r="IL37" s="212"/>
      <c r="IM37" s="212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6</v>
      </c>
      <c r="G38" s="21">
        <f>SUMIF(DC3:DC60,B38,DA3:DA60)+SUMIF(CZ3:CZ60,B38,DB3:DB60)</f>
        <v>5</v>
      </c>
      <c r="H38" s="21">
        <f t="shared" si="58"/>
        <v>1001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1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2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4</v>
      </c>
      <c r="AU38" s="21">
        <f>AS38-AT38+1000</f>
        <v>998</v>
      </c>
      <c r="AV38" s="21">
        <f t="shared" ref="AV38:AV40" si="63">IF(AO38&lt;&gt;"",AP38*3+AQ38*1,"")</f>
        <v>0</v>
      </c>
      <c r="AW38" s="21">
        <f>IF(AO38&lt;&gt;"",VLOOKUP(AO38,B4:H40,7,FALSE),"")</f>
        <v>1001</v>
      </c>
      <c r="AX38" s="21">
        <f>IF(AO38&lt;&gt;"",VLOOKUP(AO38,B4:H40,5,FALSE),"")</f>
        <v>7</v>
      </c>
      <c r="AY38" s="21">
        <f>IF(AO38&lt;&gt;"",VLOOKUP(AO38,B4:J40,9,FALSE),"")</f>
        <v>43</v>
      </c>
      <c r="AZ38" s="21">
        <f t="shared" ref="AZ38:AZ40" si="64">AV38</f>
        <v>0</v>
      </c>
      <c r="BA38" s="21">
        <f>IF(AO38&lt;&gt;"",RANK(AZ38,AZ37:AZ40),"")</f>
        <v>2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0</v>
      </c>
      <c r="BE38" s="21">
        <f>IF(AO38&lt;&gt;"",SUMPRODUCT((AZ37:AZ41=AZ38)*(AU37:AU41=AU38)*(AS37:AS41=AS38)*(AW37:AW41=AW38)*(AX37:AX41&gt;AX38)),"")</f>
        <v>0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3</v>
      </c>
      <c r="BH38" s="21" t="str">
        <f>IF(AO38&lt;&gt;"",INDEX(AO38:AO41,MATCH(2,BG38:BG41,0),0),"")</f>
        <v>Germany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2</v>
      </c>
      <c r="DC38" s="21" t="str">
        <f>Matches!H46</f>
        <v>Hungary</v>
      </c>
      <c r="DD38" s="21" t="str">
        <f>IF(AND(Matches!F46&lt;&gt;"",Matches!G46&lt;&gt;""),IF(DA38&gt;DB38,"W",IF(DA38=DB38,"D","L")),"")</f>
        <v>D</v>
      </c>
      <c r="DE38" s="21" t="str">
        <f t="shared" si="0"/>
        <v>D</v>
      </c>
      <c r="DF38" s="21"/>
      <c r="DG38" s="21"/>
      <c r="DH38" s="21"/>
      <c r="DI38" s="212"/>
      <c r="DJ38" s="212"/>
      <c r="DK38" s="212"/>
      <c r="DL38" s="212"/>
      <c r="DM38" s="212"/>
      <c r="DN38" s="212"/>
      <c r="DO38" s="212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4"/>
      <c r="HZ38" s="214"/>
      <c r="IA38" s="21"/>
      <c r="IB38" s="21"/>
      <c r="IC38" s="21"/>
      <c r="ID38" s="21"/>
      <c r="IE38" s="21"/>
      <c r="IF38" s="21"/>
      <c r="IG38" s="212"/>
      <c r="IH38" s="212"/>
      <c r="II38" s="212"/>
      <c r="IJ38" s="212"/>
      <c r="IK38" s="212"/>
      <c r="IL38" s="212"/>
      <c r="IM38" s="212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2</v>
      </c>
      <c r="E39" s="21">
        <f>SUMPRODUCT((CZ3:CZ42=B39)*(DD3:DD42="L"))+SUMPRODUCT((DC3:DC42=B39)*(DE3:DE42="L"))</f>
        <v>1</v>
      </c>
      <c r="F39" s="21">
        <f>SUMIF(CZ3:CZ60,B39,DA3:DA60)+SUMIF(DC3:DC60,B39,DB3:DB60)</f>
        <v>3</v>
      </c>
      <c r="G39" s="21">
        <f>SUMIF(DC3:DC60,B39,DA3:DA60)+SUMIF(CZ3:CZ60,B39,DB3:DB60)</f>
        <v>6</v>
      </c>
      <c r="H39" s="21">
        <f t="shared" si="58"/>
        <v>997</v>
      </c>
      <c r="I39" s="21">
        <f t="shared" si="59"/>
        <v>2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1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4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2</v>
      </c>
      <c r="AU39" s="21">
        <f>AS39-AT39+1000</f>
        <v>1002</v>
      </c>
      <c r="AV39" s="21">
        <f t="shared" si="63"/>
        <v>3</v>
      </c>
      <c r="AW39" s="21">
        <f>IF(AO39&lt;&gt;"",VLOOKUP(AO39,B4:H40,7,FALSE),"")</f>
        <v>1001</v>
      </c>
      <c r="AX39" s="21">
        <f>IF(AO39&lt;&gt;"",VLOOKUP(AO39,B4:H40,5,FALSE),"")</f>
        <v>6</v>
      </c>
      <c r="AY39" s="21">
        <f>IF(AO39&lt;&gt;"",VLOOKUP(AO39,B4:J40,9,FALSE),"")</f>
        <v>52</v>
      </c>
      <c r="AZ39" s="21">
        <f t="shared" si="64"/>
        <v>3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0</v>
      </c>
      <c r="BE39" s="21">
        <f>IF(AO39&lt;&gt;"",SUMPRODUCT((AZ37:AZ41=AZ39)*(AU37:AU41=AU39)*(AS37:AS41=AS39)*(AW37:AW41=AW39)*(AX37:AX41&gt;AX39)),"")</f>
        <v>0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2</v>
      </c>
      <c r="BH39" s="21" t="str">
        <f>IF(AO39&lt;&gt;"",INDEX(AO38:AO41,MATCH(3,BG38:BG41,0),0),"")</f>
        <v>Portugal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2"/>
      <c r="DJ39" s="212"/>
      <c r="DK39" s="212"/>
      <c r="DL39" s="212"/>
      <c r="DM39" s="212"/>
      <c r="DN39" s="212"/>
      <c r="DO39" s="212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2"/>
      <c r="IH39" s="212"/>
      <c r="II39" s="212"/>
      <c r="IJ39" s="212"/>
      <c r="IK39" s="212"/>
      <c r="IL39" s="212"/>
      <c r="IM39" s="212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7</v>
      </c>
      <c r="G40" s="21">
        <f>SUMIF(DC3:DC60,B40,DA3:DA60)+SUMIF(CZ3:CZ60,B40,DB3:DB60)</f>
        <v>6</v>
      </c>
      <c r="H40" s="21">
        <f t="shared" si="58"/>
        <v>1001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2"/>
      <c r="DJ40" s="212"/>
      <c r="DK40" s="212"/>
      <c r="DL40" s="212"/>
      <c r="DM40" s="212"/>
      <c r="DN40" s="212"/>
      <c r="DO40" s="212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2"/>
      <c r="IH40" s="212"/>
      <c r="II40" s="212"/>
      <c r="IJ40" s="212"/>
      <c r="IK40" s="212"/>
      <c r="IL40" s="212"/>
      <c r="IM40" s="212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2"/>
      <c r="DJ41" s="212"/>
      <c r="DK41" s="212"/>
      <c r="DL41" s="212"/>
      <c r="DM41" s="212"/>
      <c r="DN41" s="212"/>
      <c r="DO41" s="212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2"/>
      <c r="IH41" s="212"/>
      <c r="II41" s="212"/>
      <c r="IJ41" s="212"/>
      <c r="IK41" s="212"/>
      <c r="IL41" s="212"/>
      <c r="IM41" s="212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213" t="s">
        <v>95</v>
      </c>
    </row>
    <row r="43" spans="1:256" x14ac:dyDescent="0.15">
      <c r="T43" s="213">
        <f>IF(U44="",SUM(AG4:AL4),IF(U45="",SUM(AG5:AL5),IF(U46="",SUM(AG6:AL6),IF(U47="",SUM(AG7:AL7),0))))</f>
        <v>0</v>
      </c>
      <c r="U43" s="213" t="s">
        <v>96</v>
      </c>
      <c r="V43" s="213" t="s">
        <v>38</v>
      </c>
      <c r="W43" s="213" t="s">
        <v>39</v>
      </c>
      <c r="X43" s="213" t="s">
        <v>40</v>
      </c>
      <c r="Y43" s="213" t="s">
        <v>63</v>
      </c>
      <c r="Z43" s="213" t="s">
        <v>64</v>
      </c>
      <c r="AA43" s="213" t="s">
        <v>71</v>
      </c>
      <c r="AB43" s="213" t="s">
        <v>37</v>
      </c>
      <c r="AC43" s="213" t="s">
        <v>81</v>
      </c>
      <c r="AD43" s="213" t="s">
        <v>82</v>
      </c>
      <c r="AE43" s="213" t="s">
        <v>66</v>
      </c>
      <c r="AF43" s="213" t="s">
        <v>44</v>
      </c>
      <c r="AG43" s="213" t="s">
        <v>3</v>
      </c>
      <c r="AH43" s="213" t="s">
        <v>65</v>
      </c>
      <c r="AI43" s="213" t="s">
        <v>63</v>
      </c>
      <c r="AJ43" s="213" t="s">
        <v>83</v>
      </c>
      <c r="AK43" s="213" t="s">
        <v>82</v>
      </c>
      <c r="AL43" s="213" t="s">
        <v>66</v>
      </c>
      <c r="AM43" s="213" t="s">
        <v>84</v>
      </c>
      <c r="AN43" s="213">
        <f>IF(AO45="",SUM(BA5:BF5),IF(AO46="",SUM(BA6:BF6),IF(AO47="",SUM(BA7:BF7),0)))</f>
        <v>0</v>
      </c>
      <c r="AO43" s="213" t="s">
        <v>97</v>
      </c>
      <c r="AP43" s="213" t="s">
        <v>38</v>
      </c>
      <c r="AQ43" s="213" t="s">
        <v>39</v>
      </c>
      <c r="AR43" s="213" t="s">
        <v>40</v>
      </c>
      <c r="AS43" s="213" t="s">
        <v>63</v>
      </c>
      <c r="AT43" s="213" t="s">
        <v>64</v>
      </c>
      <c r="AU43" s="213" t="s">
        <v>71</v>
      </c>
      <c r="AV43" s="213" t="s">
        <v>37</v>
      </c>
      <c r="AW43" s="213" t="s">
        <v>81</v>
      </c>
      <c r="AX43" s="213" t="s">
        <v>82</v>
      </c>
      <c r="AY43" s="213" t="s">
        <v>66</v>
      </c>
      <c r="AZ43" s="213" t="s">
        <v>44</v>
      </c>
      <c r="BA43" s="213" t="s">
        <v>3</v>
      </c>
      <c r="BB43" s="213" t="s">
        <v>65</v>
      </c>
      <c r="BC43" s="213" t="s">
        <v>63</v>
      </c>
      <c r="BD43" s="213" t="s">
        <v>83</v>
      </c>
      <c r="BE43" s="213" t="s">
        <v>82</v>
      </c>
      <c r="BF43" s="213" t="s">
        <v>66</v>
      </c>
      <c r="BG43" s="213" t="s">
        <v>84</v>
      </c>
    </row>
    <row r="44" spans="1:256" x14ac:dyDescent="0.15">
      <c r="I44" s="213">
        <f>SUMPRODUCT((I4:I7=I4)*(H4:H7=H4)*(F4:F7&gt;F4))+1</f>
        <v>1</v>
      </c>
      <c r="T44" s="213" t="str">
        <f>IF(U4&lt;&gt;"",SUMPRODUCT((AB4:AB7=AB4)*(AA4:AA7=AA4)*(Y4:Y7=Y4)*(Z4:Z7=Z4)),"")</f>
        <v/>
      </c>
      <c r="U44" s="213" t="str">
        <f>IF(AND(T44&lt;&gt;"",T44&gt;1),U4,"")</f>
        <v/>
      </c>
      <c r="V44" s="213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213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213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213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213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213">
        <f>Y44-Z44+1000</f>
        <v>1000</v>
      </c>
      <c r="AB44" s="213" t="str">
        <f>IF(U44&lt;&gt;"",V44*3+W44*1,"")</f>
        <v/>
      </c>
      <c r="AC44" s="213" t="str">
        <f>IF(U44&lt;&gt;"",VLOOKUP(U44,B4:H40,7,FALSE),"")</f>
        <v/>
      </c>
      <c r="AD44" s="213" t="str">
        <f>IF(U44&lt;&gt;"",VLOOKUP(U44,B4:H40,5,FALSE),"")</f>
        <v/>
      </c>
      <c r="AE44" s="213" t="str">
        <f>IF(U44&lt;&gt;"",VLOOKUP(U44,B4:J40,9,FALSE),"")</f>
        <v/>
      </c>
      <c r="AF44" s="213" t="str">
        <f>AB44</f>
        <v/>
      </c>
      <c r="AG44" s="213" t="str">
        <f>IF(U44&lt;&gt;"",RANK(AF44,AF44:AF48),"")</f>
        <v/>
      </c>
      <c r="AH44" s="213" t="str">
        <f>IF(U44&lt;&gt;"",SUMPRODUCT((AF44:AF48=AF44)*(AA44:AA48&gt;AA44)),"")</f>
        <v/>
      </c>
      <c r="AI44" s="213" t="str">
        <f>IF(U44&lt;&gt;"",SUMPRODUCT((AF44:AF48=AF44)*(AA44:AA48=AA44)*(Y44:Y48&gt;Y44)),"")</f>
        <v/>
      </c>
      <c r="AJ44" s="213" t="str">
        <f>IF(U44&lt;&gt;"",SUMPRODUCT((AF44:AF48=AF44)*(AA44:AA48=AA44)*(Y44:Y48=Y44)*(AC44:AC48&gt;AC44)),"")</f>
        <v/>
      </c>
      <c r="AK44" s="213" t="str">
        <f>IF(U44&lt;&gt;"",SUMPRODUCT((AF44:AF48=AF44)*(AA44:AA48=AA44)*(Y44:Y48=Y44)*(AC44:AC48=AC44)*(AD44:AD48&gt;AD44)),"")</f>
        <v/>
      </c>
      <c r="AL44" s="213" t="str">
        <f>IF(U44&lt;&gt;"",SUMPRODUCT((AF44:AF48=AF44)*(AA44:AA48=AA44)*(Y44:Y48=Y44)*(AC44:AC48=AC44)*(AD44:AD48=AD44)*(AE44:AE48&gt;AE44)),"")</f>
        <v/>
      </c>
      <c r="AM44" s="213" t="str">
        <f>IF(U44&lt;&gt;"",SUM(AG44:AL44),"")</f>
        <v/>
      </c>
    </row>
    <row r="45" spans="1:256" x14ac:dyDescent="0.15">
      <c r="I45" s="213">
        <f>SUMPRODUCT((I4:I7=I5)*(H4:H7=H5)*(F4:F7&gt;F5))+1</f>
        <v>1</v>
      </c>
      <c r="T45" s="213" t="str">
        <f>IF(U5&lt;&gt;"",SUMPRODUCT((AB4:AB7=AB5)*(AA4:AA7=AA5)*(Y4:Y7=Y5)*(Z4:Z7=Z5)),"")</f>
        <v/>
      </c>
      <c r="U45" s="213" t="str">
        <f t="shared" ref="U45:U47" si="69">IF(AND(T45&lt;&gt;"",T45&gt;1),U5,"")</f>
        <v/>
      </c>
      <c r="V45" s="213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213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213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213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213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213">
        <f>Y45-Z45+1000</f>
        <v>1000</v>
      </c>
      <c r="AB45" s="213" t="str">
        <f t="shared" ref="AB45:AB47" si="70">IF(U45&lt;&gt;"",V45*3+W45*1,"")</f>
        <v/>
      </c>
      <c r="AC45" s="213" t="str">
        <f>IF(U45&lt;&gt;"",VLOOKUP(U45,B4:H40,7,FALSE),"")</f>
        <v/>
      </c>
      <c r="AD45" s="213" t="str">
        <f>IF(U45&lt;&gt;"",VLOOKUP(U45,B4:H40,5,FALSE),"")</f>
        <v/>
      </c>
      <c r="AE45" s="213" t="str">
        <f>IF(U45&lt;&gt;"",VLOOKUP(U45,B4:J40,9,FALSE),"")</f>
        <v/>
      </c>
      <c r="AF45" s="213" t="str">
        <f t="shared" ref="AF45:AF47" si="71">AB45</f>
        <v/>
      </c>
      <c r="AG45" s="213" t="str">
        <f>IF(U45&lt;&gt;"",RANK(AF45,AF44:AF48),"")</f>
        <v/>
      </c>
      <c r="AH45" s="213" t="str">
        <f>IF(U45&lt;&gt;"",SUMPRODUCT((AF44:AF48=AF45)*(AA44:AA48&gt;AA45)),"")</f>
        <v/>
      </c>
      <c r="AI45" s="213" t="str">
        <f>IF(U45&lt;&gt;"",SUMPRODUCT((AF44:AF48=AF45)*(AA44:AA48=AA45)*(Y44:Y48&gt;Y45)),"")</f>
        <v/>
      </c>
      <c r="AJ45" s="213" t="str">
        <f>IF(U45&lt;&gt;"",SUMPRODUCT((AF44:AF48=AF45)*(AA44:AA48=AA45)*(Y44:Y48=Y45)*(AC44:AC48&gt;AC45)),"")</f>
        <v/>
      </c>
      <c r="AK45" s="213" t="str">
        <f>IF(U45&lt;&gt;"",SUMPRODUCT((AF44:AF48=AF45)*(AA44:AA48=AA45)*(Y44:Y48=Y45)*(AC44:AC48=AC45)*(AD44:AD48&gt;AD45)),"")</f>
        <v/>
      </c>
      <c r="AL45" s="213" t="str">
        <f>IF(U45&lt;&gt;"",SUMPRODUCT((AF44:AF48=AF45)*(AA44:AA48=AA45)*(Y44:Y48=Y45)*(AC44:AC48=AC45)*(AD44:AD48=AD45)*(AE44:AE48&gt;AE45)),"")</f>
        <v/>
      </c>
      <c r="AM45" s="213" t="str">
        <f>IF(U45&lt;&gt;"",SUM(AG45:AL45),"")</f>
        <v/>
      </c>
      <c r="AN45" s="213">
        <f>IF(AO5&lt;&gt;"",SUMPRODUCT((AV4:AV7=AV5)*(AU4:AU7=AU5)*(AS4:AS7=AS5)*(AT4:AT7=AT5)),"")</f>
        <v>2</v>
      </c>
      <c r="AO45" s="213" t="str">
        <f t="shared" ref="AO45:AO47" si="72">IF(AND(AN45&lt;&gt;"",AN45&gt;1),AO5,"")</f>
        <v>Wales</v>
      </c>
      <c r="AP45" s="213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213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1</v>
      </c>
      <c r="AR45" s="213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213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1</v>
      </c>
      <c r="AT45" s="213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1</v>
      </c>
      <c r="AU45" s="213">
        <f>AS45-AT45+1000</f>
        <v>1000</v>
      </c>
      <c r="AV45" s="213">
        <f t="shared" ref="AV45:AV47" si="73">IF(AO45&lt;&gt;"",AP45*3+AQ45*1,"")</f>
        <v>1</v>
      </c>
      <c r="AW45" s="213">
        <f>IF(AO45&lt;&gt;"",VLOOKUP(AO45,B4:H40,7,FALSE),"")</f>
        <v>1001</v>
      </c>
      <c r="AX45" s="213">
        <f>IF(AO45&lt;&gt;"",VLOOKUP(AO45,B4:H40,5,FALSE),"")</f>
        <v>3</v>
      </c>
      <c r="AY45" s="213">
        <f>IF(AO45&lt;&gt;"",VLOOKUP(AO45,B4:J40,9,FALSE),"")</f>
        <v>37</v>
      </c>
      <c r="AZ45" s="213">
        <f t="shared" ref="AZ45:AZ47" si="74">AV45</f>
        <v>1</v>
      </c>
      <c r="BA45" s="213">
        <f>IF(AO45&lt;&gt;"",RANK(AZ45,AZ44:AZ47),"")</f>
        <v>1</v>
      </c>
      <c r="BB45" s="213">
        <f>IF(AO45&lt;&gt;"",SUMPRODUCT((AZ44:AZ47=AZ45)*(AU44:AU47&gt;AU45)),"")</f>
        <v>0</v>
      </c>
      <c r="BC45" s="213">
        <f>IF(AO45&lt;&gt;"",SUMPRODUCT((AZ44:AZ47=AZ45)*(AU44:AU47=AU45)*(AS44:AS47&gt;AS45)),"")</f>
        <v>0</v>
      </c>
      <c r="BD45" s="213">
        <f>IF(AO45&lt;&gt;"",SUMPRODUCT((AZ44:AZ47=AZ45)*(AU44:AU47=AU45)*(AS44:AS47=AS45)*(AW44:AW47&gt;AW45)),"")</f>
        <v>0</v>
      </c>
      <c r="BE45" s="213">
        <f>IF(AO45&lt;&gt;"",SUMPRODUCT((AZ44:AZ47=AZ45)*(AU44:AU47=AU45)*(AS44:AS47=AS45)*(AW44:AW47=AW45)*(AX44:AX47&gt;AX45)),"")</f>
        <v>0</v>
      </c>
      <c r="BF45" s="213">
        <f>IF(AO45&lt;&gt;"",SUMPRODUCT((AZ44:AZ47=AZ45)*(AU44:AU47=AU45)*(AS44:AS47=AS45)*(AW44:AW47=AW45)*(AX44:AX47=AX45)*(AY44:AY47&gt;AY45)),"")</f>
        <v>0</v>
      </c>
      <c r="BG45" s="213">
        <f>IF(AO45&lt;&gt;"",SUM(BA45:BF45)+1,"")</f>
        <v>2</v>
      </c>
    </row>
    <row r="46" spans="1:256" x14ac:dyDescent="0.15">
      <c r="I46" s="213">
        <f>SUMPRODUCT((I4:I7=I6)*(H4:H7=H6)*(F4:F7&gt;F6))+1</f>
        <v>1</v>
      </c>
      <c r="T46" s="213" t="str">
        <f>IF(U6&lt;&gt;"",SUMPRODUCT((AB4:AB7=AB6)*(AA4:AA7=AA6)*(Y4:Y7=Y6)*(Z4:Z7=Z6)),"")</f>
        <v/>
      </c>
      <c r="U46" s="213" t="str">
        <f t="shared" si="69"/>
        <v/>
      </c>
      <c r="V46" s="213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213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213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213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213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213">
        <f>Y46-Z46+1000</f>
        <v>1000</v>
      </c>
      <c r="AB46" s="213" t="str">
        <f t="shared" si="70"/>
        <v/>
      </c>
      <c r="AC46" s="213" t="str">
        <f>IF(U46&lt;&gt;"",VLOOKUP(U46,B4:H40,7,FALSE),"")</f>
        <v/>
      </c>
      <c r="AD46" s="213" t="str">
        <f>IF(U46&lt;&gt;"",VLOOKUP(U46,B4:H40,5,FALSE),"")</f>
        <v/>
      </c>
      <c r="AE46" s="213" t="str">
        <f>IF(U46&lt;&gt;"",VLOOKUP(U46,B4:J40,9,FALSE),"")</f>
        <v/>
      </c>
      <c r="AF46" s="213" t="str">
        <f t="shared" si="71"/>
        <v/>
      </c>
      <c r="AG46" s="213" t="str">
        <f>IF(U46&lt;&gt;"",RANK(AF46,AF44:AF48),"")</f>
        <v/>
      </c>
      <c r="AH46" s="213" t="str">
        <f>IF(U46&lt;&gt;"",SUMPRODUCT((AF44:AF48=AF46)*(AA44:AA48&gt;AA46)),"")</f>
        <v/>
      </c>
      <c r="AI46" s="213" t="str">
        <f>IF(U46&lt;&gt;"",SUMPRODUCT((AF44:AF48=AF46)*(AA44:AA48=AA46)*(Y44:Y48&gt;Y46)),"")</f>
        <v/>
      </c>
      <c r="AJ46" s="213" t="str">
        <f>IF(U46&lt;&gt;"",SUMPRODUCT((AF44:AF48=AF46)*(AA44:AA48=AA46)*(Y44:Y48=Y46)*(AC44:AC48&gt;AC46)),"")</f>
        <v/>
      </c>
      <c r="AK46" s="213" t="str">
        <f>IF(U46&lt;&gt;"",SUMPRODUCT((AF44:AF48=AF46)*(AA44:AA48=AA46)*(Y44:Y48=Y46)*(AC44:AC48=AC46)*(AD44:AD48&gt;AD46)),"")</f>
        <v/>
      </c>
      <c r="AL46" s="213" t="str">
        <f>IF(U46&lt;&gt;"",SUMPRODUCT((AF44:AF48=AF46)*(AA44:AA48=AA46)*(Y44:Y48=Y46)*(AC44:AC48=AC46)*(AD44:AD48=AD46)*(AE44:AE48&gt;AE46)),"")</f>
        <v/>
      </c>
      <c r="AM46" s="213" t="str">
        <f>IF(U46&lt;&gt;"",SUM(AG46:AL46),"")</f>
        <v/>
      </c>
      <c r="AN46" s="213">
        <f>IF(AO6&lt;&gt;"",SUMPRODUCT((AV4:AV7=AV6)*(AU4:AU7=AU6)*(AS4:AS7=AS6)*(AT4:AT7=AT6)),"")</f>
        <v>2</v>
      </c>
      <c r="AO46" s="213" t="str">
        <f t="shared" si="72"/>
        <v>Switzerland</v>
      </c>
      <c r="AP46" s="213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213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1</v>
      </c>
      <c r="AR46" s="213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213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1</v>
      </c>
      <c r="AT46" s="213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1</v>
      </c>
      <c r="AU46" s="213">
        <f>AS46-AT46+1000</f>
        <v>1000</v>
      </c>
      <c r="AV46" s="213">
        <f t="shared" si="73"/>
        <v>1</v>
      </c>
      <c r="AW46" s="213">
        <f>IF(AO46&lt;&gt;"",VLOOKUP(AO46,B4:H40,7,FALSE),"")</f>
        <v>999</v>
      </c>
      <c r="AX46" s="213">
        <f>IF(AO46&lt;&gt;"",VLOOKUP(AO46,B4:H40,5,FALSE),"")</f>
        <v>4</v>
      </c>
      <c r="AY46" s="213">
        <f>IF(AO46&lt;&gt;"",VLOOKUP(AO46,B4:J40,9,FALSE),"")</f>
        <v>47</v>
      </c>
      <c r="AZ46" s="213">
        <f t="shared" si="74"/>
        <v>1</v>
      </c>
      <c r="BA46" s="213">
        <f>IF(AO46&lt;&gt;"",RANK(AZ46,AZ44:AZ47),"")</f>
        <v>1</v>
      </c>
      <c r="BB46" s="213">
        <f>IF(AO46&lt;&gt;"",SUMPRODUCT((AZ44:AZ47=AZ46)*(AU44:AU47&gt;AU46)),"")</f>
        <v>0</v>
      </c>
      <c r="BC46" s="213">
        <f>IF(AO46&lt;&gt;"",SUMPRODUCT((AZ44:AZ47=AZ46)*(AU44:AU47=AU46)*(AS44:AS47&gt;AS46)),"")</f>
        <v>0</v>
      </c>
      <c r="BD46" s="213">
        <f>IF(AO46&lt;&gt;"",SUMPRODUCT((AZ44:AZ47=AZ46)*(AU44:AU47=AU46)*(AS44:AS47=AS46)*(AW44:AW47&gt;AW46)),"")</f>
        <v>1</v>
      </c>
      <c r="BE46" s="213">
        <f>IF(AO46&lt;&gt;"",SUMPRODUCT((AZ44:AZ47=AZ46)*(AU44:AU47=AU46)*(AS44:AS47=AS46)*(AW44:AW47=AW46)*(AX44:AX47&gt;AX46)),"")</f>
        <v>0</v>
      </c>
      <c r="BF46" s="213">
        <f>IF(AO46&lt;&gt;"",SUMPRODUCT((AZ44:AZ47=AZ46)*(AU44:AU47=AU46)*(AS44:AS47=AS46)*(AW44:AW47=AW46)*(AX44:AX47=AX46)*(AY44:AY47&gt;AY46)),"")</f>
        <v>0</v>
      </c>
      <c r="BG46" s="213">
        <f t="shared" ref="BG46:BG47" si="75">IF(AO46&lt;&gt;"",SUM(BA46:BF46)+1,"")</f>
        <v>3</v>
      </c>
    </row>
    <row r="47" spans="1:256" x14ac:dyDescent="0.15">
      <c r="I47" s="213">
        <f>SUMPRODUCT((I4:I7=I7)*(H4:H7=H7)*(F4:F7&gt;F7))+1</f>
        <v>1</v>
      </c>
      <c r="T47" s="213" t="str">
        <f>IF(U7&lt;&gt;"",SUMPRODUCT((AB4:AB7=AB7)*(AA4:AA7=AA7)*(Y4:Y7=Y7)*(Z4:Z7=Z7)),"")</f>
        <v/>
      </c>
      <c r="U47" s="213" t="str">
        <f t="shared" si="69"/>
        <v/>
      </c>
      <c r="V47" s="213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213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213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213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213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213">
        <f>Y47-Z47+1000</f>
        <v>1000</v>
      </c>
      <c r="AB47" s="213" t="str">
        <f t="shared" si="70"/>
        <v/>
      </c>
      <c r="AC47" s="213" t="str">
        <f>IF(U47&lt;&gt;"",VLOOKUP(U47,B4:H40,7,FALSE),"")</f>
        <v/>
      </c>
      <c r="AD47" s="213" t="str">
        <f>IF(U47&lt;&gt;"",VLOOKUP(U47,B4:H40,5,FALSE),"")</f>
        <v/>
      </c>
      <c r="AE47" s="213" t="str">
        <f>IF(U47&lt;&gt;"",VLOOKUP(U47,B4:J40,9,FALSE),"")</f>
        <v/>
      </c>
      <c r="AF47" s="213" t="str">
        <f t="shared" si="71"/>
        <v/>
      </c>
      <c r="AG47" s="213" t="str">
        <f>IF(U47&lt;&gt;"",RANK(AF47,AF44:AF48),"")</f>
        <v/>
      </c>
      <c r="AH47" s="213" t="str">
        <f>IF(U47&lt;&gt;"",SUMPRODUCT((AF44:AF48=AF47)*(AA44:AA48&gt;AA47)),"")</f>
        <v/>
      </c>
      <c r="AI47" s="213" t="str">
        <f>IF(U47&lt;&gt;"",SUMPRODUCT((AF44:AF48=AF47)*(AA44:AA48=AA47)*(Y44:Y48&gt;Y47)),"")</f>
        <v/>
      </c>
      <c r="AJ47" s="213" t="str">
        <f>IF(U47&lt;&gt;"",SUMPRODUCT((AF44:AF48=AF47)*(AA44:AA48=AA47)*(Y44:Y48=Y47)*(AC44:AC48&gt;AC47)),"")</f>
        <v/>
      </c>
      <c r="AK47" s="213" t="str">
        <f>IF(U47&lt;&gt;"",SUMPRODUCT((AF44:AF48=AF47)*(AA44:AA48=AA47)*(Y44:Y48=Y47)*(AC44:AC48=AC47)*(AD44:AD48&gt;AD47)),"")</f>
        <v/>
      </c>
      <c r="AL47" s="213" t="str">
        <f>IF(U47&lt;&gt;"",SUMPRODUCT((AF44:AF48=AF47)*(AA44:AA48=AA47)*(Y44:Y48=Y47)*(AC44:AC48=AC47)*(AD44:AD48=AD47)*(AE44:AE48&gt;AE47)),"")</f>
        <v/>
      </c>
      <c r="AM47" s="213" t="str">
        <f>IF(U47&lt;&gt;"",SUM(AG47:AL47),"")</f>
        <v/>
      </c>
      <c r="AN47" s="213" t="str">
        <f>IF(AO7&lt;&gt;"",SUMPRODUCT((AV4:AV7=AV7)*(AU4:AU7=AU7)*(AS4:AS7=AS7)*(AT4:AT7=AT7)),"")</f>
        <v/>
      </c>
      <c r="AO47" s="213" t="str">
        <f t="shared" si="72"/>
        <v/>
      </c>
      <c r="AP47" s="213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213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213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213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213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213">
        <f>AS47-AT47+1000</f>
        <v>1000</v>
      </c>
      <c r="AV47" s="213" t="str">
        <f t="shared" si="73"/>
        <v/>
      </c>
      <c r="AW47" s="213" t="str">
        <f>IF(AO47&lt;&gt;"",VLOOKUP(AO47,B4:H40,7,FALSE),"")</f>
        <v/>
      </c>
      <c r="AX47" s="213" t="str">
        <f>IF(AO47&lt;&gt;"",VLOOKUP(AO47,B4:H40,5,FALSE),"")</f>
        <v/>
      </c>
      <c r="AY47" s="213" t="str">
        <f>IF(AO47&lt;&gt;"",VLOOKUP(AO47,B4:J40,9,FALSE),"")</f>
        <v/>
      </c>
      <c r="AZ47" s="213" t="str">
        <f t="shared" si="74"/>
        <v/>
      </c>
      <c r="BA47" s="213" t="str">
        <f>IF(AO47&lt;&gt;"",RANK(AZ47,AZ44:AZ47),"")</f>
        <v/>
      </c>
      <c r="BB47" s="213" t="str">
        <f>IF(AO47&lt;&gt;"",SUMPRODUCT((AZ44:AZ47=AZ47)*(AU44:AU47&gt;AU47)),"")</f>
        <v/>
      </c>
      <c r="BC47" s="213" t="str">
        <f>IF(AO47&lt;&gt;"",SUMPRODUCT((AZ44:AZ47=AZ47)*(AU44:AU47=AU47)*(AS44:AS47&gt;AS47)),"")</f>
        <v/>
      </c>
      <c r="BD47" s="213" t="str">
        <f>IF(AO47&lt;&gt;"",SUMPRODUCT((AZ44:AZ47=AZ47)*(AU44:AU47=AU47)*(AS44:AS47=AS47)*(AW44:AW47&gt;AW47)),"")</f>
        <v/>
      </c>
      <c r="BE47" s="213" t="str">
        <f>IF(AO47&lt;&gt;"",SUMPRODUCT((AZ44:AZ47=AZ47)*(AU44:AU47=AU47)*(AS44:AS47=AS47)*(AW44:AW47=AW47)*(AX44:AX47&gt;AX47)),"")</f>
        <v/>
      </c>
      <c r="BF47" s="213" t="str">
        <f>IF(AO47&lt;&gt;"",SUMPRODUCT((AZ44:AZ47=AZ47)*(AU44:AU47=AU47)*(AS44:AS47=AS47)*(AW44:AW47=AW47)*(AX44:AX47=AX47)*(AY44:AY47&gt;AY47)),"")</f>
        <v/>
      </c>
      <c r="BG47" s="213" t="str">
        <f t="shared" si="75"/>
        <v/>
      </c>
    </row>
    <row r="50" spans="2:59" x14ac:dyDescent="0.15">
      <c r="B50" s="213" t="str">
        <f>B4</f>
        <v>Turkey</v>
      </c>
      <c r="C50" s="213" t="s">
        <v>98</v>
      </c>
      <c r="T50" s="213">
        <f>IF(U51="",SUM(AG11:AL11),IF(U52="",SUM(AG12:AL12),IF(U53="",SUM(AG13:AL13),IF(U54="",SUM(AG14:AL14),0))))</f>
        <v>0</v>
      </c>
      <c r="AN50" s="213">
        <f>IF(AO52="",SUM(BA12:BF12),IF(AO53="",SUM(BA13:BF13),IF(AO54="",SUM(BA14:BF14),0)))</f>
        <v>2</v>
      </c>
    </row>
    <row r="51" spans="2:59" x14ac:dyDescent="0.15">
      <c r="B51" s="213" t="str">
        <f t="shared" ref="B51:B53" si="76">B5</f>
        <v>Italy</v>
      </c>
      <c r="C51" s="213" t="s">
        <v>99</v>
      </c>
      <c r="I51" s="213">
        <f>SUMPRODUCT((I11:I14=I11)*(H11:H14=H11)*(F11:F14&gt;F11))+1</f>
        <v>1</v>
      </c>
      <c r="T51" s="213" t="str">
        <f>IF(U11&lt;&gt;"",SUMPRODUCT((AB11:AB14=AB11)*(AA11:AA14=AA11)*(Y11:Y14=Y11)*(Z11:Z14=Z11)),"")</f>
        <v/>
      </c>
      <c r="U51" s="213" t="str">
        <f>IF(AND(T51&lt;&gt;"",T51&gt;1),U11,"")</f>
        <v/>
      </c>
      <c r="V51" s="213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213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213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213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213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213">
        <f>Y51-Z51+1000</f>
        <v>1000</v>
      </c>
      <c r="AB51" s="213" t="str">
        <f t="shared" ref="AB51:AB54" si="77">IF(U51&lt;&gt;"",V51*3+W51*1,"")</f>
        <v/>
      </c>
      <c r="AC51" s="213" t="str">
        <f>IF(U51&lt;&gt;"",VLOOKUP(U51,B4:H40,7,FALSE),"")</f>
        <v/>
      </c>
      <c r="AD51" s="213" t="str">
        <f>IF(U51&lt;&gt;"",VLOOKUP(U51,B4:H40,5,FALSE),"")</f>
        <v/>
      </c>
      <c r="AE51" s="213" t="str">
        <f>IF(U51&lt;&gt;"",VLOOKUP(U51,B4:J40,9,FALSE),"")</f>
        <v/>
      </c>
      <c r="AF51" s="213" t="str">
        <f>AB51</f>
        <v/>
      </c>
      <c r="AG51" s="213" t="str">
        <f>IF(U51&lt;&gt;"",RANK(AF51,AF51:AF54),"")</f>
        <v/>
      </c>
      <c r="AH51" s="213" t="str">
        <f>IF(U51&lt;&gt;"",SUMPRODUCT((AF51:AF54=AF51)*(AA51:AA54&gt;AA51)),"")</f>
        <v/>
      </c>
      <c r="AI51" s="213" t="str">
        <f>IF(U51&lt;&gt;"",SUMPRODUCT((AF51:AF54=AF51)*(AA51:AA54=AA51)*(Y51:Y54&gt;Y51)),"")</f>
        <v/>
      </c>
      <c r="AJ51" s="213" t="str">
        <f>IF(U51&lt;&gt;"",SUMPRODUCT((AF51:AF54=AF51)*(AA51:AA54=AA51)*(Y51:Y54=Y51)*(AC51:AC54&gt;AC51)),"")</f>
        <v/>
      </c>
      <c r="AK51" s="213" t="str">
        <f>IF(U51&lt;&gt;"",SUMPRODUCT((AF51:AF54=AF51)*(AA51:AA54=AA51)*(Y51:Y54=Y51)*(AC51:AC54=AC51)*(AD51:AD54&gt;AD51)),"")</f>
        <v/>
      </c>
      <c r="AL51" s="213" t="str">
        <f>IF(U51&lt;&gt;"",SUMPRODUCT((AF51:AF54=AF51)*(AA51:AA54=AA51)*(Y51:Y54=Y51)*(AC51:AC54=AC51)*(AD51:AD54=AD51)*(AE51:AE54&gt;AE51)),"")</f>
        <v/>
      </c>
      <c r="AM51" s="213" t="str">
        <f>IF(U51&lt;&gt;"",SUM(AG51:AL51),"")</f>
        <v/>
      </c>
    </row>
    <row r="52" spans="2:59" x14ac:dyDescent="0.15">
      <c r="B52" s="213" t="str">
        <f t="shared" si="76"/>
        <v>Wales</v>
      </c>
      <c r="C52" s="213" t="s">
        <v>100</v>
      </c>
      <c r="I52" s="213">
        <f>SUMPRODUCT((I11:I14=I12)*(H11:H14=H12)*(F11:F14&gt;F12))+1</f>
        <v>1</v>
      </c>
      <c r="T52" s="213" t="str">
        <f>IF(U12&lt;&gt;"",SUMPRODUCT((AB11:AB14=AB12)*(AA11:AA14=AA12)*(Y11:Y14=Y12)*(Z11:Z14=Z12)),"")</f>
        <v/>
      </c>
      <c r="U52" s="213" t="str">
        <f t="shared" ref="U52:U54" si="78">IF(AND(T52&lt;&gt;"",T52&gt;1),U12,"")</f>
        <v/>
      </c>
      <c r="V52" s="213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213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213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213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213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213">
        <f>Y52-Z52+1000</f>
        <v>1000</v>
      </c>
      <c r="AB52" s="213" t="str">
        <f t="shared" si="77"/>
        <v/>
      </c>
      <c r="AC52" s="213" t="str">
        <f>IF(U52&lt;&gt;"",VLOOKUP(U52,B4:H40,7,FALSE),"")</f>
        <v/>
      </c>
      <c r="AD52" s="213" t="str">
        <f>IF(U52&lt;&gt;"",VLOOKUP(U52,B4:H40,5,FALSE),"")</f>
        <v/>
      </c>
      <c r="AE52" s="213" t="str">
        <f>IF(U52&lt;&gt;"",VLOOKUP(U52,B4:J40,9,FALSE),"")</f>
        <v/>
      </c>
      <c r="AF52" s="213" t="str">
        <f t="shared" ref="AF52:AF54" si="79">AB52</f>
        <v/>
      </c>
      <c r="AG52" s="213" t="str">
        <f>IF(U52&lt;&gt;"",RANK(AF52,AF51:AF54),"")</f>
        <v/>
      </c>
      <c r="AH52" s="213" t="str">
        <f>IF(U52&lt;&gt;"",SUMPRODUCT((AF51:AF54=AF52)*(AA51:AA54&gt;AA52)),"")</f>
        <v/>
      </c>
      <c r="AI52" s="213" t="str">
        <f>IF(U52&lt;&gt;"",SUMPRODUCT((AF51:AF54=AF52)*(AA51:AA54=AA52)*(Y51:Y54&gt;Y52)),"")</f>
        <v/>
      </c>
      <c r="AJ52" s="213" t="str">
        <f>IF(U52&lt;&gt;"",SUMPRODUCT((AF51:AF54=AF52)*(AA51:AA54=AA52)*(Y51:Y54=Y52)*(AC51:AC54&gt;AC52)),"")</f>
        <v/>
      </c>
      <c r="AK52" s="213" t="str">
        <f>IF(U52&lt;&gt;"",SUMPRODUCT((AF51:AF54=AF52)*(AA51:AA54=AA52)*(Y51:Y54=Y52)*(AC51:AC54=AC52)*(AD51:AD54&gt;AD52)),"")</f>
        <v/>
      </c>
      <c r="AL52" s="213" t="str">
        <f>IF(U52&lt;&gt;"",SUMPRODUCT((AF51:AF54=AF52)*(AA51:AA54=AA52)*(Y51:Y54=Y52)*(AC51:AC54=AC52)*(AD51:AD54=AD52)*(AE51:AE54&gt;AE52)),"")</f>
        <v/>
      </c>
      <c r="AM52" s="213" t="str">
        <f t="shared" ref="AM52:AM54" si="80">IF(U52&lt;&gt;"",SUM(AG52:AL52),"")</f>
        <v/>
      </c>
      <c r="AN52" s="213">
        <f>IF(AO12&lt;&gt;"",SUMPRODUCT((AV11:AV14=AV12)*(AU11:AU14=AU12)*(AS11:AS14=AS12)*(AT11:AT14=AT12)),"")</f>
        <v>1</v>
      </c>
      <c r="AO52" s="213" t="str">
        <f t="shared" ref="AO52:AO54" si="81">IF(AND(AN52&lt;&gt;"",AN52&gt;1),AO12,"")</f>
        <v/>
      </c>
      <c r="AP52" s="213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213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213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213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213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213">
        <f>AS52-AT52+1000</f>
        <v>1000</v>
      </c>
      <c r="AV52" s="213" t="str">
        <f t="shared" ref="AV52:AV54" si="82">IF(AO52&lt;&gt;"",AP52*3+AQ52*1,"")</f>
        <v/>
      </c>
      <c r="AW52" s="213" t="str">
        <f>IF(AO52&lt;&gt;"",VLOOKUP(AO52,B4:H40,7,FALSE),"")</f>
        <v/>
      </c>
      <c r="AX52" s="213" t="str">
        <f>IF(AO52&lt;&gt;"",VLOOKUP(AO52,B4:H40,5,FALSE),"")</f>
        <v/>
      </c>
      <c r="AY52" s="213" t="str">
        <f>IF(AO52&lt;&gt;"",VLOOKUP(AO52,B4:J40,9,FALSE),"")</f>
        <v/>
      </c>
      <c r="AZ52" s="213" t="str">
        <f t="shared" ref="AZ52:AZ54" si="83">AV52</f>
        <v/>
      </c>
      <c r="BA52" s="213" t="str">
        <f>IF(AO52&lt;&gt;"",RANK(AZ52,AZ51:AZ54),"")</f>
        <v/>
      </c>
      <c r="BB52" s="213" t="str">
        <f>IF(AO52&lt;&gt;"",SUMPRODUCT((AZ51:AZ54=AZ52)*(AU51:AU54&gt;AU52)),"")</f>
        <v/>
      </c>
      <c r="BC52" s="213" t="str">
        <f>IF(AO52&lt;&gt;"",SUMPRODUCT((AZ51:AZ54=AZ52)*(AU51:AU54=AU52)*(AS51:AS54&gt;AS52)),"")</f>
        <v/>
      </c>
      <c r="BD52" s="213" t="str">
        <f>IF(AO52&lt;&gt;"",SUMPRODUCT((AZ51:AZ54=AZ52)*(AU51:AU54=AU52)*(AS51:AS54=AS52)*(AW51:AW54&gt;AW52)),"")</f>
        <v/>
      </c>
      <c r="BE52" s="213" t="str">
        <f>IF(AO52&lt;&gt;"",SUMPRODUCT((AZ51:AZ54=AZ52)*(AU51:AU54=AU52)*(AS51:AS54=AS52)*(AW51:AW54=AW52)*(AX51:AX54&gt;AX52)),"")</f>
        <v/>
      </c>
      <c r="BF52" s="213" t="str">
        <f>IF(AO52&lt;&gt;"",SUMPRODUCT((AZ51:AZ54=AZ52)*(AU51:AU54=AU52)*(AS51:AS54=AS52)*(AW51:AW54=AW52)*(AX51:AX54=AX52)*(AY51:AY54&gt;AY52)),"")</f>
        <v/>
      </c>
      <c r="BG52" s="213" t="str">
        <f>IF(AO52&lt;&gt;"",SUM(BA52:BF52)+1,"")</f>
        <v/>
      </c>
    </row>
    <row r="53" spans="2:59" x14ac:dyDescent="0.15">
      <c r="B53" s="213" t="str">
        <f t="shared" si="76"/>
        <v>Switzerland</v>
      </c>
      <c r="C53" s="213" t="s">
        <v>101</v>
      </c>
      <c r="I53" s="213">
        <f>SUMPRODUCT((I11:I14=I13)*(H11:H14=H13)*(F11:F14&gt;F13))+1</f>
        <v>1</v>
      </c>
      <c r="T53" s="213" t="str">
        <f>IF(U13&lt;&gt;"",SUMPRODUCT((AB11:AB14=AB13)*(AA11:AA14=AA13)*(Y11:Y14=Y13)*(Z11:Z14=Z13)),"")</f>
        <v/>
      </c>
      <c r="U53" s="213" t="str">
        <f t="shared" si="78"/>
        <v/>
      </c>
      <c r="V53" s="213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213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213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213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213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213">
        <f>Y53-Z53+1000</f>
        <v>1000</v>
      </c>
      <c r="AB53" s="213" t="str">
        <f t="shared" si="77"/>
        <v/>
      </c>
      <c r="AC53" s="213" t="str">
        <f>IF(U53&lt;&gt;"",VLOOKUP(U53,B4:H40,7,FALSE),"")</f>
        <v/>
      </c>
      <c r="AD53" s="213" t="str">
        <f>IF(U53&lt;&gt;"",VLOOKUP(U53,B4:H40,5,FALSE),"")</f>
        <v/>
      </c>
      <c r="AE53" s="213" t="str">
        <f>IF(U53&lt;&gt;"",VLOOKUP(U53,B4:J40,9,FALSE),"")</f>
        <v/>
      </c>
      <c r="AF53" s="213" t="str">
        <f t="shared" si="79"/>
        <v/>
      </c>
      <c r="AG53" s="213" t="str">
        <f>IF(U53&lt;&gt;"",RANK(AF53,AF51:AF54),"")</f>
        <v/>
      </c>
      <c r="AH53" s="213" t="str">
        <f>IF(U53&lt;&gt;"",SUMPRODUCT((AF51:AF54=AF53)*(AA51:AA54&gt;AA53)),"")</f>
        <v/>
      </c>
      <c r="AI53" s="213" t="str">
        <f>IF(U53&lt;&gt;"",SUMPRODUCT((AF51:AF54=AF53)*(AA51:AA54=AA53)*(Y51:Y54&gt;Y53)),"")</f>
        <v/>
      </c>
      <c r="AJ53" s="213" t="str">
        <f>IF(U53&lt;&gt;"",SUMPRODUCT((AF51:AF54=AF53)*(AA51:AA54=AA53)*(Y51:Y54=Y53)*(AC51:AC54&gt;AC53)),"")</f>
        <v/>
      </c>
      <c r="AK53" s="213" t="str">
        <f>IF(U53&lt;&gt;"",SUMPRODUCT((AF51:AF54=AF53)*(AA51:AA54=AA53)*(Y51:Y54=Y53)*(AC51:AC54=AC53)*(AD51:AD54&gt;AD53)),"")</f>
        <v/>
      </c>
      <c r="AL53" s="213" t="str">
        <f>IF(U53&lt;&gt;"",SUMPRODUCT((AF51:AF54=AF53)*(AA51:AA54=AA53)*(Y51:Y54=Y53)*(AC51:AC54=AC53)*(AD51:AD54=AD53)*(AE51:AE54&gt;AE53)),"")</f>
        <v/>
      </c>
      <c r="AM53" s="213" t="str">
        <f t="shared" si="80"/>
        <v/>
      </c>
      <c r="AN53" s="213">
        <f>IF(AO13&lt;&gt;"",SUMPRODUCT((AV11:AV14=AV13)*(AU11:AU14=AU13)*(AS11:AS14=AS13)*(AT11:AT14=AT13)),"")</f>
        <v>1</v>
      </c>
      <c r="AO53" s="213" t="str">
        <f t="shared" si="81"/>
        <v/>
      </c>
      <c r="AP53" s="213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213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213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213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213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213">
        <f>AS53-AT53+1000</f>
        <v>1000</v>
      </c>
      <c r="AV53" s="213" t="str">
        <f t="shared" si="82"/>
        <v/>
      </c>
      <c r="AW53" s="213" t="str">
        <f>IF(AO53&lt;&gt;"",VLOOKUP(AO53,B4:H40,7,FALSE),"")</f>
        <v/>
      </c>
      <c r="AX53" s="213" t="str">
        <f>IF(AO53&lt;&gt;"",VLOOKUP(AO53,B4:H40,5,FALSE),"")</f>
        <v/>
      </c>
      <c r="AY53" s="213" t="str">
        <f>IF(AO53&lt;&gt;"",VLOOKUP(AO53,B4:J40,9,FALSE),"")</f>
        <v/>
      </c>
      <c r="AZ53" s="213" t="str">
        <f t="shared" si="83"/>
        <v/>
      </c>
      <c r="BA53" s="213" t="str">
        <f>IF(AO53&lt;&gt;"",RANK(AZ53,AZ51:AZ54),"")</f>
        <v/>
      </c>
      <c r="BB53" s="213" t="str">
        <f>IF(AO53&lt;&gt;"",SUMPRODUCT((AZ51:AZ54=AZ53)*(AU51:AU54&gt;AU53)),"")</f>
        <v/>
      </c>
      <c r="BC53" s="213" t="str">
        <f>IF(AO53&lt;&gt;"",SUMPRODUCT((AZ51:AZ54=AZ53)*(AU51:AU54=AU53)*(AS51:AS54&gt;AS53)),"")</f>
        <v/>
      </c>
      <c r="BD53" s="213" t="str">
        <f>IF(AO53&lt;&gt;"",SUMPRODUCT((AZ51:AZ54=AZ53)*(AU51:AU54=AU53)*(AS51:AS54=AS53)*(AW51:AW54&gt;AW53)),"")</f>
        <v/>
      </c>
      <c r="BE53" s="213" t="str">
        <f>IF(AO53&lt;&gt;"",SUMPRODUCT((AZ51:AZ54=AZ53)*(AU51:AU54=AU53)*(AS51:AS54=AS53)*(AW51:AW54=AW53)*(AX51:AX54&gt;AX53)),"")</f>
        <v/>
      </c>
      <c r="BF53" s="213" t="str">
        <f>IF(AO53&lt;&gt;"",SUMPRODUCT((AZ51:AZ54=AZ53)*(AU51:AU54=AU53)*(AS51:AS54=AS53)*(AW51:AW54=AW53)*(AX51:AX54=AX53)*(AY51:AY54&gt;AY53)),"")</f>
        <v/>
      </c>
      <c r="BG53" s="213" t="str">
        <f t="shared" ref="BG53:BG54" si="84">IF(AO53&lt;&gt;"",SUM(BA53:BF53)+1,"")</f>
        <v/>
      </c>
    </row>
    <row r="54" spans="2:59" x14ac:dyDescent="0.15">
      <c r="C54" s="213" t="s">
        <v>102</v>
      </c>
      <c r="I54" s="213">
        <f>SUMPRODUCT((I11:I14=I14)*(H11:H14=H14)*(F11:F14&gt;F14))+1</f>
        <v>1</v>
      </c>
      <c r="T54" s="213" t="str">
        <f>IF(U14&lt;&gt;"",SUMPRODUCT((AB11:AB14=AB14)*(AA11:AA14=AA14)*(Y11:Y14=Y14)*(Z11:Z14=Z14)),"")</f>
        <v/>
      </c>
      <c r="U54" s="213" t="str">
        <f t="shared" si="78"/>
        <v/>
      </c>
      <c r="V54" s="213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213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213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213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213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213">
        <f>Y54-Z54+1000</f>
        <v>1000</v>
      </c>
      <c r="AB54" s="213" t="str">
        <f t="shared" si="77"/>
        <v/>
      </c>
      <c r="AC54" s="213" t="str">
        <f>IF(U54&lt;&gt;"",VLOOKUP(U54,B4:H40,7,FALSE),"")</f>
        <v/>
      </c>
      <c r="AD54" s="213" t="str">
        <f>IF(U54&lt;&gt;"",VLOOKUP(U54,B4:H40,5,FALSE),"")</f>
        <v/>
      </c>
      <c r="AE54" s="213" t="str">
        <f>IF(U54&lt;&gt;"",VLOOKUP(U54,B4:J40,9,FALSE),"")</f>
        <v/>
      </c>
      <c r="AF54" s="213" t="str">
        <f t="shared" si="79"/>
        <v/>
      </c>
      <c r="AG54" s="213" t="str">
        <f>IF(U54&lt;&gt;"",RANK(AF54,AF51:AF54),"")</f>
        <v/>
      </c>
      <c r="AH54" s="213" t="str">
        <f>IF(U54&lt;&gt;"",SUMPRODUCT((AF51:AF54=AF54)*(AA51:AA54&gt;AA54)),"")</f>
        <v/>
      </c>
      <c r="AI54" s="213" t="str">
        <f>IF(U54&lt;&gt;"",SUMPRODUCT((AF51:AF54=AF54)*(AA51:AA54=AA54)*(Y51:Y54&gt;Y54)),"")</f>
        <v/>
      </c>
      <c r="AJ54" s="213" t="str">
        <f>IF(U54&lt;&gt;"",SUMPRODUCT((AF51:AF54=AF54)*(AA51:AA54=AA54)*(Y51:Y54=Y54)*(AC51:AC54&gt;AC54)),"")</f>
        <v/>
      </c>
      <c r="AK54" s="213" t="str">
        <f>IF(U54&lt;&gt;"",SUMPRODUCT((AF51:AF54=AF54)*(AA51:AA54=AA54)*(Y51:Y54=Y54)*(AC51:AC54=AC54)*(AD51:AD54&gt;AD54)),"")</f>
        <v/>
      </c>
      <c r="AL54" s="213" t="str">
        <f>IF(U54&lt;&gt;"",SUMPRODUCT((AF51:AF54=AF54)*(AA51:AA54=AA54)*(Y51:Y54=Y54)*(AC51:AC54=AC54)*(AD51:AD54=AD54)*(AE51:AE54&gt;AE54)),"")</f>
        <v/>
      </c>
      <c r="AM54" s="213" t="str">
        <f t="shared" si="80"/>
        <v/>
      </c>
      <c r="AN54" s="213">
        <f>IF(AO14&lt;&gt;"",SUMPRODUCT((AV11:AV14=AV14)*(AU11:AU14=AU14)*(AS11:AS14=AS14)*(AT11:AT14=AT14)),"")</f>
        <v>1</v>
      </c>
      <c r="AO54" s="213" t="str">
        <f t="shared" si="81"/>
        <v/>
      </c>
      <c r="AP54" s="213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213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213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213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213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213">
        <f>AS54-AT54+1000</f>
        <v>1000</v>
      </c>
      <c r="AV54" s="213" t="str">
        <f t="shared" si="82"/>
        <v/>
      </c>
      <c r="AW54" s="213" t="str">
        <f>IF(AO54&lt;&gt;"",VLOOKUP(AO54,B4:H40,7,FALSE),"")</f>
        <v/>
      </c>
      <c r="AX54" s="213" t="str">
        <f>IF(AO54&lt;&gt;"",VLOOKUP(AO54,B4:H40,5,FALSE),"")</f>
        <v/>
      </c>
      <c r="AY54" s="213" t="str">
        <f>IF(AO54&lt;&gt;"",VLOOKUP(AO54,B4:J40,9,FALSE),"")</f>
        <v/>
      </c>
      <c r="AZ54" s="213" t="str">
        <f t="shared" si="83"/>
        <v/>
      </c>
      <c r="BA54" s="213" t="str">
        <f>IF(AO54&lt;&gt;"",RANK(AZ54,AZ51:AZ54),"")</f>
        <v/>
      </c>
      <c r="BB54" s="213" t="str">
        <f>IF(AO54&lt;&gt;"",SUMPRODUCT((AZ51:AZ54=AZ54)*(AU51:AU54&gt;AU54)),"")</f>
        <v/>
      </c>
      <c r="BC54" s="213" t="str">
        <f>IF(AO54&lt;&gt;"",SUMPRODUCT((AZ51:AZ54=AZ54)*(AU51:AU54=AU54)*(AS51:AS54&gt;AS54)),"")</f>
        <v/>
      </c>
      <c r="BD54" s="213" t="str">
        <f>IF(AO54&lt;&gt;"",SUMPRODUCT((AZ51:AZ54=AZ54)*(AU51:AU54=AU54)*(AS51:AS54=AS54)*(AW51:AW54&gt;AW54)),"")</f>
        <v/>
      </c>
      <c r="BE54" s="213" t="str">
        <f>IF(AO54&lt;&gt;"",SUMPRODUCT((AZ51:AZ54=AZ54)*(AU51:AU54=AU54)*(AS51:AS54=AS54)*(AW51:AW54=AW54)*(AX51:AX54&gt;AX54)),"")</f>
        <v/>
      </c>
      <c r="BF54" s="213" t="str">
        <f>IF(AO54&lt;&gt;"",SUMPRODUCT((AZ51:AZ54=AZ54)*(AU51:AU54=AU54)*(AS51:AS54=AS54)*(AW51:AW54=AW54)*(AX51:AX54=AX54)*(AY51:AY54&gt;AY54)),"")</f>
        <v/>
      </c>
      <c r="BG54" s="213" t="str">
        <f t="shared" si="84"/>
        <v/>
      </c>
    </row>
    <row r="55" spans="2:59" x14ac:dyDescent="0.15">
      <c r="C55" s="213" t="s">
        <v>103</v>
      </c>
    </row>
    <row r="56" spans="2:59" x14ac:dyDescent="0.15">
      <c r="C56" s="213" t="s">
        <v>104</v>
      </c>
    </row>
    <row r="57" spans="2:59" x14ac:dyDescent="0.15">
      <c r="C57" s="213" t="s">
        <v>105</v>
      </c>
      <c r="T57" s="213">
        <f>IF(U58="",SUM(AG18:AL18),IF(U59="",SUM(AG19:AL19),IF(U60="",SUM(AG20:AL20),IF(U61="",SUM(AG21:AL21),0))))</f>
        <v>0</v>
      </c>
      <c r="AN57" s="213">
        <f>IF(AO59="",SUM(BA19:BF19),IF(AO60="",SUM(BA20:BF20),IF(AO61="",SUM(BA21:BF21),0)))</f>
        <v>0</v>
      </c>
    </row>
    <row r="58" spans="2:59" x14ac:dyDescent="0.15">
      <c r="C58" s="213" t="s">
        <v>106</v>
      </c>
      <c r="I58" s="213">
        <f>SUMPRODUCT((I18:I21=I18)*(H18:H21=H18)*(F18:F21&gt;F18))+1</f>
        <v>1</v>
      </c>
      <c r="T58" s="213" t="str">
        <f>IF(U18&lt;&gt;"",SUMPRODUCT((AB18:AB21=AB18)*(AA18:AA21=AA18)*(Y18:Y21=Y18)*(Z18:Z21=Z18)),"")</f>
        <v/>
      </c>
      <c r="U58" s="213" t="str">
        <f>IF(AND(T58&lt;&gt;"",T58&gt;1),U18,"")</f>
        <v/>
      </c>
      <c r="V58" s="213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213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213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213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213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213">
        <f>Y58-Z58+1000</f>
        <v>1000</v>
      </c>
      <c r="AB58" s="213" t="str">
        <f>IF(U58&lt;&gt;"",V58*3+W58*1,"")</f>
        <v/>
      </c>
      <c r="AC58" s="213" t="str">
        <f>IF(U58&lt;&gt;"",VLOOKUP(U58,B4:H40,7,FALSE),"")</f>
        <v/>
      </c>
      <c r="AD58" s="213" t="str">
        <f>IF(U58&lt;&gt;"",VLOOKUP(U58,B4:H40,5,FALSE),"")</f>
        <v/>
      </c>
      <c r="AE58" s="213" t="str">
        <f>IF(U58&lt;&gt;"",VLOOKUP(U58,B4:J40,9,FALSE),"")</f>
        <v/>
      </c>
      <c r="AF58" s="213" t="str">
        <f>AB58</f>
        <v/>
      </c>
      <c r="AG58" s="213" t="str">
        <f>IF(U58&lt;&gt;"",RANK(AF58,AF58:AF61),"")</f>
        <v/>
      </c>
      <c r="AH58" s="213" t="str">
        <f>IF(U58&lt;&gt;"",SUMPRODUCT((AF58:AF61=AF58)*(AA58:AA61&gt;AA58)),"")</f>
        <v/>
      </c>
      <c r="AI58" s="213" t="str">
        <f>IF(U58&lt;&gt;"",SUMPRODUCT((AF58:AF61=AF58)*(AA58:AA61=AA58)*(Y58:Y61&gt;Y58)),"")</f>
        <v/>
      </c>
      <c r="AJ58" s="213" t="str">
        <f>IF(U58&lt;&gt;"",SUMPRODUCT((AF58:AF61=AF58)*(AA58:AA61=AA58)*(Y58:Y61=Y58)*(AC58:AC61&gt;AC58)),"")</f>
        <v/>
      </c>
      <c r="AK58" s="213" t="str">
        <f>IF(U58&lt;&gt;"",SUMPRODUCT((AF58:AF61=AF58)*(AA58:AA61=AA58)*(Y58:Y61=Y58)*(AC58:AC61=AC58)*(AD58:AD61&gt;AD58)),"")</f>
        <v/>
      </c>
      <c r="AL58" s="213" t="str">
        <f>IF(U58&lt;&gt;"",SUMPRODUCT((AF58:AF61=AF58)*(AA58:AA61=AA58)*(Y58:Y61=Y58)*(AC58:AC61=AC58)*(AD58:AD61=AD58)*(AE58:AE61&gt;AE58)),"")</f>
        <v/>
      </c>
      <c r="AM58" s="213" t="str">
        <f>IF(U58&lt;&gt;"",SUM(AG58:AL58),"")</f>
        <v/>
      </c>
    </row>
    <row r="59" spans="2:59" x14ac:dyDescent="0.15">
      <c r="C59" s="213" t="s">
        <v>107</v>
      </c>
      <c r="I59" s="213">
        <f>SUMPRODUCT((I18:I21=I19)*(H18:H21=H19)*(F18:F21&gt;F19))+1</f>
        <v>1</v>
      </c>
      <c r="T59" s="213" t="str">
        <f>IF(U19&lt;&gt;"",SUMPRODUCT((AB18:AB21=AB19)*(AA18:AA21=AA19)*(Y18:Y21=Y19)*(Z18:Z21=Z19)),"")</f>
        <v/>
      </c>
      <c r="U59" s="213" t="str">
        <f t="shared" ref="U59:U61" si="85">IF(AND(T59&lt;&gt;"",T59&gt;1),U19,"")</f>
        <v/>
      </c>
      <c r="V59" s="213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213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213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213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213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213">
        <f>Y59-Z59+1000</f>
        <v>1000</v>
      </c>
      <c r="AB59" s="213" t="str">
        <f t="shared" ref="AB59:AB61" si="86">IF(U59&lt;&gt;"",V59*3+W59*1,"")</f>
        <v/>
      </c>
      <c r="AC59" s="213" t="str">
        <f>IF(U59&lt;&gt;"",VLOOKUP(U59,B4:H40,7,FALSE),"")</f>
        <v/>
      </c>
      <c r="AD59" s="213" t="str">
        <f>IF(U59&lt;&gt;"",VLOOKUP(U59,B4:H40,5,FALSE),"")</f>
        <v/>
      </c>
      <c r="AE59" s="213" t="str">
        <f>IF(U59&lt;&gt;"",VLOOKUP(U59,B4:J40,9,FALSE),"")</f>
        <v/>
      </c>
      <c r="AF59" s="213" t="str">
        <f t="shared" ref="AF59:AF61" si="87">AB59</f>
        <v/>
      </c>
      <c r="AG59" s="213" t="str">
        <f>IF(U59&lt;&gt;"",RANK(AF59,AF58:AF61),"")</f>
        <v/>
      </c>
      <c r="AH59" s="213" t="str">
        <f>IF(U59&lt;&gt;"",SUMPRODUCT((AF58:AF61=AF59)*(AA58:AA61&gt;AA59)),"")</f>
        <v/>
      </c>
      <c r="AI59" s="213" t="str">
        <f>IF(U59&lt;&gt;"",SUMPRODUCT((AF58:AF61=AF59)*(AA58:AA61=AA59)*(Y58:Y61&gt;Y59)),"")</f>
        <v/>
      </c>
      <c r="AJ59" s="213" t="str">
        <f>IF(U59&lt;&gt;"",SUMPRODUCT((AF58:AF61=AF59)*(AA58:AA61=AA59)*(Y58:Y61=Y59)*(AC58:AC61&gt;AC59)),"")</f>
        <v/>
      </c>
      <c r="AK59" s="213" t="str">
        <f>IF(U59&lt;&gt;"",SUMPRODUCT((AF58:AF61=AF59)*(AA58:AA61=AA59)*(Y58:Y61=Y59)*(AC58:AC61=AC59)*(AD58:AD61&gt;AD59)),"")</f>
        <v/>
      </c>
      <c r="AL59" s="213" t="str">
        <f>IF(U59&lt;&gt;"",SUMPRODUCT((AF58:AF61=AF59)*(AA58:AA61=AA59)*(Y58:Y61=Y59)*(AC58:AC61=AC59)*(AD58:AD61=AD59)*(AE58:AE61&gt;AE59)),"")</f>
        <v/>
      </c>
      <c r="AM59" s="213" t="str">
        <f>IF(U59&lt;&gt;"",SUM(AG59:AL59),"")</f>
        <v/>
      </c>
      <c r="AN59" s="213" t="str">
        <f>IF(AO19&lt;&gt;"",SUMPRODUCT((AV18:AV21=AV19)*(AU18:AU21=AU19)*(AS18:AS21=AS19)*(AT18:AT21=AT19)),"")</f>
        <v/>
      </c>
      <c r="AO59" s="213" t="str">
        <f t="shared" ref="AO59:AO61" si="88">IF(AND(AN59&lt;&gt;"",AN59&gt;1),AO19,"")</f>
        <v/>
      </c>
      <c r="AP59" s="213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213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213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213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213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213">
        <f>AS59-AT59+1000</f>
        <v>1000</v>
      </c>
      <c r="AV59" s="213" t="str">
        <f t="shared" ref="AV59:AV61" si="89">IF(AO59&lt;&gt;"",AP59*3+AQ59*1,"")</f>
        <v/>
      </c>
      <c r="AW59" s="213" t="str">
        <f>IF(AO59&lt;&gt;"",VLOOKUP(AO59,B4:H40,7,FALSE),"")</f>
        <v/>
      </c>
      <c r="AX59" s="213" t="str">
        <f>IF(AO59&lt;&gt;"",VLOOKUP(AO59,B4:H40,5,FALSE),"")</f>
        <v/>
      </c>
      <c r="AY59" s="213" t="str">
        <f>IF(AO59&lt;&gt;"",VLOOKUP(AO59,B4:J40,9,FALSE),"")</f>
        <v/>
      </c>
      <c r="AZ59" s="213" t="str">
        <f t="shared" ref="AZ59:AZ61" si="90">AV59</f>
        <v/>
      </c>
      <c r="BA59" s="213" t="str">
        <f>IF(AO59&lt;&gt;"",RANK(AZ59,AZ58:AZ61),"")</f>
        <v/>
      </c>
      <c r="BB59" s="213" t="str">
        <f>IF(AO59&lt;&gt;"",SUMPRODUCT((AZ58:AZ61=AZ59)*(AU58:AU61&gt;AU59)),"")</f>
        <v/>
      </c>
      <c r="BC59" s="213" t="str">
        <f>IF(AO59&lt;&gt;"",SUMPRODUCT((AZ58:AZ61=AZ59)*(AU58:AU61=AU59)*(AS58:AS61&gt;AS59)),"")</f>
        <v/>
      </c>
      <c r="BD59" s="213" t="str">
        <f>IF(AO59&lt;&gt;"",SUMPRODUCT((AZ58:AZ61=AZ59)*(AU58:AU61=AU59)*(AS58:AS61=AS59)*(AW58:AW61&gt;AW59)),"")</f>
        <v/>
      </c>
      <c r="BE59" s="213" t="str">
        <f>IF(AO59&lt;&gt;"",SUMPRODUCT((AZ58:AZ61=AZ59)*(AU58:AU61=AU59)*(AS58:AS61=AS59)*(AW58:AW61=AW59)*(AX58:AX61&gt;AX59)),"")</f>
        <v/>
      </c>
      <c r="BF59" s="213" t="str">
        <f>IF(AO59&lt;&gt;"",SUMPRODUCT((AZ58:AZ61=AZ59)*(AU58:AU61=AU59)*(AS58:AS61=AS59)*(AW58:AW61=AW59)*(AX58:AX61=AX59)*(AY58:AY61&gt;AY59)),"")</f>
        <v/>
      </c>
      <c r="BG59" s="213" t="str">
        <f>IF(AO59&lt;&gt;"",SUM(BA59:BF59)+1,"")</f>
        <v/>
      </c>
    </row>
    <row r="60" spans="2:59" x14ac:dyDescent="0.15">
      <c r="I60" s="213">
        <f>SUMPRODUCT((I18:I21=I20)*(H18:H21=H20)*(F18:F21&gt;F20))+1</f>
        <v>1</v>
      </c>
      <c r="T60" s="213" t="str">
        <f>IF(U20&lt;&gt;"",SUMPRODUCT((AB18:AB21=AB20)*(AA18:AA21=AA20)*(Y18:Y21=Y20)*(Z18:Z21=Z20)),"")</f>
        <v/>
      </c>
      <c r="U60" s="213" t="str">
        <f t="shared" si="85"/>
        <v/>
      </c>
      <c r="V60" s="213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213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213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213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213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213">
        <f>Y60-Z60+1000</f>
        <v>1000</v>
      </c>
      <c r="AB60" s="213" t="str">
        <f t="shared" si="86"/>
        <v/>
      </c>
      <c r="AC60" s="213" t="str">
        <f>IF(U60&lt;&gt;"",VLOOKUP(U60,B4:H40,7,FALSE),"")</f>
        <v/>
      </c>
      <c r="AD60" s="213" t="str">
        <f>IF(U60&lt;&gt;"",VLOOKUP(U60,B4:H40,5,FALSE),"")</f>
        <v/>
      </c>
      <c r="AE60" s="213" t="str">
        <f>IF(U60&lt;&gt;"",VLOOKUP(U60,B4:J40,9,FALSE),"")</f>
        <v/>
      </c>
      <c r="AF60" s="213" t="str">
        <f t="shared" si="87"/>
        <v/>
      </c>
      <c r="AG60" s="213" t="str">
        <f>IF(U60&lt;&gt;"",RANK(AF60,AF58:AF61),"")</f>
        <v/>
      </c>
      <c r="AH60" s="213" t="str">
        <f>IF(U60&lt;&gt;"",SUMPRODUCT((AF58:AF61=AF60)*(AA58:AA61&gt;AA60)),"")</f>
        <v/>
      </c>
      <c r="AI60" s="213" t="str">
        <f>IF(U60&lt;&gt;"",SUMPRODUCT((AF58:AF61=AF60)*(AA58:AA61=AA60)*(Y58:Y61&gt;Y60)),"")</f>
        <v/>
      </c>
      <c r="AJ60" s="213" t="str">
        <f>IF(U60&lt;&gt;"",SUMPRODUCT((AF58:AF61=AF60)*(AA58:AA61=AA60)*(Y58:Y61=Y60)*(AC58:AC61&gt;AC60)),"")</f>
        <v/>
      </c>
      <c r="AK60" s="213" t="str">
        <f>IF(U60&lt;&gt;"",SUMPRODUCT((AF58:AF61=AF60)*(AA58:AA61=AA60)*(Y58:Y61=Y60)*(AC58:AC61=AC60)*(AD58:AD61&gt;AD60)),"")</f>
        <v/>
      </c>
      <c r="AL60" s="213" t="str">
        <f>IF(U60&lt;&gt;"",SUMPRODUCT((AF58:AF61=AF60)*(AA58:AA61=AA60)*(Y58:Y61=Y60)*(AC58:AC61=AC60)*(AD58:AD61=AD60)*(AE58:AE61&gt;AE60)),"")</f>
        <v/>
      </c>
      <c r="AM60" s="213" t="str">
        <f>IF(U60&lt;&gt;"",SUM(AG60:AL60),"")</f>
        <v/>
      </c>
      <c r="AN60" s="213" t="str">
        <f>IF(AO20&lt;&gt;"",SUMPRODUCT((AV18:AV21=AV20)*(AU18:AU21=AU20)*(AS18:AS21=AS20)*(AT18:AT21=AT20)),"")</f>
        <v/>
      </c>
      <c r="AO60" s="213" t="str">
        <f t="shared" si="88"/>
        <v/>
      </c>
      <c r="AP60" s="213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213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213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213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213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213">
        <f>AS60-AT60+1000</f>
        <v>1000</v>
      </c>
      <c r="AV60" s="213" t="str">
        <f t="shared" si="89"/>
        <v/>
      </c>
      <c r="AW60" s="213" t="str">
        <f>IF(AO60&lt;&gt;"",VLOOKUP(AO60,B4:H40,7,FALSE),"")</f>
        <v/>
      </c>
      <c r="AX60" s="213" t="str">
        <f>IF(AO60&lt;&gt;"",VLOOKUP(AO60,B4:H40,5,FALSE),"")</f>
        <v/>
      </c>
      <c r="AY60" s="213" t="str">
        <f>IF(AO60&lt;&gt;"",VLOOKUP(AO60,B4:J40,9,FALSE),"")</f>
        <v/>
      </c>
      <c r="AZ60" s="213" t="str">
        <f t="shared" si="90"/>
        <v/>
      </c>
      <c r="BA60" s="213" t="str">
        <f>IF(AO60&lt;&gt;"",RANK(AZ60,AZ58:AZ61),"")</f>
        <v/>
      </c>
      <c r="BB60" s="213" t="str">
        <f>IF(AO60&lt;&gt;"",SUMPRODUCT((AZ58:AZ61=AZ60)*(AU58:AU61&gt;AU60)),"")</f>
        <v/>
      </c>
      <c r="BC60" s="213" t="str">
        <f>IF(AO60&lt;&gt;"",SUMPRODUCT((AZ58:AZ61=AZ60)*(AU58:AU61=AU60)*(AS58:AS61&gt;AS60)),"")</f>
        <v/>
      </c>
      <c r="BD60" s="213" t="str">
        <f>IF(AO60&lt;&gt;"",SUMPRODUCT((AZ58:AZ61=AZ60)*(AU58:AU61=AU60)*(AS58:AS61=AS60)*(AW58:AW61&gt;AW60)),"")</f>
        <v/>
      </c>
      <c r="BE60" s="213" t="str">
        <f>IF(AO60&lt;&gt;"",SUMPRODUCT((AZ58:AZ61=AZ60)*(AU58:AU61=AU60)*(AS58:AS61=AS60)*(AW58:AW61=AW60)*(AX58:AX61&gt;AX60)),"")</f>
        <v/>
      </c>
      <c r="BF60" s="213" t="str">
        <f>IF(AO60&lt;&gt;"",SUMPRODUCT((AZ58:AZ61=AZ60)*(AU58:AU61=AU60)*(AS58:AS61=AS60)*(AW58:AW61=AW60)*(AX58:AX61=AX60)*(AY58:AY61&gt;AY60)),"")</f>
        <v/>
      </c>
      <c r="BG60" s="213" t="str">
        <f t="shared" ref="BG60:BG61" si="91">IF(AO60&lt;&gt;"",SUM(BA60:BF60)+1,"")</f>
        <v/>
      </c>
    </row>
    <row r="61" spans="2:59" x14ac:dyDescent="0.15">
      <c r="I61" s="213">
        <f>SUMPRODUCT((I18:I21=I21)*(H18:H21=H21)*(F18:F21&gt;F21))+1</f>
        <v>1</v>
      </c>
      <c r="T61" s="213" t="str">
        <f>IF(U21&lt;&gt;"",SUMPRODUCT((AB18:AB21=AB21)*(AA18:AA21=AA21)*(Y18:Y21=Y21)*(Z18:Z21=Z21)),"")</f>
        <v/>
      </c>
      <c r="U61" s="213" t="str">
        <f t="shared" si="85"/>
        <v/>
      </c>
      <c r="V61" s="213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213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213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213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213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213">
        <f>Y61-Z61+1000</f>
        <v>1000</v>
      </c>
      <c r="AB61" s="213" t="str">
        <f t="shared" si="86"/>
        <v/>
      </c>
      <c r="AC61" s="213" t="str">
        <f>IF(U61&lt;&gt;"",VLOOKUP(U61,B4:H40,7,FALSE),"")</f>
        <v/>
      </c>
      <c r="AD61" s="213" t="str">
        <f>IF(U61&lt;&gt;"",VLOOKUP(U61,B4:H40,5,FALSE),"")</f>
        <v/>
      </c>
      <c r="AE61" s="213" t="str">
        <f>IF(U61&lt;&gt;"",VLOOKUP(U61,B4:J40,9,FALSE),"")</f>
        <v/>
      </c>
      <c r="AF61" s="213" t="str">
        <f t="shared" si="87"/>
        <v/>
      </c>
      <c r="AG61" s="213" t="str">
        <f>IF(U61&lt;&gt;"",RANK(AF61,AF58:AF61),"")</f>
        <v/>
      </c>
      <c r="AH61" s="213" t="str">
        <f>IF(U61&lt;&gt;"",SUMPRODUCT((AF58:AF61=AF61)*(AA58:AA61&gt;AA61)),"")</f>
        <v/>
      </c>
      <c r="AI61" s="213" t="str">
        <f>IF(U61&lt;&gt;"",SUMPRODUCT((AF58:AF61=AF61)*(AA58:AA61=AA61)*(Y58:Y61&gt;Y61)),"")</f>
        <v/>
      </c>
      <c r="AJ61" s="213" t="str">
        <f>IF(U61&lt;&gt;"",SUMPRODUCT((AF58:AF61=AF61)*(AA58:AA61=AA61)*(Y58:Y61=Y61)*(AC58:AC61&gt;AC61)),"")</f>
        <v/>
      </c>
      <c r="AK61" s="213" t="str">
        <f>IF(U61&lt;&gt;"",SUMPRODUCT((AF58:AF61=AF61)*(AA58:AA61=AA61)*(Y58:Y61=Y61)*(AC58:AC61=AC61)*(AD58:AD61&gt;AD61)),"")</f>
        <v/>
      </c>
      <c r="AL61" s="213" t="str">
        <f>IF(U61&lt;&gt;"",SUMPRODUCT((AF58:AF61=AF61)*(AA58:AA61=AA61)*(Y58:Y61=Y61)*(AC58:AC61=AC61)*(AD58:AD61=AD61)*(AE58:AE61&gt;AE61)),"")</f>
        <v/>
      </c>
      <c r="AM61" s="213" t="str">
        <f>IF(U61&lt;&gt;"",SUM(AG61:AL61),"")</f>
        <v/>
      </c>
      <c r="AN61" s="213" t="str">
        <f>IF(AO21&lt;&gt;"",SUMPRODUCT((AV18:AV21=AV21)*(AU18:AU21=AU21)*(AS18:AS21=AS21)*(AT18:AT21=AT21)),"")</f>
        <v/>
      </c>
      <c r="AO61" s="213" t="str">
        <f t="shared" si="88"/>
        <v/>
      </c>
      <c r="AP61" s="213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213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213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213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213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213">
        <f>AS61-AT61+1000</f>
        <v>1000</v>
      </c>
      <c r="AV61" s="213" t="str">
        <f t="shared" si="89"/>
        <v/>
      </c>
      <c r="AW61" s="213" t="str">
        <f>IF(AO61&lt;&gt;"",VLOOKUP(AO61,B4:H40,7,FALSE),"")</f>
        <v/>
      </c>
      <c r="AX61" s="213" t="str">
        <f>IF(AO61&lt;&gt;"",VLOOKUP(AO61,B4:H40,5,FALSE),"")</f>
        <v/>
      </c>
      <c r="AY61" s="213" t="str">
        <f>IF(AO61&lt;&gt;"",VLOOKUP(AO61,B4:J40,9,FALSE),"")</f>
        <v/>
      </c>
      <c r="AZ61" s="213" t="str">
        <f t="shared" si="90"/>
        <v/>
      </c>
      <c r="BA61" s="213" t="str">
        <f>IF(AO61&lt;&gt;"",RANK(AZ61,AZ58:AZ61),"")</f>
        <v/>
      </c>
      <c r="BB61" s="213" t="str">
        <f>IF(AO61&lt;&gt;"",SUMPRODUCT((AZ58:AZ61=AZ61)*(AU58:AU61&gt;AU61)),"")</f>
        <v/>
      </c>
      <c r="BC61" s="213" t="str">
        <f>IF(AO61&lt;&gt;"",SUMPRODUCT((AZ58:AZ61=AZ61)*(AU58:AU61=AU61)*(AS58:AS61&gt;AS61)),"")</f>
        <v/>
      </c>
      <c r="BD61" s="213" t="str">
        <f>IF(AO61&lt;&gt;"",SUMPRODUCT((AZ58:AZ61=AZ61)*(AU58:AU61=AU61)*(AS58:AS61=AS61)*(AW58:AW61&gt;AW61)),"")</f>
        <v/>
      </c>
      <c r="BE61" s="213" t="str">
        <f>IF(AO61&lt;&gt;"",SUMPRODUCT((AZ58:AZ61=AZ61)*(AU58:AU61=AU61)*(AS58:AS61=AS61)*(AW58:AW61=AW61)*(AX58:AX61&gt;AX61)),"")</f>
        <v/>
      </c>
      <c r="BF61" s="213" t="str">
        <f>IF(AO61&lt;&gt;"",SUMPRODUCT((AZ58:AZ61=AZ61)*(AU58:AU61=AU61)*(AS58:AS61=AS61)*(AW58:AW61=AW61)*(AX58:AX61=AX61)*(AY58:AY61&gt;AY61)),"")</f>
        <v/>
      </c>
      <c r="BG61" s="213" t="str">
        <f t="shared" si="91"/>
        <v/>
      </c>
    </row>
    <row r="64" spans="2:59" x14ac:dyDescent="0.15">
      <c r="T64" s="213">
        <f>IF(U65="",SUM(AG25:AL25),IF(U66="",SUM(AG26:AL26),IF(U67="",SUM(AG27:AL27),IF(U68="",SUM(AG28:AL28),0))))</f>
        <v>0</v>
      </c>
      <c r="AN64" s="213">
        <f>IF(AO66="",SUM(BA26:BF26),IF(AO67="",SUM(BA27:BF27),IF(AO68="",SUM(BA28:BF28),0)))</f>
        <v>0</v>
      </c>
    </row>
    <row r="65" spans="9:59" x14ac:dyDescent="0.15">
      <c r="I65" s="213">
        <f>SUMPRODUCT((I25:I28=I25)*(H25:H28=H25)*(F25:F28&gt;F25))+1</f>
        <v>1</v>
      </c>
      <c r="T65" s="213" t="str">
        <f>IF(U25&lt;&gt;"",SUMPRODUCT((AB25:AB28=AB25)*(AA25:AA28=AA25)*(Y25:Y28=Y25)*(Z25:Z28=Z25)),"")</f>
        <v/>
      </c>
      <c r="U65" s="213" t="str">
        <f>IF(AND(T65&lt;&gt;"",T65&gt;1),U25,"")</f>
        <v/>
      </c>
      <c r="V65" s="213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213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213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213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213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213">
        <f>Y65-Z65+1000</f>
        <v>1000</v>
      </c>
      <c r="AB65" s="213" t="str">
        <f>IF(U65&lt;&gt;"",V65*3+W65*1,"")</f>
        <v/>
      </c>
      <c r="AC65" s="213" t="str">
        <f>IF(U65&lt;&gt;"",VLOOKUP(U65,B4:H40,7,FALSE),"")</f>
        <v/>
      </c>
      <c r="AD65" s="213" t="str">
        <f>IF(U65&lt;&gt;"",VLOOKUP(U65,B4:H40,5,FALSE),"")</f>
        <v/>
      </c>
      <c r="AE65" s="213" t="str">
        <f>IF(U65&lt;&gt;"",VLOOKUP(U65,B4:J40,9,FALSE),"")</f>
        <v/>
      </c>
      <c r="AF65" s="213" t="str">
        <f>AB65</f>
        <v/>
      </c>
      <c r="AG65" s="213" t="str">
        <f>IF(U65&lt;&gt;"",RANK(AF65,AF65:AF68),"")</f>
        <v/>
      </c>
      <c r="AH65" s="213" t="str">
        <f>IF(U65&lt;&gt;"",SUMPRODUCT((AF65:AF68=AF65)*(AA65:AA68&gt;AA65)),"")</f>
        <v/>
      </c>
      <c r="AI65" s="213" t="str">
        <f>IF(U65&lt;&gt;"",SUMPRODUCT((AF65:AF68=AF65)*(AA65:AA68=AA65)*(Y65:Y68&gt;Y65)),"")</f>
        <v/>
      </c>
      <c r="AJ65" s="213" t="str">
        <f>IF(U65&lt;&gt;"",SUMPRODUCT((AF65:AF68=AF65)*(AA65:AA68=AA65)*(Y65:Y68=Y65)*(AC65:AC68&gt;AC65)),"")</f>
        <v/>
      </c>
      <c r="AK65" s="213" t="str">
        <f>IF(U65&lt;&gt;"",SUMPRODUCT((AF65:AF68=AF65)*(AA65:AA68=AA65)*(Y65:Y68=Y65)*(AC65:AC68=AC65)*(AD65:AD68&gt;AD65)),"")</f>
        <v/>
      </c>
      <c r="AL65" s="213" t="str">
        <f>IF(U65&lt;&gt;"",SUMPRODUCT((AF65:AF68=AF65)*(AA65:AA68=AA65)*(Y65:Y68=Y65)*(AC65:AC68=AC65)*(AD65:AD68=AD65)*(AE65:AE68&gt;AE65)),"")</f>
        <v/>
      </c>
      <c r="AM65" s="213" t="str">
        <f>IF(U65&lt;&gt;"",SUM(AG65:AL65),"")</f>
        <v/>
      </c>
    </row>
    <row r="66" spans="9:59" x14ac:dyDescent="0.15">
      <c r="I66" s="213">
        <f>SUMPRODUCT((I25:I28=I26)*(H25:H28=H26)*(F25:F28&gt;F26))+1</f>
        <v>2</v>
      </c>
      <c r="T66" s="213" t="str">
        <f>IF(U26&lt;&gt;"",SUMPRODUCT((AB25:AB28=AB26)*(AA25:AA28=AA26)*(Y25:Y28=Y26)*(Z25:Z28=Z26)),"")</f>
        <v/>
      </c>
      <c r="U66" s="213" t="str">
        <f t="shared" ref="U66:U68" si="92">IF(AND(T66&lt;&gt;"",T66&gt;1),U26,"")</f>
        <v/>
      </c>
      <c r="V66" s="213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213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213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213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213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213">
        <f>Y66-Z66+1000</f>
        <v>1000</v>
      </c>
      <c r="AB66" s="213" t="str">
        <f t="shared" ref="AB66:AB68" si="93">IF(U66&lt;&gt;"",V66*3+W66*1,"")</f>
        <v/>
      </c>
      <c r="AC66" s="213" t="str">
        <f>IF(U66&lt;&gt;"",VLOOKUP(U66,B4:H40,7,FALSE),"")</f>
        <v/>
      </c>
      <c r="AD66" s="213" t="str">
        <f>IF(U66&lt;&gt;"",VLOOKUP(U66,B4:H40,5,FALSE),"")</f>
        <v/>
      </c>
      <c r="AE66" s="213" t="str">
        <f>IF(U66&lt;&gt;"",VLOOKUP(U66,B4:J40,9,FALSE),"")</f>
        <v/>
      </c>
      <c r="AF66" s="213" t="str">
        <f t="shared" ref="AF66:AF68" si="94">AB66</f>
        <v/>
      </c>
      <c r="AG66" s="213" t="str">
        <f>IF(U66&lt;&gt;"",RANK(AF66,AF65:AF68),"")</f>
        <v/>
      </c>
      <c r="AH66" s="213" t="str">
        <f>IF(U66&lt;&gt;"",SUMPRODUCT((AF65:AF68=AF66)*(AA65:AA68&gt;AA66)),"")</f>
        <v/>
      </c>
      <c r="AI66" s="213" t="str">
        <f>IF(U66&lt;&gt;"",SUMPRODUCT((AF65:AF68=AF66)*(AA65:AA68=AA66)*(Y65:Y68&gt;Y66)),"")</f>
        <v/>
      </c>
      <c r="AJ66" s="213" t="str">
        <f>IF(U66&lt;&gt;"",SUMPRODUCT((AF65:AF68=AF66)*(AA65:AA68=AA66)*(Y65:Y68=Y66)*(AC65:AC68&gt;AC66)),"")</f>
        <v/>
      </c>
      <c r="AK66" s="213" t="str">
        <f>IF(U66&lt;&gt;"",SUMPRODUCT((AF65:AF68=AF66)*(AA65:AA68=AA66)*(Y65:Y68=Y66)*(AC65:AC68=AC66)*(AD65:AD68&gt;AD66)),"")</f>
        <v/>
      </c>
      <c r="AL66" s="213" t="str">
        <f>IF(U66&lt;&gt;"",SUMPRODUCT((AF65:AF68=AF66)*(AA65:AA68=AA66)*(Y65:Y68=Y66)*(AC65:AC68=AC66)*(AD65:AD68=AD66)*(AE65:AE68&gt;AE66)),"")</f>
        <v/>
      </c>
      <c r="AM66" s="213" t="str">
        <f>IF(U66&lt;&gt;"",SUM(AG66:AL66),"")</f>
        <v/>
      </c>
      <c r="AN66" s="213">
        <f>IF(AO26&lt;&gt;"",SUMPRODUCT((AV25:AV28=AV26)*(AU25:AU28=AU26)*(AS25:AS28=AS26)*(AT25:AT28=AT26)),"")</f>
        <v>2</v>
      </c>
      <c r="AO66" s="213" t="str">
        <f t="shared" ref="AO66:AO68" si="95">IF(AND(AN66&lt;&gt;"",AN66&gt;1),AO26,"")</f>
        <v>Czech Republic</v>
      </c>
      <c r="AP66" s="213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213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1</v>
      </c>
      <c r="AR66" s="213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213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1</v>
      </c>
      <c r="AT66" s="213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1</v>
      </c>
      <c r="AU66" s="213">
        <f>AS66-AT66+1000</f>
        <v>1000</v>
      </c>
      <c r="AV66" s="213">
        <f t="shared" ref="AV66:AV68" si="96">IF(AO66&lt;&gt;"",AP66*3+AQ66*1,"")</f>
        <v>1</v>
      </c>
      <c r="AW66" s="213">
        <f>IF(AO66&lt;&gt;"",VLOOKUP(AO66,B4:H40,7,FALSE),"")</f>
        <v>1001</v>
      </c>
      <c r="AX66" s="213">
        <f>IF(AO66&lt;&gt;"",VLOOKUP(AO66,B4:H40,5,FALSE),"")</f>
        <v>3</v>
      </c>
      <c r="AY66" s="213">
        <f>IF(AO66&lt;&gt;"",VLOOKUP(AO66,B4:J40,9,FALSE),"")</f>
        <v>38</v>
      </c>
      <c r="AZ66" s="213">
        <f t="shared" ref="AZ66:AZ68" si="97">AV66</f>
        <v>1</v>
      </c>
      <c r="BA66" s="213">
        <f>IF(AO66&lt;&gt;"",RANK(AZ66,AZ65:AZ68),"")</f>
        <v>1</v>
      </c>
      <c r="BB66" s="213">
        <f>IF(AO66&lt;&gt;"",SUMPRODUCT((AZ65:AZ68=AZ66)*(AU65:AU68&gt;AU66)),"")</f>
        <v>0</v>
      </c>
      <c r="BC66" s="213">
        <f>IF(AO66&lt;&gt;"",SUMPRODUCT((AZ65:AZ68=AZ66)*(AU65:AU68=AU66)*(AS65:AS68&gt;AS66)),"")</f>
        <v>0</v>
      </c>
      <c r="BD66" s="213">
        <f>IF(AO66&lt;&gt;"",SUMPRODUCT((AZ65:AZ68=AZ66)*(AU65:AU68=AU66)*(AS65:AS68=AS66)*(AW65:AW68&gt;AW66)),"")</f>
        <v>0</v>
      </c>
      <c r="BE66" s="213">
        <f>IF(AO66&lt;&gt;"",SUMPRODUCT((AZ65:AZ68=AZ66)*(AU65:AU68=AU66)*(AS65:AS68=AS66)*(AW65:AW68=AW66)*(AX65:AX68&gt;AX66)),"")</f>
        <v>1</v>
      </c>
      <c r="BF66" s="213">
        <f>IF(AO66&lt;&gt;"",SUMPRODUCT((AZ65:AZ68=AZ66)*(AU65:AU68=AU66)*(AS65:AS68=AS66)*(AW65:AW68=AW66)*(AX65:AX68=AX66)*(AY65:AY68&gt;AY66)),"")</f>
        <v>0</v>
      </c>
      <c r="BG66" s="213">
        <f>IF(AO66&lt;&gt;"",SUM(BA66:BF66)+1,"")</f>
        <v>3</v>
      </c>
    </row>
    <row r="67" spans="9:59" x14ac:dyDescent="0.15">
      <c r="I67" s="213">
        <f>SUMPRODUCT((I25:I28=I27)*(H25:H28=H27)*(F25:F28&gt;F27))+1</f>
        <v>1</v>
      </c>
      <c r="T67" s="213" t="str">
        <f>IF(U27&lt;&gt;"",SUMPRODUCT((AB25:AB28=AB27)*(AA25:AA28=AA27)*(Y25:Y28=Y27)*(Z25:Z28=Z27)),"")</f>
        <v/>
      </c>
      <c r="U67" s="213" t="str">
        <f t="shared" si="92"/>
        <v/>
      </c>
      <c r="V67" s="213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213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213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213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213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213">
        <f>Y67-Z67+1000</f>
        <v>1000</v>
      </c>
      <c r="AB67" s="213" t="str">
        <f t="shared" si="93"/>
        <v/>
      </c>
      <c r="AC67" s="213" t="str">
        <f>IF(U67&lt;&gt;"",VLOOKUP(U67,B4:H40,7,FALSE),"")</f>
        <v/>
      </c>
      <c r="AD67" s="213" t="str">
        <f>IF(U67&lt;&gt;"",VLOOKUP(U67,B4:H40,5,FALSE),"")</f>
        <v/>
      </c>
      <c r="AE67" s="213" t="str">
        <f>IF(U67&lt;&gt;"",VLOOKUP(U67,B4:J40,9,FALSE),"")</f>
        <v/>
      </c>
      <c r="AF67" s="213" t="str">
        <f t="shared" si="94"/>
        <v/>
      </c>
      <c r="AG67" s="213" t="str">
        <f>IF(U67&lt;&gt;"",RANK(AF67,AF65:AF68),"")</f>
        <v/>
      </c>
      <c r="AH67" s="213" t="str">
        <f>IF(U67&lt;&gt;"",SUMPRODUCT((AF65:AF68=AF67)*(AA65:AA68&gt;AA67)),"")</f>
        <v/>
      </c>
      <c r="AI67" s="213" t="str">
        <f>IF(U67&lt;&gt;"",SUMPRODUCT((AF65:AF68=AF67)*(AA65:AA68=AA67)*(Y65:Y68&gt;Y67)),"")</f>
        <v/>
      </c>
      <c r="AJ67" s="213" t="str">
        <f>IF(U67&lt;&gt;"",SUMPRODUCT((AF65:AF68=AF67)*(AA65:AA68=AA67)*(Y65:Y68=Y67)*(AC65:AC68&gt;AC67)),"")</f>
        <v/>
      </c>
      <c r="AK67" s="213" t="str">
        <f>IF(U67&lt;&gt;"",SUMPRODUCT((AF65:AF68=AF67)*(AA65:AA68=AA67)*(Y65:Y68=Y67)*(AC65:AC68=AC67)*(AD65:AD68&gt;AD67)),"")</f>
        <v/>
      </c>
      <c r="AL67" s="213" t="str">
        <f>IF(U67&lt;&gt;"",SUMPRODUCT((AF65:AF68=AF67)*(AA65:AA68=AA67)*(Y65:Y68=Y67)*(AC65:AC68=AC67)*(AD65:AD68=AD67)*(AE65:AE68&gt;AE67)),"")</f>
        <v/>
      </c>
      <c r="AM67" s="213" t="str">
        <f>IF(U67&lt;&gt;"",SUM(AG67:AL67),"")</f>
        <v/>
      </c>
      <c r="AN67" s="213">
        <f>IF(AO27&lt;&gt;"",SUMPRODUCT((AV25:AV28=AV27)*(AU25:AU28=AU27)*(AS25:AS28=AS27)*(AT25:AT28=AT27)),"")</f>
        <v>2</v>
      </c>
      <c r="AO67" s="213" t="str">
        <f t="shared" si="95"/>
        <v>Croatia</v>
      </c>
      <c r="AP67" s="213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213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1</v>
      </c>
      <c r="AR67" s="213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213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1</v>
      </c>
      <c r="AT67" s="213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1</v>
      </c>
      <c r="AU67" s="213">
        <f>AS67-AT67+1000</f>
        <v>1000</v>
      </c>
      <c r="AV67" s="213">
        <f t="shared" si="96"/>
        <v>1</v>
      </c>
      <c r="AW67" s="213">
        <f>IF(AO67&lt;&gt;"",VLOOKUP(AO67,B4:H40,7,FALSE),"")</f>
        <v>1001</v>
      </c>
      <c r="AX67" s="213">
        <f>IF(AO67&lt;&gt;"",VLOOKUP(AO67,B4:H40,5,FALSE),"")</f>
        <v>4</v>
      </c>
      <c r="AY67" s="213">
        <f>IF(AO67&lt;&gt;"",VLOOKUP(AO67,B4:J40,9,FALSE),"")</f>
        <v>46</v>
      </c>
      <c r="AZ67" s="213">
        <f t="shared" si="97"/>
        <v>1</v>
      </c>
      <c r="BA67" s="213">
        <f>IF(AO67&lt;&gt;"",RANK(AZ67,AZ65:AZ68),"")</f>
        <v>1</v>
      </c>
      <c r="BB67" s="213">
        <f>IF(AO67&lt;&gt;"",SUMPRODUCT((AZ65:AZ68=AZ67)*(AU65:AU68&gt;AU67)),"")</f>
        <v>0</v>
      </c>
      <c r="BC67" s="213">
        <f>IF(AO67&lt;&gt;"",SUMPRODUCT((AZ65:AZ68=AZ67)*(AU65:AU68=AU67)*(AS65:AS68&gt;AS67)),"")</f>
        <v>0</v>
      </c>
      <c r="BD67" s="213">
        <f>IF(AO67&lt;&gt;"",SUMPRODUCT((AZ65:AZ68=AZ67)*(AU65:AU68=AU67)*(AS65:AS68=AS67)*(AW65:AW68&gt;AW67)),"")</f>
        <v>0</v>
      </c>
      <c r="BE67" s="213">
        <f>IF(AO67&lt;&gt;"",SUMPRODUCT((AZ65:AZ68=AZ67)*(AU65:AU68=AU67)*(AS65:AS68=AS67)*(AW65:AW68=AW67)*(AX65:AX68&gt;AX67)),"")</f>
        <v>0</v>
      </c>
      <c r="BF67" s="213">
        <f>IF(AO67&lt;&gt;"",SUMPRODUCT((AZ65:AZ68=AZ67)*(AU65:AU68=AU67)*(AS65:AS68=AS67)*(AW65:AW68=AW67)*(AX65:AX68=AX67)*(AY65:AY68&gt;AY67)),"")</f>
        <v>0</v>
      </c>
      <c r="BG67" s="213">
        <f t="shared" ref="BG67:BG68" si="98">IF(AO67&lt;&gt;"",SUM(BA67:BF67)+1,"")</f>
        <v>2</v>
      </c>
    </row>
    <row r="68" spans="9:59" x14ac:dyDescent="0.15">
      <c r="I68" s="213">
        <f>SUMPRODUCT((I25:I28=I28)*(H25:H28=H28)*(F25:F28&gt;F28))+1</f>
        <v>1</v>
      </c>
      <c r="T68" s="213" t="str">
        <f>IF(U28&lt;&gt;"",SUMPRODUCT((AB25:AB28=AB28)*(AA25:AA28=AA28)*(Y25:Y28=Y28)*(Z25:Z28=Z28)),"")</f>
        <v/>
      </c>
      <c r="U68" s="213" t="str">
        <f t="shared" si="92"/>
        <v/>
      </c>
      <c r="V68" s="213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213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213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213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213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213">
        <f>Y68-Z68+1000</f>
        <v>1000</v>
      </c>
      <c r="AB68" s="213" t="str">
        <f t="shared" si="93"/>
        <v/>
      </c>
      <c r="AC68" s="213" t="str">
        <f>IF(U68&lt;&gt;"",VLOOKUP(U68,B4:H40,7,FALSE),"")</f>
        <v/>
      </c>
      <c r="AD68" s="213" t="str">
        <f>IF(U68&lt;&gt;"",VLOOKUP(U68,B4:H40,5,FALSE),"")</f>
        <v/>
      </c>
      <c r="AE68" s="213" t="str">
        <f>IF(U68&lt;&gt;"",VLOOKUP(U68,B4:J40,9,FALSE),"")</f>
        <v/>
      </c>
      <c r="AF68" s="213" t="str">
        <f t="shared" si="94"/>
        <v/>
      </c>
      <c r="AG68" s="213" t="str">
        <f>IF(U68&lt;&gt;"",RANK(AF68,AF65:AF68),"")</f>
        <v/>
      </c>
      <c r="AH68" s="213" t="str">
        <f>IF(U68&lt;&gt;"",SUMPRODUCT((AF65:AF68=AF68)*(AA65:AA68&gt;AA68)),"")</f>
        <v/>
      </c>
      <c r="AI68" s="213" t="str">
        <f>IF(U68&lt;&gt;"",SUMPRODUCT((AF65:AF68=AF68)*(AA65:AA68=AA68)*(Y65:Y68&gt;Y68)),"")</f>
        <v/>
      </c>
      <c r="AJ68" s="213" t="str">
        <f>IF(U68&lt;&gt;"",SUMPRODUCT((AF65:AF68=AF68)*(AA65:AA68=AA68)*(Y65:Y68=Y68)*(AC65:AC68&gt;AC68)),"")</f>
        <v/>
      </c>
      <c r="AK68" s="213" t="str">
        <f>IF(U68&lt;&gt;"",SUMPRODUCT((AF65:AF68=AF68)*(AA65:AA68=AA68)*(Y65:Y68=Y68)*(AC65:AC68=AC68)*(AD65:AD68&gt;AD68)),"")</f>
        <v/>
      </c>
      <c r="AL68" s="213" t="str">
        <f>IF(U68&lt;&gt;"",SUMPRODUCT((AF65:AF68=AF68)*(AA65:AA68=AA68)*(Y65:Y68=Y68)*(AC65:AC68=AC68)*(AD65:AD68=AD68)*(AE65:AE68&gt;AE68)),"")</f>
        <v/>
      </c>
      <c r="AM68" s="213" t="str">
        <f>IF(U68&lt;&gt;"",SUM(AG68:AL68),"")</f>
        <v/>
      </c>
      <c r="AN68" s="213" t="str">
        <f>IF(AO28&lt;&gt;"",SUMPRODUCT((AV25:AV28=AV28)*(AU25:AU28=AU28)*(AS25:AS28=AS28)*(AT25:AT28=AT28)),"")</f>
        <v/>
      </c>
      <c r="AO68" s="213" t="str">
        <f t="shared" si="95"/>
        <v/>
      </c>
      <c r="AP68" s="213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213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213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213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213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213">
        <f>AS68-AT68+1000</f>
        <v>1000</v>
      </c>
      <c r="AV68" s="213" t="str">
        <f t="shared" si="96"/>
        <v/>
      </c>
      <c r="AW68" s="213" t="str">
        <f>IF(AO68&lt;&gt;"",VLOOKUP(AO68,B4:H40,7,FALSE),"")</f>
        <v/>
      </c>
      <c r="AX68" s="213" t="str">
        <f>IF(AO68&lt;&gt;"",VLOOKUP(AO68,B4:H40,5,FALSE),"")</f>
        <v/>
      </c>
      <c r="AY68" s="213" t="str">
        <f>IF(AO68&lt;&gt;"",VLOOKUP(AO68,B4:J40,9,FALSE),"")</f>
        <v/>
      </c>
      <c r="AZ68" s="213" t="str">
        <f t="shared" si="97"/>
        <v/>
      </c>
      <c r="BA68" s="213" t="str">
        <f>IF(AO68&lt;&gt;"",RANK(AZ68,AZ65:AZ68),"")</f>
        <v/>
      </c>
      <c r="BB68" s="213" t="str">
        <f>IF(AO68&lt;&gt;"",SUMPRODUCT((AZ65:AZ68=AZ68)*(AU65:AU68&gt;AU68)),"")</f>
        <v/>
      </c>
      <c r="BC68" s="213" t="str">
        <f>IF(AO68&lt;&gt;"",SUMPRODUCT((AZ65:AZ68=AZ68)*(AU65:AU68=AU68)*(AS65:AS68&gt;AS68)),"")</f>
        <v/>
      </c>
      <c r="BD68" s="213" t="str">
        <f>IF(AO68&lt;&gt;"",SUMPRODUCT((AZ65:AZ68=AZ68)*(AU65:AU68=AU68)*(AS65:AS68=AS68)*(AW65:AW68&gt;AW68)),"")</f>
        <v/>
      </c>
      <c r="BE68" s="213" t="str">
        <f>IF(AO68&lt;&gt;"",SUMPRODUCT((AZ65:AZ68=AZ68)*(AU65:AU68=AU68)*(AS65:AS68=AS68)*(AW65:AW68=AW68)*(AX65:AX68&gt;AX68)),"")</f>
        <v/>
      </c>
      <c r="BF68" s="213" t="str">
        <f>IF(AO68&lt;&gt;"",SUMPRODUCT((AZ65:AZ68=AZ68)*(AU65:AU68=AU68)*(AS65:AS68=AS68)*(AW65:AW68=AW68)*(AX65:AX68=AX68)*(AY65:AY68&gt;AY68)),"")</f>
        <v/>
      </c>
      <c r="BG68" s="213" t="str">
        <f t="shared" si="98"/>
        <v/>
      </c>
    </row>
    <row r="70" spans="9:59" x14ac:dyDescent="0.15">
      <c r="T70" s="213">
        <f>IF(U71="",SUM(AG31:AL31),IF(U72="",SUM(AG32:AL32),IF(U73="",SUM(AG33:AL33),IF(U74="",SUM(AG34:AL34),0))))</f>
        <v>0</v>
      </c>
      <c r="AN70" s="213">
        <f>IF(AO72="",SUM(BA32:BF32),IF(AO73="",SUM(BA33:BF33),IF(AO74="",SUM(BA34:BF34),0)))</f>
        <v>0</v>
      </c>
    </row>
    <row r="71" spans="9:59" x14ac:dyDescent="0.15">
      <c r="I71" s="213">
        <f>SUMPRODUCT((I31:I34=I31)*(H31:H34=H31)*(F31:F34&gt;F31))+1</f>
        <v>1</v>
      </c>
      <c r="T71" s="213" t="str">
        <f>IF(U31&lt;&gt;"",SUMPRODUCT((AB31:AB34=AB31)*(AA31:AA34=AA31)*(Y31:Y34=Y31)*(Z31:Z34=Z31)),"")</f>
        <v/>
      </c>
      <c r="U71" s="213" t="str">
        <f>IF(AND(T71&lt;&gt;"",T71&gt;1),U31,"")</f>
        <v/>
      </c>
      <c r="V71" s="213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213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213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213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213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213">
        <f>Y71-Z71+1000</f>
        <v>1000</v>
      </c>
      <c r="AB71" s="213" t="str">
        <f>IF(U71&lt;&gt;"",V71*3+W71*1,"")</f>
        <v/>
      </c>
      <c r="AC71" s="213" t="str">
        <f>IF(U71&lt;&gt;"",VLOOKUP(U71,B4:H40,7,FALSE),"")</f>
        <v/>
      </c>
      <c r="AD71" s="213" t="str">
        <f>IF(U71&lt;&gt;"",VLOOKUP(U71,B4:H40,5,FALSE),"")</f>
        <v/>
      </c>
      <c r="AE71" s="213" t="str">
        <f>IF(U71&lt;&gt;"",VLOOKUP(U71,B4:J40,9,FALSE),"")</f>
        <v/>
      </c>
      <c r="AF71" s="213" t="str">
        <f>AB71</f>
        <v/>
      </c>
      <c r="AG71" s="213" t="str">
        <f>IF(U71&lt;&gt;"",RANK(AF71,AF71:AF74),"")</f>
        <v/>
      </c>
      <c r="AH71" s="213" t="str">
        <f>IF(U71&lt;&gt;"",SUMPRODUCT((AF71:AF74=AF71)*(AA71:AA74&gt;AA71)),"")</f>
        <v/>
      </c>
      <c r="AI71" s="213" t="str">
        <f>IF(U71&lt;&gt;"",SUMPRODUCT((AF71:AF74=AF71)*(AA71:AA74=AA71)*(Y71:Y74&gt;Y71)),"")</f>
        <v/>
      </c>
      <c r="AJ71" s="213" t="str">
        <f>IF(U71&lt;&gt;"",SUMPRODUCT((AF71:AF74=AF71)*(AA71:AA74=AA71)*(Y71:Y74=Y71)*(AC71:AC74&gt;AC71)),"")</f>
        <v/>
      </c>
      <c r="AK71" s="213" t="str">
        <f>IF(U71&lt;&gt;"",SUMPRODUCT((AF71:AF74=AF71)*(AA71:AA74=AA71)*(Y71:Y74=Y71)*(AC71:AC74=AC71)*(AD71:AD74&gt;AD71)),"")</f>
        <v/>
      </c>
      <c r="AL71" s="213" t="str">
        <f>IF(U71&lt;&gt;"",SUMPRODUCT((AF71:AF74=AF71)*(AA71:AA74=AA71)*(Y71:Y74=Y71)*(AC71:AC74=AC71)*(AD71:AD74=AD71)*(AE71:AE74&gt;AE71)),"")</f>
        <v/>
      </c>
      <c r="AM71" s="213" t="str">
        <f>IF(U71&lt;&gt;"",SUM(AG71:AL71),"")</f>
        <v/>
      </c>
    </row>
    <row r="72" spans="9:59" x14ac:dyDescent="0.15">
      <c r="I72" s="213">
        <f>SUMPRODUCT((I31:I34=I32)*(H31:H34=H32)*(F31:F34&gt;F32))+1</f>
        <v>1</v>
      </c>
      <c r="T72" s="213" t="str">
        <f>IF(U32&lt;&gt;"",SUMPRODUCT((AB31:AB34=AB32)*(AA31:AA34=AA32)*(Y31:Y34=Y32)*(Z31:Z34=Z32)),"")</f>
        <v/>
      </c>
      <c r="U72" s="213" t="str">
        <f t="shared" ref="U72:U74" si="99">IF(AND(T72&lt;&gt;"",T72&gt;1),U32,"")</f>
        <v/>
      </c>
      <c r="V72" s="213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213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213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213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213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213">
        <f>Y72-Z72+1000</f>
        <v>1000</v>
      </c>
      <c r="AB72" s="213" t="str">
        <f t="shared" ref="AB72:AB74" si="100">IF(U72&lt;&gt;"",V72*3+W72*1,"")</f>
        <v/>
      </c>
      <c r="AC72" s="213" t="str">
        <f>IF(U72&lt;&gt;"",VLOOKUP(U72,B4:H40,7,FALSE),"")</f>
        <v/>
      </c>
      <c r="AD72" s="213" t="str">
        <f>IF(U72&lt;&gt;"",VLOOKUP(U72,B4:H40,5,FALSE),"")</f>
        <v/>
      </c>
      <c r="AE72" s="213" t="str">
        <f>IF(U72&lt;&gt;"",VLOOKUP(U72,B4:J40,9,FALSE),"")</f>
        <v/>
      </c>
      <c r="AF72" s="213" t="str">
        <f t="shared" ref="AF72:AF74" si="101">AB72</f>
        <v/>
      </c>
      <c r="AG72" s="213" t="str">
        <f>IF(U72&lt;&gt;"",RANK(AF72,AF71:AF74),"")</f>
        <v/>
      </c>
      <c r="AH72" s="213" t="str">
        <f>IF(U72&lt;&gt;"",SUMPRODUCT((AF71:AF74=AF72)*(AA71:AA74&gt;AA72)),"")</f>
        <v/>
      </c>
      <c r="AI72" s="213" t="str">
        <f>IF(U72&lt;&gt;"",SUMPRODUCT((AF71:AF74=AF72)*(AA71:AA74=AA72)*(Y71:Y74&gt;Y72)),"")</f>
        <v/>
      </c>
      <c r="AJ72" s="213" t="str">
        <f>IF(U72&lt;&gt;"",SUMPRODUCT((AF71:AF74=AF72)*(AA71:AA74=AA72)*(Y71:Y74=Y72)*(AC71:AC74&gt;AC72)),"")</f>
        <v/>
      </c>
      <c r="AK72" s="213" t="str">
        <f>IF(U72&lt;&gt;"",SUMPRODUCT((AF71:AF74=AF72)*(AA71:AA74=AA72)*(Y71:Y74=Y72)*(AC71:AC74=AC72)*(AD71:AD74&gt;AD72)),"")</f>
        <v/>
      </c>
      <c r="AL72" s="213" t="str">
        <f>IF(U72&lt;&gt;"",SUMPRODUCT((AF71:AF74=AF72)*(AA71:AA74=AA72)*(Y71:Y74=Y72)*(AC71:AC74=AC72)*(AD71:AD74=AD72)*(AE71:AE74&gt;AE72)),"")</f>
        <v/>
      </c>
      <c r="AM72" s="213" t="str">
        <f>IF(U72&lt;&gt;"",SUM(AG72:AL72),"")</f>
        <v/>
      </c>
      <c r="AN72" s="213" t="str">
        <f>IF(AO32&lt;&gt;"",SUMPRODUCT((AV31:AV34=AV32)*(AU31:AU34=AU32)*(AS31:AS34=AS32)*(AT31:AT34=AT32)),"")</f>
        <v/>
      </c>
      <c r="AO72" s="213" t="str">
        <f t="shared" ref="AO72:AO74" si="102">IF(AND(AN72&lt;&gt;"",AN72&gt;1),AO32,"")</f>
        <v/>
      </c>
      <c r="AP72" s="213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213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213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213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213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213">
        <f>AS72-AT72+1000</f>
        <v>1000</v>
      </c>
      <c r="AV72" s="213" t="str">
        <f t="shared" ref="AV72:AV74" si="103">IF(AO72&lt;&gt;"",AP72*3+AQ72*1,"")</f>
        <v/>
      </c>
      <c r="AW72" s="213" t="str">
        <f>IF(AO72&lt;&gt;"",VLOOKUP(AO72,B4:H40,7,FALSE),"")</f>
        <v/>
      </c>
      <c r="AX72" s="213" t="str">
        <f>IF(AO72&lt;&gt;"",VLOOKUP(AO72,B4:H40,5,FALSE),"")</f>
        <v/>
      </c>
      <c r="AY72" s="213" t="str">
        <f>IF(AO72&lt;&gt;"",VLOOKUP(AO72,B4:J40,9,FALSE),"")</f>
        <v/>
      </c>
      <c r="AZ72" s="213" t="str">
        <f t="shared" ref="AZ72:AZ74" si="104">AV72</f>
        <v/>
      </c>
      <c r="BA72" s="213" t="str">
        <f>IF(AO72&lt;&gt;"",RANK(AZ72,AZ71:AZ74),"")</f>
        <v/>
      </c>
      <c r="BB72" s="213" t="str">
        <f>IF(AO72&lt;&gt;"",SUMPRODUCT((AZ71:AZ74=AZ72)*(AU71:AU74&gt;AU72)),"")</f>
        <v/>
      </c>
      <c r="BC72" s="213" t="str">
        <f>IF(AO72&lt;&gt;"",SUMPRODUCT((AZ71:AZ74=AZ72)*(AU71:AU74=AU72)*(AS71:AS74&gt;AS72)),"")</f>
        <v/>
      </c>
      <c r="BD72" s="213" t="str">
        <f>IF(AO72&lt;&gt;"",SUMPRODUCT((AZ71:AZ74=AZ72)*(AU71:AU74=AU72)*(AS71:AS74=AS72)*(AW71:AW74&gt;AW72)),"")</f>
        <v/>
      </c>
      <c r="BE72" s="213" t="str">
        <f>IF(AO72&lt;&gt;"",SUMPRODUCT((AZ71:AZ74=AZ72)*(AU71:AU74=AU72)*(AS71:AS74=AS72)*(AW71:AW74=AW72)*(AX71:AX74&gt;AX72)),"")</f>
        <v/>
      </c>
      <c r="BF72" s="213" t="str">
        <f>IF(AO72&lt;&gt;"",SUMPRODUCT((AZ71:AZ74=AZ72)*(AU71:AU74=AU72)*(AS71:AS74=AS72)*(AW71:AW74=AW72)*(AX71:AX74=AX72)*(AY71:AY74&gt;AY72)),"")</f>
        <v/>
      </c>
      <c r="BG72" s="213" t="str">
        <f>IF(AO72&lt;&gt;"",SUM(BA72:BF72)+1,"")</f>
        <v/>
      </c>
    </row>
    <row r="73" spans="9:59" x14ac:dyDescent="0.15">
      <c r="I73" s="213">
        <f>SUMPRODUCT((I31:I34=I33)*(H31:H34=H33)*(F31:F34&gt;F33))+1</f>
        <v>1</v>
      </c>
      <c r="T73" s="213" t="str">
        <f>IF(U33&lt;&gt;"",SUMPRODUCT((AB31:AB34=AB33)*(AA31:AA34=AA33)*(Y31:Y34=Y33)*(Z31:Z34=Z33)),"")</f>
        <v/>
      </c>
      <c r="U73" s="213" t="str">
        <f t="shared" si="99"/>
        <v/>
      </c>
      <c r="V73" s="213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213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213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213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213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213">
        <f>Y73-Z73+1000</f>
        <v>1000</v>
      </c>
      <c r="AB73" s="213" t="str">
        <f t="shared" si="100"/>
        <v/>
      </c>
      <c r="AC73" s="213" t="str">
        <f>IF(U73&lt;&gt;"",VLOOKUP(U73,B4:H40,7,FALSE),"")</f>
        <v/>
      </c>
      <c r="AD73" s="213" t="str">
        <f>IF(U73&lt;&gt;"",VLOOKUP(U73,B4:H40,5,FALSE),"")</f>
        <v/>
      </c>
      <c r="AE73" s="213" t="str">
        <f>IF(U73&lt;&gt;"",VLOOKUP(U73,B4:J40,9,FALSE),"")</f>
        <v/>
      </c>
      <c r="AF73" s="213" t="str">
        <f t="shared" si="101"/>
        <v/>
      </c>
      <c r="AG73" s="213" t="str">
        <f>IF(U73&lt;&gt;"",RANK(AF73,AF71:AF74),"")</f>
        <v/>
      </c>
      <c r="AH73" s="213" t="str">
        <f>IF(U73&lt;&gt;"",SUMPRODUCT((AF71:AF74=AF73)*(AA71:AA74&gt;AA73)),"")</f>
        <v/>
      </c>
      <c r="AI73" s="213" t="str">
        <f>IF(U73&lt;&gt;"",SUMPRODUCT((AF71:AF74=AF73)*(AA71:AA74=AA73)*(Y71:Y74&gt;Y73)),"")</f>
        <v/>
      </c>
      <c r="AJ73" s="213" t="str">
        <f>IF(U73&lt;&gt;"",SUMPRODUCT((AF71:AF74=AF73)*(AA71:AA74=AA73)*(Y71:Y74=Y73)*(AC71:AC74&gt;AC73)),"")</f>
        <v/>
      </c>
      <c r="AK73" s="213" t="str">
        <f>IF(U73&lt;&gt;"",SUMPRODUCT((AF71:AF74=AF73)*(AA71:AA74=AA73)*(Y71:Y74=Y73)*(AC71:AC74=AC73)*(AD71:AD74&gt;AD73)),"")</f>
        <v/>
      </c>
      <c r="AL73" s="213" t="str">
        <f>IF(U73&lt;&gt;"",SUMPRODUCT((AF71:AF74=AF73)*(AA71:AA74=AA73)*(Y71:Y74=Y73)*(AC71:AC74=AC73)*(AD71:AD74=AD73)*(AE71:AE74&gt;AE73)),"")</f>
        <v/>
      </c>
      <c r="AM73" s="213" t="str">
        <f>IF(U73&lt;&gt;"",SUM(AG73:AL73),"")</f>
        <v/>
      </c>
      <c r="AN73" s="213" t="str">
        <f>IF(AO33&lt;&gt;"",SUMPRODUCT((AV31:AV34=AV33)*(AU31:AU34=AU33)*(AS31:AS34=AS33)*(AT31:AT34=AT33)),"")</f>
        <v/>
      </c>
      <c r="AO73" s="213" t="str">
        <f t="shared" si="102"/>
        <v/>
      </c>
      <c r="AP73" s="213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213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213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213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213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213">
        <f>AS73-AT73+1000</f>
        <v>1000</v>
      </c>
      <c r="AV73" s="213" t="str">
        <f t="shared" si="103"/>
        <v/>
      </c>
      <c r="AW73" s="213" t="str">
        <f>IF(AO73&lt;&gt;"",VLOOKUP(AO73,B4:H40,7,FALSE),"")</f>
        <v/>
      </c>
      <c r="AX73" s="213" t="str">
        <f>IF(AO73&lt;&gt;"",VLOOKUP(AO73,B4:H40,5,FALSE),"")</f>
        <v/>
      </c>
      <c r="AY73" s="213" t="str">
        <f>IF(AO73&lt;&gt;"",VLOOKUP(AO73,B4:J40,9,FALSE),"")</f>
        <v/>
      </c>
      <c r="AZ73" s="213" t="str">
        <f t="shared" si="104"/>
        <v/>
      </c>
      <c r="BA73" s="213" t="str">
        <f>IF(AO73&lt;&gt;"",RANK(AZ73,AZ71:AZ74),"")</f>
        <v/>
      </c>
      <c r="BB73" s="213" t="str">
        <f>IF(AO73&lt;&gt;"",SUMPRODUCT((AZ71:AZ74=AZ73)*(AU71:AU74&gt;AU73)),"")</f>
        <v/>
      </c>
      <c r="BC73" s="213" t="str">
        <f>IF(AO73&lt;&gt;"",SUMPRODUCT((AZ71:AZ74=AZ73)*(AU71:AU74=AU73)*(AS71:AS74&gt;AS73)),"")</f>
        <v/>
      </c>
      <c r="BD73" s="213" t="str">
        <f>IF(AO73&lt;&gt;"",SUMPRODUCT((AZ71:AZ74=AZ73)*(AU71:AU74=AU73)*(AS71:AS74=AS73)*(AW71:AW74&gt;AW73)),"")</f>
        <v/>
      </c>
      <c r="BE73" s="213" t="str">
        <f>IF(AO73&lt;&gt;"",SUMPRODUCT((AZ71:AZ74=AZ73)*(AU71:AU74=AU73)*(AS71:AS74=AS73)*(AW71:AW74=AW73)*(AX71:AX74&gt;AX73)),"")</f>
        <v/>
      </c>
      <c r="BF73" s="213" t="str">
        <f>IF(AO73&lt;&gt;"",SUMPRODUCT((AZ71:AZ74=AZ73)*(AU71:AU74=AU73)*(AS71:AS74=AS73)*(AW71:AW74=AW73)*(AX71:AX74=AX73)*(AY71:AY74&gt;AY73)),"")</f>
        <v/>
      </c>
      <c r="BG73" s="213" t="str">
        <f t="shared" ref="BG73:BG74" si="105">IF(AO73&lt;&gt;"",SUM(BA73:BF73)+1,"")</f>
        <v/>
      </c>
    </row>
    <row r="74" spans="9:59" x14ac:dyDescent="0.15">
      <c r="I74" s="213">
        <f>SUMPRODUCT((I31:I34=I34)*(H31:H34=H34)*(F31:F34&gt;F34))+1</f>
        <v>1</v>
      </c>
      <c r="T74" s="213" t="str">
        <f>IF(U34&lt;&gt;"",SUMPRODUCT((AB31:AB34=AB34)*(AA31:AA34=AA34)*(Y31:Y34=Y34)*(Z31:Z34=Z34)),"")</f>
        <v/>
      </c>
      <c r="U74" s="213" t="str">
        <f t="shared" si="99"/>
        <v/>
      </c>
      <c r="V74" s="213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213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213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213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213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213">
        <f>Y74-Z74+1000</f>
        <v>1000</v>
      </c>
      <c r="AB74" s="213" t="str">
        <f t="shared" si="100"/>
        <v/>
      </c>
      <c r="AC74" s="213" t="str">
        <f>IF(U74&lt;&gt;"",VLOOKUP(U74,B4:H40,7,FALSE),"")</f>
        <v/>
      </c>
      <c r="AD74" s="213" t="str">
        <f>IF(U74&lt;&gt;"",VLOOKUP(U74,B4:H40,5,FALSE),"")</f>
        <v/>
      </c>
      <c r="AE74" s="213" t="str">
        <f>IF(U74&lt;&gt;"",VLOOKUP(U74,B4:J40,9,FALSE),"")</f>
        <v/>
      </c>
      <c r="AF74" s="213" t="str">
        <f t="shared" si="101"/>
        <v/>
      </c>
      <c r="AG74" s="213" t="str">
        <f>IF(U74&lt;&gt;"",RANK(AF74,AF71:AF74),"")</f>
        <v/>
      </c>
      <c r="AH74" s="213" t="str">
        <f>IF(U74&lt;&gt;"",SUMPRODUCT((AF71:AF74=AF74)*(AA71:AA74&gt;AA74)),"")</f>
        <v/>
      </c>
      <c r="AI74" s="213" t="str">
        <f>IF(U74&lt;&gt;"",SUMPRODUCT((AF71:AF74=AF74)*(AA71:AA74=AA74)*(Y71:Y74&gt;Y74)),"")</f>
        <v/>
      </c>
      <c r="AJ74" s="213" t="str">
        <f>IF(U74&lt;&gt;"",SUMPRODUCT((AF71:AF74=AF74)*(AA71:AA74=AA74)*(Y71:Y74=Y74)*(AC71:AC74&gt;AC74)),"")</f>
        <v/>
      </c>
      <c r="AK74" s="213" t="str">
        <f>IF(U74&lt;&gt;"",SUMPRODUCT((AF71:AF74=AF74)*(AA71:AA74=AA74)*(Y71:Y74=Y74)*(AC71:AC74=AC74)*(AD71:AD74&gt;AD74)),"")</f>
        <v/>
      </c>
      <c r="AL74" s="213" t="str">
        <f>IF(U74&lt;&gt;"",SUMPRODUCT((AF71:AF74=AF74)*(AA71:AA74=AA74)*(Y71:Y74=Y74)*(AC71:AC74=AC74)*(AD71:AD74=AD74)*(AE71:AE74&gt;AE74)),"")</f>
        <v/>
      </c>
      <c r="AM74" s="213" t="str">
        <f>IF(U74&lt;&gt;"",SUM(AG74:AL74),"")</f>
        <v/>
      </c>
      <c r="AN74" s="213" t="str">
        <f>IF(AO34&lt;&gt;"",SUMPRODUCT((AV31:AV34=AV34)*(AU31:AU34=AU34)*(AS31:AS34=AS34)*(AT31:AT34=AT34)),"")</f>
        <v/>
      </c>
      <c r="AO74" s="213" t="str">
        <f t="shared" si="102"/>
        <v/>
      </c>
      <c r="AP74" s="213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213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213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213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213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213">
        <f>AS74-AT74+1000</f>
        <v>1000</v>
      </c>
      <c r="AV74" s="213" t="str">
        <f t="shared" si="103"/>
        <v/>
      </c>
      <c r="AW74" s="213" t="str">
        <f>IF(AO74&lt;&gt;"",VLOOKUP(AO74,B4:H40,7,FALSE),"")</f>
        <v/>
      </c>
      <c r="AX74" s="213" t="str">
        <f>IF(AO74&lt;&gt;"",VLOOKUP(AO74,B4:H40,5,FALSE),"")</f>
        <v/>
      </c>
      <c r="AY74" s="213" t="str">
        <f>IF(AO74&lt;&gt;"",VLOOKUP(AO74,B4:J40,9,FALSE),"")</f>
        <v/>
      </c>
      <c r="AZ74" s="213" t="str">
        <f t="shared" si="104"/>
        <v/>
      </c>
      <c r="BA74" s="213" t="str">
        <f>IF(AO74&lt;&gt;"",RANK(AZ74,AZ71:AZ74),"")</f>
        <v/>
      </c>
      <c r="BB74" s="213" t="str">
        <f>IF(AO74&lt;&gt;"",SUMPRODUCT((AZ71:AZ74=AZ74)*(AU71:AU74&gt;AU74)),"")</f>
        <v/>
      </c>
      <c r="BC74" s="213" t="str">
        <f>IF(AO74&lt;&gt;"",SUMPRODUCT((AZ71:AZ74=AZ74)*(AU71:AU74=AU74)*(AS71:AS74&gt;AS74)),"")</f>
        <v/>
      </c>
      <c r="BD74" s="213" t="str">
        <f>IF(AO74&lt;&gt;"",SUMPRODUCT((AZ71:AZ74=AZ74)*(AU71:AU74=AU74)*(AS71:AS74=AS74)*(AW71:AW74&gt;AW74)),"")</f>
        <v/>
      </c>
      <c r="BE74" s="213" t="str">
        <f>IF(AO74&lt;&gt;"",SUMPRODUCT((AZ71:AZ74=AZ74)*(AU71:AU74=AU74)*(AS71:AS74=AS74)*(AW71:AW74=AW74)*(AX71:AX74&gt;AX74)),"")</f>
        <v/>
      </c>
      <c r="BF74" s="213" t="str">
        <f>IF(AO74&lt;&gt;"",SUMPRODUCT((AZ71:AZ74=AZ74)*(AU71:AU74=AU74)*(AS71:AS74=AS74)*(AW71:AW74=AW74)*(AX71:AX74=AX74)*(AY71:AY74&gt;AY74)),"")</f>
        <v/>
      </c>
      <c r="BG74" s="213" t="str">
        <f t="shared" si="105"/>
        <v/>
      </c>
    </row>
    <row r="76" spans="9:59" x14ac:dyDescent="0.15">
      <c r="T76" s="213">
        <f>IF(U77="",SUM(AG37:AL37),IF(U78="",SUM(AG38:AL38),IF(U79="",SUM(AG39:AL39),IF(U80="",SUM(AG40:AL40),0))))</f>
        <v>0</v>
      </c>
      <c r="AN76" s="213">
        <f>IF(AO78="",SUM(BA38:BF38),IF(AO79="",SUM(BA39:BF39),IF(AO80="",SUM(BA40:BF40),0)))</f>
        <v>2</v>
      </c>
    </row>
    <row r="77" spans="9:59" x14ac:dyDescent="0.15">
      <c r="I77" s="213">
        <f>SUMPRODUCT((I37:I40=I37)*(H37:H40=H37)*(F37:F40&gt;F37))+1</f>
        <v>1</v>
      </c>
      <c r="T77" s="213" t="str">
        <f>IF(U37&lt;&gt;"",SUMPRODUCT((AB37:AB40=AB37)*(AA37:AA40=AA37)*(Y37:Y40=Y37)*(Z37:Z40=Z37)),"")</f>
        <v/>
      </c>
      <c r="U77" s="213" t="str">
        <f>IF(AND(T77&lt;&gt;"",T77&gt;1),U37,"")</f>
        <v/>
      </c>
      <c r="V77" s="213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213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213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213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213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213">
        <f>Y77-Z77+1000</f>
        <v>1000</v>
      </c>
      <c r="AB77" s="213" t="str">
        <f>IF(U77&lt;&gt;"",V77*3+W77*1,"")</f>
        <v/>
      </c>
      <c r="AC77" s="213" t="str">
        <f>IF(U77&lt;&gt;"",VLOOKUP(U77,B4:H40,7,FALSE),"")</f>
        <v/>
      </c>
      <c r="AD77" s="213" t="str">
        <f>IF(U77&lt;&gt;"",VLOOKUP(U77,B4:H40,5,FALSE),"")</f>
        <v/>
      </c>
      <c r="AE77" s="213" t="str">
        <f>IF(U77&lt;&gt;"",VLOOKUP(U77,B4:J40,9,FALSE),"")</f>
        <v/>
      </c>
      <c r="AF77" s="213" t="str">
        <f>AB77</f>
        <v/>
      </c>
      <c r="AG77" s="213" t="str">
        <f>IF(U77&lt;&gt;"",RANK(AF77,AF77:AF80),"")</f>
        <v/>
      </c>
      <c r="AH77" s="213" t="str">
        <f>IF(U77&lt;&gt;"",SUMPRODUCT((AF77:AF80=AF77)*(AA77:AA80&gt;AA77)),"")</f>
        <v/>
      </c>
      <c r="AI77" s="213" t="str">
        <f>IF(U77&lt;&gt;"",SUMPRODUCT((AF77:AF80=AF77)*(AA77:AA80=AA77)*(Y77:Y80&gt;Y77)),"")</f>
        <v/>
      </c>
      <c r="AJ77" s="213" t="str">
        <f>IF(U77&lt;&gt;"",SUMPRODUCT((AF77:AF80=AF77)*(AA77:AA80=AA77)*(Y77:Y80=Y77)*(AC77:AC80&gt;AC77)),"")</f>
        <v/>
      </c>
      <c r="AK77" s="213" t="str">
        <f>IF(U77&lt;&gt;"",SUMPRODUCT((AF77:AF80=AF77)*(AA77:AA80=AA77)*(Y77:Y80=Y77)*(AC77:AC80=AC77)*(AD77:AD80&gt;AD77)),"")</f>
        <v/>
      </c>
      <c r="AL77" s="213" t="str">
        <f>IF(U77&lt;&gt;"",SUMPRODUCT((AF77:AF80=AF77)*(AA77:AA80=AA77)*(Y77:Y80=Y77)*(AC77:AC80=AC77)*(AD77:AD80=AD77)*(AE77:AE80&gt;AE77)),"")</f>
        <v/>
      </c>
      <c r="AM77" s="213" t="str">
        <f>IF(U77&lt;&gt;"",SUM(AG77:AL77),"")</f>
        <v/>
      </c>
    </row>
    <row r="78" spans="9:59" x14ac:dyDescent="0.15">
      <c r="I78" s="213">
        <f>SUMPRODUCT((I37:I40=I38)*(H37:H40=H38)*(F37:F40&gt;F38))+1</f>
        <v>2</v>
      </c>
      <c r="T78" s="213" t="str">
        <f>IF(U38&lt;&gt;"",SUMPRODUCT((AB37:AB40=AB38)*(AA37:AA40=AA38)*(Y37:Y40=Y38)*(Z37:Z40=Z38)),"")</f>
        <v/>
      </c>
      <c r="U78" s="213" t="str">
        <f t="shared" ref="U78:U80" si="106">IF(AND(T78&lt;&gt;"",T78&gt;1),U38,"")</f>
        <v/>
      </c>
      <c r="V78" s="213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213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213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213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213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213">
        <f>Y78-Z78+1000</f>
        <v>1000</v>
      </c>
      <c r="AB78" s="213" t="str">
        <f t="shared" ref="AB78:AB80" si="107">IF(U78&lt;&gt;"",V78*3+W78*1,"")</f>
        <v/>
      </c>
      <c r="AC78" s="213" t="str">
        <f>IF(U78&lt;&gt;"",VLOOKUP(U78,B4:H40,7,FALSE),"")</f>
        <v/>
      </c>
      <c r="AD78" s="213" t="str">
        <f>IF(U78&lt;&gt;"",VLOOKUP(U78,B4:H40,5,FALSE),"")</f>
        <v/>
      </c>
      <c r="AE78" s="213" t="str">
        <f>IF(U78&lt;&gt;"",VLOOKUP(U78,B4:J40,9,FALSE),"")</f>
        <v/>
      </c>
      <c r="AF78" s="213" t="str">
        <f t="shared" ref="AF78:AF80" si="108">AB78</f>
        <v/>
      </c>
      <c r="AG78" s="213" t="str">
        <f>IF(U78&lt;&gt;"",RANK(AF78,AF77:AF80),"")</f>
        <v/>
      </c>
      <c r="AH78" s="213" t="str">
        <f>IF(U78&lt;&gt;"",SUMPRODUCT((AF77:AF80=AF78)*(AA77:AA80&gt;AA78)),"")</f>
        <v/>
      </c>
      <c r="AI78" s="213" t="str">
        <f>IF(U78&lt;&gt;"",SUMPRODUCT((AF77:AF80=AF78)*(AA77:AA80=AA78)*(Y77:Y80&gt;Y78)),"")</f>
        <v/>
      </c>
      <c r="AJ78" s="213" t="str">
        <f>IF(U78&lt;&gt;"",SUMPRODUCT((AF77:AF80=AF78)*(AA77:AA80=AA78)*(Y77:Y80=Y78)*(AC77:AC80&gt;AC78)),"")</f>
        <v/>
      </c>
      <c r="AK78" s="213" t="str">
        <f>IF(U78&lt;&gt;"",SUMPRODUCT((AF77:AF80=AF78)*(AA77:AA80=AA78)*(Y77:Y80=Y78)*(AC77:AC80=AC78)*(AD77:AD80&gt;AD78)),"")</f>
        <v/>
      </c>
      <c r="AL78" s="213" t="str">
        <f>IF(U78&lt;&gt;"",SUMPRODUCT((AF77:AF80=AF78)*(AA77:AA80=AA78)*(Y77:Y80=Y78)*(AC77:AC80=AC78)*(AD77:AD80=AD78)*(AE77:AE80&gt;AE78)),"")</f>
        <v/>
      </c>
      <c r="AM78" s="213" t="str">
        <f>IF(U78&lt;&gt;"",SUM(AG78:AL78),"")</f>
        <v/>
      </c>
      <c r="AN78" s="213">
        <f>IF(AO38&lt;&gt;"",SUMPRODUCT((AV37:AV40=AV38)*(AU37:AU40=AU38)*(AS37:AS40=AS38)*(AT37:AT40=AT38)),"")</f>
        <v>1</v>
      </c>
      <c r="AO78" s="213" t="str">
        <f t="shared" ref="AO78:AO80" si="109">IF(AND(AN78&lt;&gt;"",AN78&gt;1),AO38,"")</f>
        <v/>
      </c>
      <c r="AP78" s="213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213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213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213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213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213">
        <f>AS78-AT78+1000</f>
        <v>1000</v>
      </c>
      <c r="AV78" s="213" t="str">
        <f t="shared" ref="AV78:AV80" si="110">IF(AO78&lt;&gt;"",AP78*3+AQ78*1,"")</f>
        <v/>
      </c>
      <c r="AW78" s="213" t="str">
        <f>IF(AO78&lt;&gt;"",VLOOKUP(AO78,B4:H40,7,FALSE),"")</f>
        <v/>
      </c>
      <c r="AX78" s="213" t="str">
        <f>IF(AO78&lt;&gt;"",VLOOKUP(AO78,B4:H40,5,FALSE),"")</f>
        <v/>
      </c>
      <c r="AY78" s="213" t="str">
        <f>IF(AO78&lt;&gt;"",VLOOKUP(AO78,B4:J40,9,FALSE),"")</f>
        <v/>
      </c>
      <c r="AZ78" s="213" t="str">
        <f t="shared" ref="AZ78:AZ80" si="111">AV78</f>
        <v/>
      </c>
      <c r="BA78" s="213" t="str">
        <f>IF(AO78&lt;&gt;"",RANK(AZ78,AZ77:AZ80),"")</f>
        <v/>
      </c>
      <c r="BB78" s="213" t="str">
        <f>IF(AO78&lt;&gt;"",SUMPRODUCT((AZ77:AZ80=AZ78)*(AU77:AU80&gt;AU78)),"")</f>
        <v/>
      </c>
      <c r="BC78" s="213" t="str">
        <f>IF(AO78&lt;&gt;"",SUMPRODUCT((AZ77:AZ80=AZ78)*(AU77:AU80=AU78)*(AS77:AS80&gt;AS78)),"")</f>
        <v/>
      </c>
      <c r="BD78" s="213" t="str">
        <f>IF(AO78&lt;&gt;"",SUMPRODUCT((AZ77:AZ80=AZ78)*(AU77:AU80=AU78)*(AS77:AS80=AS78)*(AW77:AW80&gt;AW78)),"")</f>
        <v/>
      </c>
      <c r="BE78" s="213" t="str">
        <f>IF(AO78&lt;&gt;"",SUMPRODUCT((AZ77:AZ80=AZ78)*(AU77:AU80=AU78)*(AS77:AS80=AS78)*(AW77:AW80=AW78)*(AX77:AX80&gt;AX78)),"")</f>
        <v/>
      </c>
      <c r="BF78" s="213" t="str">
        <f>IF(AO78&lt;&gt;"",SUMPRODUCT((AZ77:AZ80=AZ78)*(AU77:AU80=AU78)*(AS77:AS80=AS78)*(AW77:AW80=AW78)*(AX77:AX80=AX78)*(AY77:AY80&gt;AY78)),"")</f>
        <v/>
      </c>
      <c r="BG78" s="213" t="str">
        <f>IF(AO78&lt;&gt;"",SUM(BA78:BF78)+1,"")</f>
        <v/>
      </c>
    </row>
    <row r="79" spans="9:59" x14ac:dyDescent="0.15">
      <c r="I79" s="213">
        <f>SUMPRODUCT((I37:I40=I39)*(H37:H40=H39)*(F37:F40&gt;F39))+1</f>
        <v>1</v>
      </c>
      <c r="T79" s="213" t="str">
        <f>IF(U39&lt;&gt;"",SUMPRODUCT((AB37:AB40=AB39)*(AA37:AA40=AA39)*(Y37:Y40=Y39)*(Z37:Z40=Z39)),"")</f>
        <v/>
      </c>
      <c r="U79" s="213" t="str">
        <f t="shared" si="106"/>
        <v/>
      </c>
      <c r="V79" s="213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213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213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213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213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213">
        <f>Y79-Z79+1000</f>
        <v>1000</v>
      </c>
      <c r="AB79" s="213" t="str">
        <f t="shared" si="107"/>
        <v/>
      </c>
      <c r="AC79" s="213" t="str">
        <f>IF(U79&lt;&gt;"",VLOOKUP(U79,B4:H40,7,FALSE),"")</f>
        <v/>
      </c>
      <c r="AD79" s="213" t="str">
        <f>IF(U79&lt;&gt;"",VLOOKUP(U79,B4:H40,5,FALSE),"")</f>
        <v/>
      </c>
      <c r="AE79" s="213" t="str">
        <f>IF(U79&lt;&gt;"",VLOOKUP(U79,B4:J40,9,FALSE),"")</f>
        <v/>
      </c>
      <c r="AF79" s="213" t="str">
        <f t="shared" si="108"/>
        <v/>
      </c>
      <c r="AG79" s="213" t="str">
        <f>IF(U79&lt;&gt;"",RANK(AF79,AF77:AF80),"")</f>
        <v/>
      </c>
      <c r="AH79" s="213" t="str">
        <f>IF(U79&lt;&gt;"",SUMPRODUCT((AF77:AF80=AF79)*(AA77:AA80&gt;AA79)),"")</f>
        <v/>
      </c>
      <c r="AI79" s="213" t="str">
        <f>IF(U79&lt;&gt;"",SUMPRODUCT((AF77:AF80=AF79)*(AA77:AA80=AA79)*(Y77:Y80&gt;Y79)),"")</f>
        <v/>
      </c>
      <c r="AJ79" s="213" t="str">
        <f>IF(U79&lt;&gt;"",SUMPRODUCT((AF77:AF80=AF79)*(AA77:AA80=AA79)*(Y77:Y80=Y79)*(AC77:AC80&gt;AC79)),"")</f>
        <v/>
      </c>
      <c r="AK79" s="213" t="str">
        <f>IF(U79&lt;&gt;"",SUMPRODUCT((AF77:AF80=AF79)*(AA77:AA80=AA79)*(Y77:Y80=Y79)*(AC77:AC80=AC79)*(AD77:AD80&gt;AD79)),"")</f>
        <v/>
      </c>
      <c r="AL79" s="213" t="str">
        <f>IF(U79&lt;&gt;"",SUMPRODUCT((AF77:AF80=AF79)*(AA77:AA80=AA79)*(Y77:Y80=Y79)*(AC77:AC80=AC79)*(AD77:AD80=AD79)*(AE77:AE80&gt;AE79)),"")</f>
        <v/>
      </c>
      <c r="AM79" s="213" t="str">
        <f>IF(U79&lt;&gt;"",SUM(AG79:AL79),"")</f>
        <v/>
      </c>
      <c r="AN79" s="213">
        <f>IF(AO39&lt;&gt;"",SUMPRODUCT((AV37:AV40=AV39)*(AU37:AU40=AU39)*(AS37:AS40=AS39)*(AT37:AT40=AT39)),"")</f>
        <v>1</v>
      </c>
      <c r="AO79" s="213" t="str">
        <f t="shared" si="109"/>
        <v/>
      </c>
      <c r="AP79" s="213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213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213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213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213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213">
        <f>AS79-AT79+1000</f>
        <v>1000</v>
      </c>
      <c r="AV79" s="213" t="str">
        <f t="shared" si="110"/>
        <v/>
      </c>
      <c r="AW79" s="213" t="str">
        <f>IF(AO79&lt;&gt;"",VLOOKUP(AO79,B4:H40,7,FALSE),"")</f>
        <v/>
      </c>
      <c r="AX79" s="213" t="str">
        <f>IF(AO79&lt;&gt;"",VLOOKUP(AO79,B4:H40,5,FALSE),"")</f>
        <v/>
      </c>
      <c r="AY79" s="213" t="str">
        <f>IF(AO79&lt;&gt;"",VLOOKUP(AO79,B4:J40,9,FALSE),"")</f>
        <v/>
      </c>
      <c r="AZ79" s="213" t="str">
        <f t="shared" si="111"/>
        <v/>
      </c>
      <c r="BA79" s="213" t="str">
        <f>IF(AO79&lt;&gt;"",RANK(AZ79,AZ77:AZ80),"")</f>
        <v/>
      </c>
      <c r="BB79" s="213" t="str">
        <f>IF(AO79&lt;&gt;"",SUMPRODUCT((AZ77:AZ80=AZ79)*(AU77:AU80&gt;AU79)),"")</f>
        <v/>
      </c>
      <c r="BC79" s="213" t="str">
        <f>IF(AO79&lt;&gt;"",SUMPRODUCT((AZ77:AZ80=AZ79)*(AU77:AU80=AU79)*(AS77:AS80&gt;AS79)),"")</f>
        <v/>
      </c>
      <c r="BD79" s="213" t="str">
        <f>IF(AO79&lt;&gt;"",SUMPRODUCT((AZ77:AZ80=AZ79)*(AU77:AU80=AU79)*(AS77:AS80=AS79)*(AW77:AW80&gt;AW79)),"")</f>
        <v/>
      </c>
      <c r="BE79" s="213" t="str">
        <f>IF(AO79&lt;&gt;"",SUMPRODUCT((AZ77:AZ80=AZ79)*(AU77:AU80=AU79)*(AS77:AS80=AS79)*(AW77:AW80=AW79)*(AX77:AX80&gt;AX79)),"")</f>
        <v/>
      </c>
      <c r="BF79" s="213" t="str">
        <f>IF(AO79&lt;&gt;"",SUMPRODUCT((AZ77:AZ80=AZ79)*(AU77:AU80=AU79)*(AS77:AS80=AS79)*(AW77:AW80=AW79)*(AX77:AX80=AX79)*(AY77:AY80&gt;AY79)),"")</f>
        <v/>
      </c>
      <c r="BG79" s="213" t="str">
        <f t="shared" ref="BG79:BG80" si="112">IF(AO79&lt;&gt;"",SUM(BA79:BF79)+1,"")</f>
        <v/>
      </c>
    </row>
    <row r="80" spans="9:59" x14ac:dyDescent="0.15">
      <c r="I80" s="213">
        <f>SUMPRODUCT((I37:I40=I40)*(H37:H40=H40)*(F37:F40&gt;F40))+1</f>
        <v>1</v>
      </c>
      <c r="T80" s="213" t="str">
        <f>IF(U40&lt;&gt;"",SUMPRODUCT((AB37:AB40=AB40)*(AA37:AA40=AA40)*(Y37:Y40=Y40)*(Z37:Z40=Z40)),"")</f>
        <v/>
      </c>
      <c r="U80" s="213" t="str">
        <f t="shared" si="106"/>
        <v/>
      </c>
      <c r="V80" s="213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213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213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213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213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213">
        <f>Y80-Z80+1000</f>
        <v>1000</v>
      </c>
      <c r="AB80" s="213" t="str">
        <f t="shared" si="107"/>
        <v/>
      </c>
      <c r="AC80" s="213" t="str">
        <f>IF(U80&lt;&gt;"",VLOOKUP(U80,B4:H40,7,FALSE),"")</f>
        <v/>
      </c>
      <c r="AD80" s="213" t="str">
        <f>IF(U80&lt;&gt;"",VLOOKUP(U80,B4:H40,5,FALSE),"")</f>
        <v/>
      </c>
      <c r="AE80" s="213" t="str">
        <f>IF(U80&lt;&gt;"",VLOOKUP(U80,B4:J40,9,FALSE),"")</f>
        <v/>
      </c>
      <c r="AF80" s="213" t="str">
        <f t="shared" si="108"/>
        <v/>
      </c>
      <c r="AG80" s="213" t="str">
        <f>IF(U80&lt;&gt;"",RANK(AF80,AF77:AF80),"")</f>
        <v/>
      </c>
      <c r="AH80" s="213" t="str">
        <f>IF(U80&lt;&gt;"",SUMPRODUCT((AF77:AF80=AF80)*(AA77:AA80&gt;AA80)),"")</f>
        <v/>
      </c>
      <c r="AI80" s="213" t="str">
        <f>IF(U80&lt;&gt;"",SUMPRODUCT((AF77:AF80=AF80)*(AA77:AA80=AA80)*(Y77:Y80&gt;Y80)),"")</f>
        <v/>
      </c>
      <c r="AJ80" s="213" t="str">
        <f>IF(U80&lt;&gt;"",SUMPRODUCT((AF77:AF80=AF80)*(AA77:AA80=AA80)*(Y77:Y80=Y80)*(AC77:AC80&gt;AC80)),"")</f>
        <v/>
      </c>
      <c r="AK80" s="213" t="str">
        <f>IF(U80&lt;&gt;"",SUMPRODUCT((AF77:AF80=AF80)*(AA77:AA80=AA80)*(Y77:Y80=Y80)*(AC77:AC80=AC80)*(AD77:AD80&gt;AD80)),"")</f>
        <v/>
      </c>
      <c r="AL80" s="213" t="str">
        <f>IF(U80&lt;&gt;"",SUMPRODUCT((AF77:AF80=AF80)*(AA77:AA80=AA80)*(Y77:Y80=Y80)*(AC77:AC80=AC80)*(AD77:AD80=AD80)*(AE77:AE80&gt;AE80)),"")</f>
        <v/>
      </c>
      <c r="AM80" s="213" t="str">
        <f>IF(U80&lt;&gt;"",SUM(AG80:AL80),"")</f>
        <v/>
      </c>
      <c r="AN80" s="213" t="str">
        <f>IF(AO40&lt;&gt;"",SUMPRODUCT((AV37:AV40=AV40)*(AU37:AU40=AU40)*(AS37:AS40=AS40)*(AT37:AT40=AT40)),"")</f>
        <v/>
      </c>
      <c r="AO80" s="213" t="str">
        <f t="shared" si="109"/>
        <v/>
      </c>
      <c r="AP80" s="213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213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213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213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213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213">
        <f>AS80-AT80+1000</f>
        <v>1000</v>
      </c>
      <c r="AV80" s="213" t="str">
        <f t="shared" si="110"/>
        <v/>
      </c>
      <c r="AW80" s="213" t="str">
        <f>IF(AO80&lt;&gt;"",VLOOKUP(AO80,B4:H40,7,FALSE),"")</f>
        <v/>
      </c>
      <c r="AX80" s="213" t="str">
        <f>IF(AO80&lt;&gt;"",VLOOKUP(AO80,B4:H40,5,FALSE),"")</f>
        <v/>
      </c>
      <c r="AY80" s="213" t="str">
        <f>IF(AO80&lt;&gt;"",VLOOKUP(AO80,B4:J40,9,FALSE),"")</f>
        <v/>
      </c>
      <c r="AZ80" s="213" t="str">
        <f t="shared" si="111"/>
        <v/>
      </c>
      <c r="BA80" s="213" t="str">
        <f>IF(AO80&lt;&gt;"",RANK(AZ80,AZ77:AZ80),"")</f>
        <v/>
      </c>
      <c r="BB80" s="213" t="str">
        <f>IF(AO80&lt;&gt;"",SUMPRODUCT((AZ77:AZ80=AZ80)*(AU77:AU80&gt;AU80)),"")</f>
        <v/>
      </c>
      <c r="BC80" s="213" t="str">
        <f>IF(AO80&lt;&gt;"",SUMPRODUCT((AZ77:AZ80=AZ80)*(AU77:AU80=AU80)*(AS77:AS80&gt;AS80)),"")</f>
        <v/>
      </c>
      <c r="BD80" s="213" t="str">
        <f>IF(AO80&lt;&gt;"",SUMPRODUCT((AZ77:AZ80=AZ80)*(AU77:AU80=AU80)*(AS77:AS80=AS80)*(AW77:AW80&gt;AW80)),"")</f>
        <v/>
      </c>
      <c r="BE80" s="213" t="str">
        <f>IF(AO80&lt;&gt;"",SUMPRODUCT((AZ77:AZ80=AZ80)*(AU77:AU80=AU80)*(AS77:AS80=AS80)*(AW77:AW80=AW80)*(AX77:AX80&gt;AX80)),"")</f>
        <v/>
      </c>
      <c r="BF80" s="213" t="str">
        <f>IF(AO80&lt;&gt;"",SUMPRODUCT((AZ77:AZ80=AZ80)*(AU77:AU80=AU80)*(AS77:AS80=AS80)*(AW77:AW80=AW80)*(AX77:AX80=AX80)*(AY77:AY80&gt;AY80)),"")</f>
        <v/>
      </c>
      <c r="BG80" s="213" t="str">
        <f t="shared" si="112"/>
        <v/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Matches</vt:lpstr>
      <vt:lpstr>INTERNAL_USE_ONLY</vt:lpstr>
      <vt:lpstr>Setup | Game Regulation</vt:lpstr>
      <vt:lpstr>Dummy Table</vt:lpstr>
      <vt:lpstr>CurrentRound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Round5</vt:lpstr>
      <vt:lpstr>Round6</vt:lpstr>
      <vt:lpstr>Round7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Luke Aarohi</cp:lastModifiedBy>
  <cp:lastPrinted>2021-06-02T07:28:15Z</cp:lastPrinted>
  <dcterms:created xsi:type="dcterms:W3CDTF">2021-04-26T08:42:41Z</dcterms:created>
  <dcterms:modified xsi:type="dcterms:W3CDTF">2021-06-26T14:25:15Z</dcterms:modified>
</cp:coreProperties>
</file>