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D:\Dropbox\"/>
    </mc:Choice>
  </mc:AlternateContent>
  <xr:revisionPtr revIDLastSave="0" documentId="13_ncr:1_{BB0D538F-D822-4502-853E-33B759AF4ED1}" xr6:coauthVersionLast="47" xr6:coauthVersionMax="47" xr10:uidLastSave="{00000000-0000-0000-0000-000000000000}"/>
  <bookViews>
    <workbookView xWindow="-120" yWindow="-120" windowWidth="29040" windowHeight="15720" xr2:uid="{00000000-000D-0000-FFFF-FFFF00000000}"/>
  </bookViews>
  <sheets>
    <sheet name="TWR Exchange" sheetId="1" r:id="rId1"/>
    <sheet name="DCALC" sheetId="3" r:id="rId2"/>
    <sheet name="TXICALC" sheetId="5" r:id="rId3"/>
    <sheet name="RXICALC" sheetId="6" r:id="rId4"/>
    <sheet name="DVAL" sheetId="2" r:id="rId5"/>
    <sheet name="Ver Details"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7" l="1"/>
  <c r="D4" i="6" l="1"/>
  <c r="E45" i="6" s="1"/>
  <c r="D6" i="6"/>
  <c r="D7" i="6"/>
  <c r="D8" i="6"/>
  <c r="D9" i="6"/>
  <c r="D12" i="6"/>
  <c r="G45" i="6" s="1"/>
  <c r="O45" i="6"/>
  <c r="L54" i="6" s="1"/>
  <c r="D59" i="1"/>
  <c r="C7" i="3"/>
  <c r="C6" i="3"/>
  <c r="C24" i="3" s="1"/>
  <c r="C8" i="3"/>
  <c r="C9" i="3"/>
  <c r="D63" i="1"/>
  <c r="F63" i="1" s="1"/>
  <c r="D6" i="5"/>
  <c r="D7" i="5"/>
  <c r="D8" i="5"/>
  <c r="D9" i="5"/>
  <c r="D4" i="5"/>
  <c r="D5" i="5"/>
  <c r="C62" i="1"/>
  <c r="C66" i="1"/>
  <c r="F59" i="1"/>
  <c r="C69" i="1"/>
  <c r="C39" i="1"/>
  <c r="N56" i="5"/>
  <c r="O56" i="5"/>
  <c r="P56" i="5"/>
  <c r="F42" i="5"/>
  <c r="G14" i="3"/>
  <c r="G42" i="5"/>
  <c r="G59" i="5" s="1"/>
  <c r="H42" i="5"/>
  <c r="I42" i="5"/>
  <c r="J42" i="5"/>
  <c r="K42" i="5"/>
  <c r="K59" i="5" s="1"/>
  <c r="L42" i="5"/>
  <c r="D16" i="5"/>
  <c r="C59" i="1" s="1"/>
  <c r="E59" i="1" s="1"/>
  <c r="G59" i="1" s="1"/>
  <c r="C47" i="1"/>
  <c r="D47" i="1"/>
  <c r="F47" i="1" s="1"/>
  <c r="H14" i="3"/>
  <c r="F51" i="5"/>
  <c r="F60" i="5" s="1"/>
  <c r="G51" i="5"/>
  <c r="G60" i="5"/>
  <c r="H51" i="5"/>
  <c r="H60" i="5"/>
  <c r="I51" i="5"/>
  <c r="I60" i="5"/>
  <c r="J51" i="5"/>
  <c r="J60" i="5" s="1"/>
  <c r="K51" i="5"/>
  <c r="K60" i="5"/>
  <c r="L51" i="5"/>
  <c r="C50" i="1"/>
  <c r="C52" i="1"/>
  <c r="E46" i="6"/>
  <c r="P26" i="6"/>
  <c r="P27" i="6"/>
  <c r="P28" i="6"/>
  <c r="P29" i="6"/>
  <c r="P30" i="6"/>
  <c r="P25" i="6"/>
  <c r="L92" i="6"/>
  <c r="K92" i="6"/>
  <c r="J92" i="6"/>
  <c r="I92" i="6"/>
  <c r="H92" i="6"/>
  <c r="G92" i="6"/>
  <c r="F92" i="6"/>
  <c r="L87" i="6"/>
  <c r="K87" i="6"/>
  <c r="J87" i="6"/>
  <c r="I87" i="6"/>
  <c r="H87" i="6"/>
  <c r="G87" i="6"/>
  <c r="F87" i="6"/>
  <c r="L86" i="6"/>
  <c r="K86" i="6"/>
  <c r="J86" i="6"/>
  <c r="I86" i="6"/>
  <c r="H86" i="6"/>
  <c r="G86" i="6"/>
  <c r="F86" i="6"/>
  <c r="L85" i="6"/>
  <c r="K85" i="6"/>
  <c r="J85" i="6"/>
  <c r="I85" i="6"/>
  <c r="H85" i="6"/>
  <c r="G85" i="6"/>
  <c r="F85" i="6"/>
  <c r="L84" i="6"/>
  <c r="K84" i="6"/>
  <c r="J84" i="6"/>
  <c r="I84" i="6"/>
  <c r="H84" i="6"/>
  <c r="G84" i="6"/>
  <c r="F84" i="6"/>
  <c r="L83" i="6"/>
  <c r="K83" i="6"/>
  <c r="J83" i="6"/>
  <c r="I83" i="6"/>
  <c r="H83" i="6"/>
  <c r="G83" i="6"/>
  <c r="F83" i="6"/>
  <c r="L82" i="6"/>
  <c r="K82" i="6"/>
  <c r="J82" i="6"/>
  <c r="I82" i="6"/>
  <c r="H82" i="6"/>
  <c r="G82" i="6"/>
  <c r="F82" i="6"/>
  <c r="D16" i="6"/>
  <c r="D5" i="6"/>
  <c r="E30" i="5"/>
  <c r="Q30" i="5"/>
  <c r="E29" i="5"/>
  <c r="Q29" i="5" s="1"/>
  <c r="E28" i="5"/>
  <c r="Q28" i="5"/>
  <c r="E27" i="5"/>
  <c r="Q27" i="5"/>
  <c r="E26" i="5"/>
  <c r="Q26" i="5"/>
  <c r="E25" i="5"/>
  <c r="Q25" i="5" s="1"/>
  <c r="G44" i="5"/>
  <c r="G58" i="5"/>
  <c r="H58" i="5"/>
  <c r="I58" i="5"/>
  <c r="J58" i="5"/>
  <c r="K58" i="5"/>
  <c r="L58" i="5"/>
  <c r="F58" i="5"/>
  <c r="G57" i="5"/>
  <c r="H57" i="5"/>
  <c r="I57" i="5"/>
  <c r="J57" i="5"/>
  <c r="K57" i="5"/>
  <c r="L57" i="5"/>
  <c r="F57" i="5"/>
  <c r="G46" i="5"/>
  <c r="H46" i="5"/>
  <c r="I46" i="5"/>
  <c r="J46" i="5"/>
  <c r="K46" i="5"/>
  <c r="L46" i="5"/>
  <c r="F46" i="5"/>
  <c r="L45" i="5"/>
  <c r="K45" i="5"/>
  <c r="J45" i="5"/>
  <c r="I45" i="5"/>
  <c r="H45" i="5"/>
  <c r="G45" i="5"/>
  <c r="F45" i="5"/>
  <c r="G41" i="5"/>
  <c r="H41" i="5"/>
  <c r="I41" i="5"/>
  <c r="J41" i="5"/>
  <c r="K41" i="5"/>
  <c r="L41" i="5"/>
  <c r="G43" i="5"/>
  <c r="H43" i="5"/>
  <c r="I43" i="5"/>
  <c r="J43" i="5"/>
  <c r="K43" i="5"/>
  <c r="L43" i="5"/>
  <c r="F43" i="5"/>
  <c r="F41" i="5"/>
  <c r="L44" i="5"/>
  <c r="K44" i="5"/>
  <c r="J44" i="5"/>
  <c r="I44" i="5"/>
  <c r="H44" i="5"/>
  <c r="F44" i="5"/>
  <c r="G15" i="3"/>
  <c r="C5" i="3"/>
  <c r="C22" i="3" s="1"/>
  <c r="L59" i="5" l="1"/>
  <c r="L56" i="5"/>
  <c r="F59" i="5"/>
  <c r="I59" i="5"/>
  <c r="C23" i="3"/>
  <c r="K46" i="6"/>
  <c r="E47" i="1"/>
  <c r="G47" i="1" s="1"/>
  <c r="H59" i="5"/>
  <c r="K56" i="5"/>
  <c r="C25" i="3"/>
  <c r="F45" i="6"/>
  <c r="E54" i="6" s="1"/>
  <c r="C29" i="3"/>
  <c r="C32" i="3" s="1"/>
  <c r="C28" i="3"/>
  <c r="C33" i="3"/>
  <c r="O46" i="6"/>
  <c r="D12" i="5"/>
  <c r="J56" i="5" s="1"/>
  <c r="L60" i="5"/>
  <c r="H46" i="6"/>
  <c r="J59" i="5"/>
  <c r="F56" i="5"/>
  <c r="I56" i="5"/>
  <c r="H56" i="5"/>
  <c r="E56" i="5"/>
  <c r="K45" i="6"/>
  <c r="N46" i="6"/>
  <c r="J46" i="6"/>
  <c r="N45" i="6"/>
  <c r="J45" i="6"/>
  <c r="I46" i="6"/>
  <c r="M45" i="6"/>
  <c r="I45" i="6"/>
  <c r="F46" i="6"/>
  <c r="M46" i="6"/>
  <c r="G46" i="6"/>
  <c r="L46" i="6"/>
  <c r="H45" i="6"/>
  <c r="E59" i="6" s="1"/>
  <c r="L45" i="6"/>
  <c r="C37" i="3" l="1"/>
  <c r="C26" i="3" s="1"/>
  <c r="H65" i="5" s="1"/>
  <c r="C30" i="3"/>
  <c r="J59" i="6" s="1"/>
  <c r="G56" i="5"/>
  <c r="P45" i="6"/>
  <c r="E65" i="5"/>
  <c r="E70" i="5"/>
  <c r="H54" i="6"/>
  <c r="F54" i="6"/>
  <c r="I54" i="6"/>
  <c r="I59" i="6"/>
  <c r="J54" i="6"/>
  <c r="G54" i="6"/>
  <c r="K54" i="6"/>
  <c r="H5" i="3" l="1"/>
  <c r="K9" i="1" s="1"/>
  <c r="D60" i="1" s="1"/>
  <c r="D48" i="1"/>
  <c r="D51" i="1" s="1"/>
  <c r="F51" i="1" s="1"/>
  <c r="G59" i="6"/>
  <c r="L59" i="6"/>
  <c r="C42" i="3"/>
  <c r="H59" i="6"/>
  <c r="K59" i="6"/>
  <c r="C41" i="3"/>
  <c r="G70" i="5" s="1"/>
  <c r="F59" i="6"/>
  <c r="J65" i="5"/>
  <c r="G65" i="5"/>
  <c r="Q56" i="5"/>
  <c r="L65" i="5"/>
  <c r="K65" i="5"/>
  <c r="F65" i="5"/>
  <c r="I65" i="5"/>
  <c r="M54" i="6"/>
  <c r="D67" i="1" l="1"/>
  <c r="F67" i="1" s="1"/>
  <c r="D64" i="1"/>
  <c r="F64" i="1" s="1"/>
  <c r="F48" i="1"/>
  <c r="M59" i="6"/>
  <c r="K15" i="1" s="1"/>
  <c r="C65" i="1" s="1"/>
  <c r="H6" i="3"/>
  <c r="K10" i="1" s="1"/>
  <c r="K70" i="5"/>
  <c r="C45" i="3"/>
  <c r="H7" i="3" s="1"/>
  <c r="K11" i="1" s="1"/>
  <c r="L70" i="5"/>
  <c r="J70" i="5"/>
  <c r="F70" i="5"/>
  <c r="I70" i="5"/>
  <c r="D49" i="1"/>
  <c r="H70" i="5"/>
  <c r="M65" i="5"/>
  <c r="I6" i="5" s="1"/>
  <c r="K12" i="1" s="1"/>
  <c r="C48" i="1" s="1"/>
  <c r="E48" i="1" s="1"/>
  <c r="G48" i="1" s="1"/>
  <c r="I7" i="6"/>
  <c r="F60" i="1"/>
  <c r="K14" i="1"/>
  <c r="I6" i="6"/>
  <c r="M70" i="5" l="1"/>
  <c r="I7" i="5" s="1"/>
  <c r="K13" i="1" s="1"/>
  <c r="C68" i="1" s="1"/>
  <c r="F49" i="1"/>
  <c r="D65" i="1"/>
  <c r="D61" i="1"/>
  <c r="F61" i="1" s="1"/>
  <c r="D68" i="1"/>
  <c r="F68" i="1" s="1"/>
  <c r="C67" i="1"/>
  <c r="E67" i="1" s="1"/>
  <c r="G67" i="1" s="1"/>
  <c r="C60" i="1"/>
  <c r="E60" i="1" s="1"/>
  <c r="G60" i="1" s="1"/>
  <c r="C51" i="1"/>
  <c r="E51" i="1" s="1"/>
  <c r="G51" i="1" s="1"/>
  <c r="C63" i="1"/>
  <c r="E63" i="1" s="1"/>
  <c r="G63" i="1" s="1"/>
  <c r="C64" i="1"/>
  <c r="E64" i="1" s="1"/>
  <c r="G64" i="1" s="1"/>
  <c r="C49" i="1" l="1"/>
  <c r="E49" i="1" s="1"/>
  <c r="G49" i="1" s="1"/>
  <c r="C61" i="1"/>
  <c r="E61" i="1" s="1"/>
  <c r="G61" i="1" s="1"/>
  <c r="F65" i="1"/>
  <c r="D66" i="1"/>
  <c r="E65" i="1"/>
  <c r="G65" i="1" s="1"/>
  <c r="E68" i="1"/>
  <c r="G68" i="1" s="1"/>
  <c r="F66" i="1" l="1"/>
  <c r="D62" i="1"/>
  <c r="D50" i="1"/>
  <c r="E66" i="1"/>
  <c r="G66" i="1" s="1"/>
  <c r="F62" i="1" l="1"/>
  <c r="F69" i="1" s="1"/>
  <c r="G69" i="1" s="1"/>
  <c r="D70" i="1"/>
  <c r="E62" i="1"/>
  <c r="G62" i="1" s="1"/>
  <c r="E50" i="1"/>
  <c r="G50" i="1" s="1"/>
  <c r="F50" i="1"/>
  <c r="F52" i="1" s="1"/>
  <c r="G52" i="1" s="1"/>
  <c r="G70" i="1" l="1"/>
  <c r="G53" i="1"/>
  <c r="H47" i="1" l="1"/>
  <c r="H51" i="1"/>
  <c r="H48" i="1"/>
  <c r="O48" i="1"/>
  <c r="O49" i="1" s="1"/>
  <c r="H49" i="1"/>
  <c r="H52" i="1"/>
  <c r="H63" i="1"/>
  <c r="H66" i="1"/>
  <c r="H60" i="1"/>
  <c r="H61" i="1"/>
  <c r="H67" i="1"/>
  <c r="H64" i="1"/>
  <c r="H59" i="1"/>
  <c r="H68" i="1"/>
  <c r="O60" i="1"/>
  <c r="O61" i="1" s="1"/>
  <c r="H65" i="1"/>
  <c r="H50" i="1"/>
  <c r="H62" i="1"/>
  <c r="H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mdownes</author>
  </authors>
  <commentList>
    <comment ref="B24" authorId="0" shapeId="0" xr:uid="{00000000-0006-0000-0100-000001000000}">
      <text>
        <r>
          <rPr>
            <b/>
            <sz val="9"/>
            <color indexed="81"/>
            <rFont val="Tahoma"/>
            <family val="2"/>
          </rPr>
          <t>mdownes:</t>
        </r>
        <r>
          <rPr>
            <sz val="9"/>
            <color indexed="81"/>
            <rFont val="Tahoma"/>
            <family val="2"/>
          </rPr>
          <t xml:space="preserve">
This is known as Start Frame Delimiter (SFD) and together with the preamble forms the  Synchronisation Header (SHR)</t>
        </r>
      </text>
    </comment>
    <comment ref="C41" authorId="0" shapeId="0" xr:uid="{00000000-0006-0000-0100-000002000000}">
      <text>
        <r>
          <rPr>
            <b/>
            <sz val="9"/>
            <color indexed="81"/>
            <rFont val="Tahoma"/>
            <family val="2"/>
          </rPr>
          <t>mdownes:</t>
        </r>
        <r>
          <rPr>
            <sz val="9"/>
            <color indexed="81"/>
            <rFont val="Tahoma"/>
            <family val="2"/>
          </rPr>
          <t xml:space="preserve">
Changed
=(19+$C$9*8*63/55)/C30
to =IF(C6=6800,8,1)*21/C30+($C$9*8+ROUNDUP($C$9*8/330,0)*48)/C30
There are 21 bits of PHR, not 19 (generally).
The PHR is at 850 kbps for 6810, and so needs to be calculated differently, here *8.
The Reed-Solomon encoding multiple is 63/55, but this is in 6 bytes added for every 55 bytes, or part thereof, so to get the exact duration, we need to figure out how many integer encoded blocks and multiply by 48 to obtain the added number of symbols.
I can explain this further if not clear (Mary).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gmarrow</author>
  </authors>
  <commentList>
    <comment ref="K24" authorId="0" shapeId="0" xr:uid="{00000000-0006-0000-0200-000001000000}">
      <text>
        <r>
          <rPr>
            <b/>
            <sz val="9"/>
            <color indexed="81"/>
            <rFont val="Tahoma"/>
            <family val="2"/>
          </rPr>
          <t>gmarrow:</t>
        </r>
        <r>
          <rPr>
            <sz val="9"/>
            <color indexed="81"/>
            <rFont val="Tahoma"/>
            <family val="2"/>
          </rPr>
          <t xml:space="preserve">
Fixed current first stage of DA. Does not change with DA gain</t>
        </r>
      </text>
    </comment>
    <comment ref="L24" authorId="0" shapeId="0" xr:uid="{00000000-0006-0000-0200-000002000000}">
      <text>
        <r>
          <rPr>
            <b/>
            <sz val="9"/>
            <color indexed="81"/>
            <rFont val="Tahoma"/>
            <family val="2"/>
          </rPr>
          <t>gmarrow:</t>
        </r>
        <r>
          <rPr>
            <sz val="9"/>
            <color indexed="81"/>
            <rFont val="Tahoma"/>
            <family val="2"/>
          </rPr>
          <t xml:space="preserve">
Varies with DA gain
</t>
        </r>
      </text>
    </comment>
    <comment ref="L25" authorId="0" shapeId="0" xr:uid="{00000000-0006-0000-0200-000003000000}">
      <text>
        <r>
          <rPr>
            <b/>
            <sz val="9"/>
            <color indexed="81"/>
            <rFont val="Tahoma"/>
            <family val="2"/>
          </rPr>
          <t>gmarrow:</t>
        </r>
        <r>
          <rPr>
            <sz val="9"/>
            <color indexed="81"/>
            <rFont val="Tahoma"/>
            <family val="2"/>
          </rPr>
          <t xml:space="preserve">
This takes into account the DA Gain of "010" for 16 and 64MHz PRF. No need to scale
</t>
        </r>
      </text>
    </comment>
  </commentList>
</comments>
</file>

<file path=xl/sharedStrings.xml><?xml version="1.0" encoding="utf-8"?>
<sst xmlns="http://schemas.openxmlformats.org/spreadsheetml/2006/main" count="525" uniqueCount="257">
  <si>
    <t>BATTERY LIFE CALCULATOR FOR DW1000 IN TWO-WAY RANGING USE CASE</t>
  </si>
  <si>
    <t>Enter your parameters in the yellow coloured cells - do not enter data in any other cell in this sheet</t>
  </si>
  <si>
    <r>
      <t xml:space="preserve">Cells shaded green are </t>
    </r>
    <r>
      <rPr>
        <b/>
        <i/>
        <sz val="11"/>
        <color rgb="FFFF0000"/>
        <rFont val="Calibri"/>
        <family val="2"/>
        <scheme val="minor"/>
      </rPr>
      <t>calculated</t>
    </r>
    <r>
      <rPr>
        <b/>
        <sz val="11"/>
        <color rgb="FFFF0000"/>
        <rFont val="Calibri"/>
        <family val="2"/>
        <scheme val="minor"/>
      </rPr>
      <t xml:space="preserve"> values</t>
    </r>
  </si>
  <si>
    <t>STEP 1: SELECT YOUR CHANNEL PARAMETERS</t>
  </si>
  <si>
    <t>RESULTING FRAME PARAMETERS</t>
  </si>
  <si>
    <t>Parameter</t>
  </si>
  <si>
    <t>Value</t>
  </si>
  <si>
    <t>Units</t>
  </si>
  <si>
    <t>Comments</t>
  </si>
  <si>
    <t>Duration</t>
  </si>
  <si>
    <t>Channel</t>
  </si>
  <si>
    <t>Channel No</t>
  </si>
  <si>
    <t>Enter your chosen channel of operation here</t>
  </si>
  <si>
    <t>Preamble duration</t>
  </si>
  <si>
    <t>µs</t>
  </si>
  <si>
    <t>Data rate</t>
  </si>
  <si>
    <t>kb/s</t>
  </si>
  <si>
    <t>Enter your data rate here</t>
  </si>
  <si>
    <t>Payload duration</t>
  </si>
  <si>
    <t>Preamble Length</t>
  </si>
  <si>
    <t>symbols</t>
  </si>
  <si>
    <t>Enter your preamble length here</t>
  </si>
  <si>
    <t>Total frame duration</t>
  </si>
  <si>
    <t>PRF</t>
  </si>
  <si>
    <t>MHz</t>
  </si>
  <si>
    <t>Enter your PRF here</t>
  </si>
  <si>
    <t>Tx preamble current</t>
  </si>
  <si>
    <t>mA</t>
  </si>
  <si>
    <t># bytes</t>
  </si>
  <si>
    <t>bytes</t>
  </si>
  <si>
    <t>Enter the number of payload bytes here</t>
  </si>
  <si>
    <t>Tx Payload current</t>
  </si>
  <si>
    <t>Rx preamble current</t>
  </si>
  <si>
    <t>Rx Payload current</t>
  </si>
  <si>
    <t xml:space="preserve">STEP 2: INPUT DETAILS ABOUT YOUR POWER SUPPLY </t>
  </si>
  <si>
    <t>Battery Capacity</t>
  </si>
  <si>
    <t>mAh</t>
  </si>
  <si>
    <t>mAh (assuming steady state low load)</t>
  </si>
  <si>
    <t>Do you use a DC/DC for VDDLDOD / VDDLDOA?</t>
  </si>
  <si>
    <t>Yes</t>
  </si>
  <si>
    <t>Yes / No</t>
  </si>
  <si>
    <t>Does your design use a DC/DC converter to provide the VDDLDOA and VDDLDOD supplies to the DW1000?</t>
  </si>
  <si>
    <t>DC/DC input voltage</t>
  </si>
  <si>
    <t>V DC</t>
  </si>
  <si>
    <t>The voltage at the input to the DC/DC</t>
  </si>
  <si>
    <t>DC/DC output voltage</t>
  </si>
  <si>
    <t>The output voltage from the DC/DC</t>
  </si>
  <si>
    <t>DC/DC efficiency</t>
  </si>
  <si>
    <t>%</t>
  </si>
  <si>
    <t>The efficiency of the DC/DC converter</t>
  </si>
  <si>
    <t>STEP 3: ARE YOU A TAG OR AN ANCHOR</t>
  </si>
  <si>
    <t>An anchor is assumed to be listening all the time for polls from a tag. A tag polls, waits for a response from the anchor and either gets one and begins a two way ranging exchange or times out and goes to sleep</t>
  </si>
  <si>
    <t>Which node?</t>
  </si>
  <si>
    <t>Tag</t>
  </si>
  <si>
    <t>Which of the two nodes are you?</t>
  </si>
  <si>
    <t xml:space="preserve">STEP 4: INPUT THE CHARACTERISTICS OF YOUR TWO WAY RANGING </t>
  </si>
  <si>
    <t>How often do you want the tag to range or poll looking for an anchor?</t>
  </si>
  <si>
    <t>Two way ranging Rate</t>
  </si>
  <si>
    <t>Hz</t>
  </si>
  <si>
    <t>Ranging occurs this many times per second</t>
  </si>
  <si>
    <t>Time between ranges</t>
  </si>
  <si>
    <t>s</t>
  </si>
  <si>
    <t>This is the ranging period</t>
  </si>
  <si>
    <t>Node repsonse time</t>
  </si>
  <si>
    <t>Time from start of receipt of data portion of frame to start of transmission of data portion of response</t>
  </si>
  <si>
    <t>STEP 5: AVERAGE CURRENT &amp; BATTERY LIFE CALCULATIONS FOR VARIOUS SCENARIOS</t>
  </si>
  <si>
    <t>A: TAG CURRENT PER TAG POLL IN DISCOVERY PHASE</t>
  </si>
  <si>
    <t>Phase</t>
  </si>
  <si>
    <t>Current
(mA)</t>
  </si>
  <si>
    <t>Duration per instance
(ms)</t>
  </si>
  <si>
    <r>
      <t>Charge used per instance
(</t>
    </r>
    <r>
      <rPr>
        <b/>
        <sz val="11"/>
        <color theme="1"/>
        <rFont val="Calibri"/>
        <family val="2"/>
      </rPr>
      <t>µ</t>
    </r>
    <r>
      <rPr>
        <b/>
        <sz val="8.25"/>
        <color theme="1"/>
        <rFont val="Calibri"/>
        <family val="2"/>
      </rPr>
      <t>As</t>
    </r>
    <r>
      <rPr>
        <b/>
        <sz val="11"/>
        <color theme="1"/>
        <rFont val="Calibri"/>
        <family val="2"/>
        <scheme val="minor"/>
      </rPr>
      <t>)</t>
    </r>
  </si>
  <si>
    <t>Avg time / s (ms) 
used to calc sleep time</t>
  </si>
  <si>
    <t>Avg Current per second 
(mA)</t>
  </si>
  <si>
    <t>% of total</t>
  </si>
  <si>
    <t>What's happening?</t>
  </si>
  <si>
    <t>Lifespan for chosen battery</t>
  </si>
  <si>
    <t>Startup</t>
  </si>
  <si>
    <t>Tag wakes from sleep</t>
  </si>
  <si>
    <t>Quantity</t>
  </si>
  <si>
    <t>Period</t>
  </si>
  <si>
    <t>Tx Preamble</t>
  </si>
  <si>
    <t>Tag sends "Poll" preamble</t>
  </si>
  <si>
    <t>hours</t>
  </si>
  <si>
    <t>Tx Data</t>
  </si>
  <si>
    <t>Tag sends "Poll" data</t>
  </si>
  <si>
    <t>days</t>
  </si>
  <si>
    <t>Tag idles before turning on Rx</t>
  </si>
  <si>
    <t>Tag waits while anchor formulates "Response" message</t>
  </si>
  <si>
    <t>Rx Preamble hunt</t>
  </si>
  <si>
    <t>Tag listens for response from anchor</t>
  </si>
  <si>
    <t>Deep Sleep</t>
  </si>
  <si>
    <t>No reponse received so time-out and go to sleep</t>
  </si>
  <si>
    <t>AVERAGE CURRENT IN 1 s</t>
  </si>
  <si>
    <t>B: TAG CURRENT WHEN RANGING AT THE REQUESTED  RATE</t>
  </si>
  <si>
    <t>Tx Poll Preamble</t>
  </si>
  <si>
    <t>Tx Poll Data</t>
  </si>
  <si>
    <t>Tag waits while anchor formulates "Response" message. Wait time is determined by Response Time</t>
  </si>
  <si>
    <t>Tag turns on Rx and listens for "Response" from anchor</t>
  </si>
  <si>
    <t>Rx Response Preamble</t>
  </si>
  <si>
    <t>Tag receives "Response" preamble from anchor</t>
  </si>
  <si>
    <t>Rx Response data</t>
  </si>
  <si>
    <t>Tag receives "Response" data from anchor</t>
  </si>
  <si>
    <t>Tag idles before turning on Tx</t>
  </si>
  <si>
    <t>When necessary Tag idles to meet regulatory requirement of only 1 tx per ms</t>
  </si>
  <si>
    <t>Tx Final Preamble</t>
  </si>
  <si>
    <t>Tag sends "Final" preamble to anchor</t>
  </si>
  <si>
    <t>Tx Final Data</t>
  </si>
  <si>
    <t>Tag sends "Final" data to anchor</t>
  </si>
  <si>
    <t>Return to Deep Sleep</t>
  </si>
  <si>
    <t>Tag returns to sleep</t>
  </si>
  <si>
    <t>MESSAGE DURATION CALCULATIONS</t>
  </si>
  <si>
    <t>INPUT PARAMETERS FROM ENTRY SHEET</t>
  </si>
  <si>
    <t>RETURNED RESULTS</t>
  </si>
  <si>
    <t>VERIFICATION</t>
  </si>
  <si>
    <t>verified against engineering spreadsheet</t>
  </si>
  <si>
    <t>DR</t>
  </si>
  <si>
    <t>PLEN</t>
  </si>
  <si>
    <t>Preamble Duration</t>
  </si>
  <si>
    <t>Payload Duration</t>
  </si>
  <si>
    <t xml:space="preserve">Preamble </t>
  </si>
  <si>
    <t>Total duration</t>
  </si>
  <si>
    <t>PARAMETER CONVERSION TABLES</t>
  </si>
  <si>
    <t>Chnl</t>
  </si>
  <si>
    <t>Band-width</t>
  </si>
  <si>
    <t>Input PRF</t>
  </si>
  <si>
    <t>Preamble PRF used</t>
  </si>
  <si>
    <t>Data PRF used</t>
  </si>
  <si>
    <t>Preamble Multiplier</t>
  </si>
  <si>
    <t>Input data rate</t>
  </si>
  <si>
    <t>Pulses per burst 16M PRF</t>
  </si>
  <si>
    <t>Pulses per burst 64M PRF</t>
  </si>
  <si>
    <t>Preamble extension</t>
  </si>
  <si>
    <t>PARAMETERS USED IN CALCS</t>
  </si>
  <si>
    <t>Channel Bandwidth</t>
  </si>
  <si>
    <t>Preamble PRF</t>
  </si>
  <si>
    <t>Preamble multiplier</t>
  </si>
  <si>
    <t>No of Preamble pulses</t>
  </si>
  <si>
    <t>Data PRF</t>
  </si>
  <si>
    <t>Data pulses per burst</t>
  </si>
  <si>
    <t>Data bursts per second</t>
  </si>
  <si>
    <t>Pulse separation</t>
  </si>
  <si>
    <t>Burst duration</t>
  </si>
  <si>
    <t>No of data bursts</t>
  </si>
  <si>
    <t>PREAMBLE LENGTH CALCULATIONS</t>
  </si>
  <si>
    <t>DATA LENGTH CALCULATIONS</t>
  </si>
  <si>
    <t>Data Length</t>
  </si>
  <si>
    <t>TOTAL DURATION</t>
  </si>
  <si>
    <t>Frame length</t>
  </si>
  <si>
    <t>OTHER DURATIONS USED</t>
  </si>
  <si>
    <t>DW1000 startup</t>
  </si>
  <si>
    <t>CMF length</t>
  </si>
  <si>
    <t>TRANSMITTER CURRENT CONSUMPTION</t>
  </si>
  <si>
    <t>`</t>
  </si>
  <si>
    <t>PREAMBLE CURRENT VERIFICATION</t>
  </si>
  <si>
    <t>DATA CURRENT VERIFICATION</t>
  </si>
  <si>
    <t>DC/DC</t>
  </si>
  <si>
    <t>Avg preamble current</t>
  </si>
  <si>
    <t>Ch</t>
  </si>
  <si>
    <t>PRF 16</t>
  </si>
  <si>
    <t>PRF 64</t>
  </si>
  <si>
    <t>no DC/DC</t>
  </si>
  <si>
    <t>DC/DC Vin</t>
  </si>
  <si>
    <t>Avg data current</t>
  </si>
  <si>
    <t>No DC/DC</t>
  </si>
  <si>
    <t>DC/DC Vout</t>
  </si>
  <si>
    <t>DC/DC Scale Factor</t>
  </si>
  <si>
    <t>MODE RELATED CURRENTS</t>
  </si>
  <si>
    <t>Startup current</t>
  </si>
  <si>
    <t>Idle mode current</t>
  </si>
  <si>
    <t>DEEPSLEEP current</t>
  </si>
  <si>
    <t>SLEEP current</t>
  </si>
  <si>
    <t>CURRENTS</t>
  </si>
  <si>
    <t>CH</t>
  </si>
  <si>
    <t>Item</t>
  </si>
  <si>
    <t>Fixed</t>
  </si>
  <si>
    <t>Pulse gen</t>
  </si>
  <si>
    <t>DLL</t>
  </si>
  <si>
    <t>RF PLL</t>
  </si>
  <si>
    <t>LO BUF</t>
  </si>
  <si>
    <t>mixer</t>
  </si>
  <si>
    <t>PA Fixed</t>
  </si>
  <si>
    <t>PA Variable</t>
  </si>
  <si>
    <t>XTAL/BGAP</t>
  </si>
  <si>
    <t>CLKPLL</t>
  </si>
  <si>
    <t>Digital</t>
  </si>
  <si>
    <t>Peak</t>
  </si>
  <si>
    <t>Current</t>
  </si>
  <si>
    <t>TIMINGS - FIXED</t>
  </si>
  <si>
    <t>Block turn on time</t>
  </si>
  <si>
    <t>Pulse width 500MHz</t>
  </si>
  <si>
    <t>Block turn off time</t>
  </si>
  <si>
    <t>Pulse width 1300MHz</t>
  </si>
  <si>
    <t>TIMINGS - PREAMBLE</t>
  </si>
  <si>
    <t>Bandwidth</t>
  </si>
  <si>
    <t>Total on time/pulse preamble mode</t>
  </si>
  <si>
    <t>500MHz</t>
  </si>
  <si>
    <t>500 MHz</t>
  </si>
  <si>
    <t>1300MHz</t>
  </si>
  <si>
    <t>TIMINGS - DATA</t>
  </si>
  <si>
    <t>ALL</t>
  </si>
  <si>
    <t>Turn on time/burst data mode</t>
  </si>
  <si>
    <t>FIGURES TO USE IN THIS CALCULATION</t>
  </si>
  <si>
    <t>turn on time</t>
  </si>
  <si>
    <t>turn off time</t>
  </si>
  <si>
    <t>total on time  / pulse preamble mode</t>
  </si>
  <si>
    <t>PREAMBLE MODE CALCULATION</t>
  </si>
  <si>
    <r>
      <rPr>
        <b/>
        <sz val="11"/>
        <color theme="1"/>
        <rFont val="Calibri"/>
        <family val="2"/>
        <scheme val="minor"/>
      </rPr>
      <t xml:space="preserve">MIN </t>
    </r>
    <r>
      <rPr>
        <sz val="11"/>
        <color theme="1"/>
        <rFont val="Calibri"/>
        <family val="2"/>
        <scheme val="minor"/>
      </rPr>
      <t>(turn on time*no preamble pulses/preamble length*Iblock/1000, Iblock)</t>
    </r>
  </si>
  <si>
    <t>LO Buff</t>
  </si>
  <si>
    <t>Mixer</t>
  </si>
  <si>
    <t>DA (PA1)</t>
  </si>
  <si>
    <t>DA (PA2)</t>
  </si>
  <si>
    <t>Average PL</t>
  </si>
  <si>
    <t>DATA MODE CALCULATION</t>
  </si>
  <si>
    <r>
      <rPr>
        <b/>
        <sz val="11"/>
        <color theme="1"/>
        <rFont val="Calibri"/>
        <family val="2"/>
        <scheme val="minor"/>
      </rPr>
      <t xml:space="preserve">MIN </t>
    </r>
    <r>
      <rPr>
        <sz val="11"/>
        <color theme="1"/>
        <rFont val="Calibri"/>
        <family val="2"/>
        <scheme val="minor"/>
      </rPr>
      <t>((turn on time+burst duration)*Iblock*#bursts / data length / 1000), Iblock)</t>
    </r>
  </si>
  <si>
    <t>Average data</t>
  </si>
  <si>
    <t>RECEIVER CURRENT CONSUMPTION</t>
  </si>
  <si>
    <t>FIXED</t>
  </si>
  <si>
    <t>SEQUENCED</t>
  </si>
  <si>
    <t>TOTAL RF</t>
  </si>
  <si>
    <t>XTAL / BGAP</t>
  </si>
  <si>
    <t>CLK PLL</t>
  </si>
  <si>
    <t>Rx Digital Preamble</t>
  </si>
  <si>
    <t xml:space="preserve">Rx Digital Data </t>
  </si>
  <si>
    <t>ADC</t>
  </si>
  <si>
    <t>IF FILT</t>
  </si>
  <si>
    <t>VGA</t>
  </si>
  <si>
    <t>RX MIX</t>
  </si>
  <si>
    <t>LNA</t>
  </si>
  <si>
    <t>STARTUP TIMES</t>
  </si>
  <si>
    <t>Startup time</t>
  </si>
  <si>
    <t xml:space="preserve">Startup time </t>
  </si>
  <si>
    <t>Iblock*Min(2 * (burst duration+CMF length+block startup time)/(1/bursts per sec/1000)),1)</t>
  </si>
  <si>
    <t>LISTS FOR DATA ENTRY VALIDATION</t>
  </si>
  <si>
    <t>Data Rate</t>
  </si>
  <si>
    <t>Which node</t>
  </si>
  <si>
    <t>Which Phase</t>
  </si>
  <si>
    <t>Discovery</t>
  </si>
  <si>
    <t>No</t>
  </si>
  <si>
    <t>Ranging</t>
  </si>
  <si>
    <t>Current Version</t>
  </si>
  <si>
    <t>version</t>
  </si>
  <si>
    <t>1. To date 30/10/15</t>
  </si>
  <si>
    <t>Issues</t>
  </si>
  <si>
    <t>1. Total Tx time limited to 1mSec to comply with emissions requirement. This is removed</t>
  </si>
  <si>
    <t>2. Setting for node response time (C40) affected nothing.</t>
  </si>
  <si>
    <t>Changes</t>
  </si>
  <si>
    <t>1.  Restriction on total transmit time set in sheet "TWR Exchange" D66 removed</t>
  </si>
  <si>
    <t>2. Help text re change in 1. added to TWR power Calc Java App</t>
  </si>
  <si>
    <t>3. Turn around delay set the same for Discovery and Poll response 2 stages.</t>
  </si>
  <si>
    <t>4. Minimum delay period of 100Usec set. See D66</t>
  </si>
  <si>
    <t>1 Mary changed formula at C41 to remove approximations and give the correct packet length</t>
  </si>
  <si>
    <t>mdownes:   Changed C41 in DCALC sheet</t>
  </si>
  <si>
    <t>FROM =(19+$C$9*8*63/55)/C30</t>
  </si>
  <si>
    <t>to =IF(C6=6800,8,1)*21/C30+($C$9*8+ROUNDUP($C$9*8/330,0)*48)/C30</t>
  </si>
  <si>
    <t>There are 21 bits of PHR, not 19 (generally).</t>
  </si>
  <si>
    <t>The PHR is at 850 kbps for 6800, and so needs to be calculated differently, here *8.</t>
  </si>
  <si>
    <t>The Reed-Solomon encoding multiple is 63/55, but this is in 6 bytes added for every 55 bytes, or part thereof, 
so to get the exact duration, we need to figure out how many integer encoded blocks and multiply by 48 to obtain the added number of symbols.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</si>
</sst>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_-;\-* #,##0.00_-;_-* &quot;-&quot;??_-;_-@_-"/>
    <numFmt numFmtId="165" formatCode="0.0\ &quot;MHz&quot;"/>
    <numFmt numFmtId="166" formatCode="0.000\ &quot;MHz&quot;"/>
    <numFmt numFmtId="167" formatCode="0\ &quot;us&quot;"/>
    <numFmt numFmtId="168" formatCode="0.00\ &quot;us&quot;"/>
    <numFmt numFmtId="169" formatCode="0,000.00\ &quot;us&quot;"/>
    <numFmt numFmtId="170" formatCode="0.00\ &quot;mA&quot;"/>
    <numFmt numFmtId="171" formatCode="0\ &quot;mA&quot;"/>
    <numFmt numFmtId="172" formatCode="0.0\ &quot;mA&quot;"/>
    <numFmt numFmtId="173" formatCode="0\ &quot;nS&quot;"/>
    <numFmt numFmtId="174" formatCode="0.0\ &quot;ns&quot;"/>
    <numFmt numFmtId="175" formatCode="0\ &quot;ns&quot;"/>
    <numFmt numFmtId="176" formatCode="0.0000\ &quot;mA&quot;"/>
    <numFmt numFmtId="177" formatCode="0.00000\ &quot;mA&quot;"/>
    <numFmt numFmtId="178" formatCode="0.00\ &quot;ms&quot;"/>
    <numFmt numFmtId="179" formatCode="0.00\ &quot;uAs&quot;"/>
    <numFmt numFmtId="180" formatCode="##0.00E+0"/>
    <numFmt numFmtId="181" formatCode="0.000\ &quot;ms&quot;"/>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1"/>
      <color theme="1"/>
      <name val="Calibri"/>
      <family val="2"/>
    </font>
    <font>
      <b/>
      <sz val="9"/>
      <color indexed="81"/>
      <name val="Tahoma"/>
      <family val="2"/>
    </font>
    <font>
      <sz val="9"/>
      <color indexed="81"/>
      <name val="Tahoma"/>
      <family val="2"/>
    </font>
    <font>
      <b/>
      <sz val="11"/>
      <name val="Calibri"/>
      <family val="2"/>
      <scheme val="minor"/>
    </font>
    <font>
      <b/>
      <sz val="11"/>
      <color theme="1"/>
      <name val="Calibri"/>
      <family val="2"/>
    </font>
    <font>
      <b/>
      <sz val="8.25"/>
      <color theme="1"/>
      <name val="Calibri"/>
      <family val="2"/>
    </font>
    <font>
      <b/>
      <sz val="11"/>
      <color rgb="FFFF0000"/>
      <name val="Calibri"/>
      <family val="2"/>
      <scheme val="minor"/>
    </font>
    <font>
      <sz val="11"/>
      <color rgb="FFFF0000"/>
      <name val="Calibri"/>
      <family val="2"/>
      <scheme val="minor"/>
    </font>
    <font>
      <b/>
      <i/>
      <sz val="11"/>
      <color rgb="FFFF0000"/>
      <name val="Calibri"/>
      <family val="2"/>
      <scheme val="minor"/>
    </font>
    <font>
      <b/>
      <sz val="16"/>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59999389629810485"/>
        <bgColor indexed="64"/>
      </patternFill>
    </fill>
  </fills>
  <borders count="2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12">
    <xf numFmtId="0" fontId="0" fillId="0" borderId="0" xfId="0"/>
    <xf numFmtId="0" fontId="0" fillId="0" borderId="1" xfId="0" applyBorder="1"/>
    <xf numFmtId="0" fontId="2" fillId="0" borderId="0" xfId="0" applyFont="1"/>
    <xf numFmtId="0" fontId="3" fillId="0" borderId="0" xfId="0" applyFont="1"/>
    <xf numFmtId="0" fontId="0" fillId="2" borderId="5" xfId="0" applyFill="1" applyBorder="1" applyAlignment="1">
      <alignment vertical="center"/>
    </xf>
    <xf numFmtId="0" fontId="0" fillId="0" borderId="0" xfId="0" applyAlignment="1">
      <alignment vertical="center"/>
    </xf>
    <xf numFmtId="0" fontId="4" fillId="0" borderId="0" xfId="0" applyFont="1"/>
    <xf numFmtId="11" fontId="2" fillId="0" borderId="0" xfId="0" applyNumberFormat="1" applyFont="1" applyAlignment="1">
      <alignment horizontal="right" vertical="center" indent="1"/>
    </xf>
    <xf numFmtId="0" fontId="0" fillId="5" borderId="5" xfId="0" applyFill="1" applyBorder="1"/>
    <xf numFmtId="0" fontId="2" fillId="0" borderId="5"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165" fontId="0" fillId="0" borderId="0" xfId="0" applyNumberFormat="1"/>
    <xf numFmtId="166" fontId="0" fillId="0" borderId="0" xfId="0" applyNumberFormat="1"/>
    <xf numFmtId="1" fontId="0" fillId="0" borderId="0" xfId="0" applyNumberFormat="1"/>
    <xf numFmtId="167" fontId="0" fillId="0" borderId="0" xfId="0" applyNumberFormat="1"/>
    <xf numFmtId="0" fontId="2" fillId="0" borderId="5" xfId="0" applyFont="1" applyBorder="1" applyAlignment="1">
      <alignment horizontal="center" vertical="center"/>
    </xf>
    <xf numFmtId="0" fontId="5" fillId="0" borderId="5" xfId="0" applyFont="1" applyBorder="1" applyAlignment="1">
      <alignment horizontal="center" vertical="center"/>
    </xf>
    <xf numFmtId="0" fontId="2" fillId="0" borderId="5" xfId="0" applyFont="1" applyBorder="1" applyAlignment="1">
      <alignment horizontal="center" vertical="center" wrapText="1"/>
    </xf>
    <xf numFmtId="11" fontId="2" fillId="0" borderId="5" xfId="0" applyNumberFormat="1"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xf>
    <xf numFmtId="11" fontId="0" fillId="0" borderId="0" xfId="0" applyNumberFormat="1" applyAlignment="1">
      <alignment vertical="center"/>
    </xf>
    <xf numFmtId="0" fontId="0" fillId="0" borderId="0" xfId="0" applyAlignment="1">
      <alignment horizontal="left" vertical="center" wrapText="1"/>
    </xf>
    <xf numFmtId="172" fontId="0" fillId="0" borderId="0" xfId="0" applyNumberFormat="1" applyAlignment="1">
      <alignment vertical="center"/>
    </xf>
    <xf numFmtId="175" fontId="0" fillId="0" borderId="0" xfId="0" applyNumberFormat="1" applyAlignment="1">
      <alignment horizontal="center" vertical="center"/>
    </xf>
    <xf numFmtId="173" fontId="0" fillId="0" borderId="0" xfId="0" applyNumberFormat="1" applyAlignment="1">
      <alignment horizontal="center" vertical="center"/>
    </xf>
    <xf numFmtId="1" fontId="0" fillId="0" borderId="0" xfId="0" applyNumberFormat="1" applyAlignment="1">
      <alignment vertical="center"/>
    </xf>
    <xf numFmtId="0" fontId="2" fillId="0" borderId="0" xfId="0" applyFont="1" applyAlignment="1">
      <alignment vertical="center"/>
    </xf>
    <xf numFmtId="0" fontId="0" fillId="0" borderId="11" xfId="0" applyBorder="1" applyAlignment="1">
      <alignment vertical="center"/>
    </xf>
    <xf numFmtId="0" fontId="2" fillId="0" borderId="14" xfId="0" applyFont="1" applyBorder="1" applyAlignment="1">
      <alignment horizontal="center" vertical="center" textRotation="90"/>
    </xf>
    <xf numFmtId="175" fontId="0" fillId="0" borderId="13" xfId="0" applyNumberFormat="1" applyBorder="1" applyAlignment="1">
      <alignment horizontal="center" vertical="center"/>
    </xf>
    <xf numFmtId="0" fontId="2" fillId="0" borderId="15" xfId="0" applyFont="1" applyBorder="1" applyAlignment="1">
      <alignment horizontal="center" vertical="center" textRotation="90"/>
    </xf>
    <xf numFmtId="0" fontId="0" fillId="0" borderId="1" xfId="0" applyBorder="1" applyAlignment="1">
      <alignment vertical="center"/>
    </xf>
    <xf numFmtId="175" fontId="0" fillId="0" borderId="1" xfId="0" applyNumberFormat="1" applyBorder="1" applyAlignment="1">
      <alignment horizontal="center" vertical="center"/>
    </xf>
    <xf numFmtId="175" fontId="0" fillId="0" borderId="16" xfId="0" applyNumberFormat="1" applyBorder="1" applyAlignment="1">
      <alignment horizontal="center" vertical="center"/>
    </xf>
    <xf numFmtId="171" fontId="0" fillId="0" borderId="1" xfId="0" applyNumberFormat="1" applyBorder="1" applyAlignment="1">
      <alignment horizontal="center" vertical="center"/>
    </xf>
    <xf numFmtId="171" fontId="0" fillId="0" borderId="9" xfId="0" applyNumberFormat="1" applyBorder="1" applyAlignment="1">
      <alignment horizontal="center" vertical="center" wrapText="1"/>
    </xf>
    <xf numFmtId="171" fontId="0" fillId="0" borderId="9" xfId="0" applyNumberFormat="1" applyBorder="1" applyAlignment="1">
      <alignment horizontal="center" vertical="center"/>
    </xf>
    <xf numFmtId="171" fontId="0" fillId="0" borderId="7" xfId="0" applyNumberFormat="1" applyBorder="1" applyAlignment="1">
      <alignment horizontal="center" vertical="center" wrapText="1"/>
    </xf>
    <xf numFmtId="171" fontId="0" fillId="0" borderId="7" xfId="0" applyNumberFormat="1" applyBorder="1" applyAlignment="1">
      <alignment horizontal="center" vertical="center"/>
    </xf>
    <xf numFmtId="0" fontId="8" fillId="0" borderId="5" xfId="0" applyFont="1" applyBorder="1" applyAlignment="1">
      <alignment horizontal="center" vertical="center"/>
    </xf>
    <xf numFmtId="0" fontId="0" fillId="0" borderId="3" xfId="0" applyBorder="1" applyAlignment="1">
      <alignment vertical="center"/>
    </xf>
    <xf numFmtId="0" fontId="8" fillId="0" borderId="3" xfId="0" applyFont="1" applyBorder="1" applyAlignment="1">
      <alignment horizontal="center" vertical="center"/>
    </xf>
    <xf numFmtId="175" fontId="0" fillId="0" borderId="14" xfId="0" applyNumberFormat="1" applyBorder="1" applyAlignment="1">
      <alignment horizontal="center" vertical="center"/>
    </xf>
    <xf numFmtId="175" fontId="0" fillId="0" borderId="15" xfId="0" applyNumberFormat="1" applyBorder="1" applyAlignment="1">
      <alignment horizontal="center" vertical="center"/>
    </xf>
    <xf numFmtId="0" fontId="0" fillId="0" borderId="14" xfId="0" applyBorder="1" applyAlignment="1">
      <alignment vertical="center"/>
    </xf>
    <xf numFmtId="171" fontId="0" fillId="0" borderId="11" xfId="0" applyNumberFormat="1" applyBorder="1" applyAlignment="1">
      <alignment horizontal="center" vertical="center"/>
    </xf>
    <xf numFmtId="171" fontId="0" fillId="0" borderId="11" xfId="0" applyNumberFormat="1" applyBorder="1" applyAlignment="1">
      <alignment horizontal="center" vertical="center" wrapText="1"/>
    </xf>
    <xf numFmtId="171" fontId="0" fillId="0" borderId="1" xfId="0" applyNumberFormat="1" applyBorder="1" applyAlignment="1">
      <alignment horizontal="center" vertical="center" wrapText="1"/>
    </xf>
    <xf numFmtId="171" fontId="0" fillId="0" borderId="16" xfId="0" applyNumberFormat="1" applyBorder="1" applyAlignment="1">
      <alignment horizontal="center" vertical="center" wrapText="1"/>
    </xf>
    <xf numFmtId="174" fontId="0" fillId="0" borderId="0" xfId="0" applyNumberFormat="1"/>
    <xf numFmtId="0" fontId="0" fillId="0" borderId="6" xfId="0" applyBorder="1" applyAlignment="1">
      <alignment vertical="center"/>
    </xf>
    <xf numFmtId="0" fontId="0" fillId="0" borderId="9" xfId="0" applyBorder="1" applyAlignment="1">
      <alignment vertical="center"/>
    </xf>
    <xf numFmtId="0" fontId="0" fillId="0" borderId="17" xfId="0" applyBorder="1" applyAlignment="1">
      <alignmen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applyAlignment="1">
      <alignment horizontal="center" vertical="center" textRotation="90"/>
    </xf>
    <xf numFmtId="0" fontId="2" fillId="0" borderId="0" xfId="0" applyFont="1" applyAlignment="1">
      <alignment horizontal="left" vertical="center"/>
    </xf>
    <xf numFmtId="0" fontId="0" fillId="0" borderId="7" xfId="0" applyBorder="1" applyAlignment="1">
      <alignment vertical="center"/>
    </xf>
    <xf numFmtId="174" fontId="0" fillId="0" borderId="10" xfId="0" applyNumberFormat="1" applyBorder="1" applyAlignment="1">
      <alignment vertical="center"/>
    </xf>
    <xf numFmtId="174" fontId="0" fillId="0" borderId="15" xfId="0" applyNumberFormat="1" applyBorder="1" applyAlignment="1">
      <alignment vertical="center"/>
    </xf>
    <xf numFmtId="174" fontId="0" fillId="0" borderId="6" xfId="0" applyNumberFormat="1" applyBorder="1" applyAlignment="1">
      <alignment vertical="center"/>
    </xf>
    <xf numFmtId="174" fontId="0" fillId="0" borderId="7" xfId="0" applyNumberFormat="1" applyBorder="1" applyAlignment="1">
      <alignment vertical="center"/>
    </xf>
    <xf numFmtId="0" fontId="0" fillId="0" borderId="14" xfId="0" applyBorder="1" applyAlignment="1">
      <alignment horizontal="center" vertical="center"/>
    </xf>
    <xf numFmtId="0" fontId="0" fillId="0" borderId="16" xfId="0" applyBorder="1"/>
    <xf numFmtId="0" fontId="0" fillId="0" borderId="1" xfId="0" applyBorder="1" applyAlignment="1">
      <alignment horizontal="center"/>
    </xf>
    <xf numFmtId="0" fontId="0" fillId="0" borderId="16" xfId="0" applyBorder="1" applyAlignment="1">
      <alignment horizontal="center"/>
    </xf>
    <xf numFmtId="0" fontId="0" fillId="0" borderId="7" xfId="0" applyBorder="1"/>
    <xf numFmtId="0" fontId="2" fillId="0" borderId="0" xfId="0" applyFont="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2" fillId="0" borderId="3" xfId="0" applyFont="1" applyBorder="1" applyAlignment="1">
      <alignment horizontal="center" vertical="center"/>
    </xf>
    <xf numFmtId="168" fontId="0" fillId="4" borderId="9" xfId="0" applyNumberFormat="1" applyFill="1" applyBorder="1"/>
    <xf numFmtId="168" fontId="0" fillId="4" borderId="9" xfId="0" applyNumberFormat="1" applyFill="1" applyBorder="1" applyAlignment="1">
      <alignment vertical="center"/>
    </xf>
    <xf numFmtId="168" fontId="0" fillId="4" borderId="0" xfId="0" applyNumberFormat="1" applyFill="1"/>
    <xf numFmtId="169" fontId="0" fillId="4" borderId="0" xfId="0" applyNumberFormat="1" applyFill="1"/>
    <xf numFmtId="169" fontId="0" fillId="4" borderId="13" xfId="0" applyNumberFormat="1" applyFill="1" applyBorder="1"/>
    <xf numFmtId="169" fontId="0" fillId="4" borderId="12" xfId="0" applyNumberFormat="1" applyFill="1" applyBorder="1"/>
    <xf numFmtId="168" fontId="0" fillId="4" borderId="0" xfId="0" applyNumberFormat="1" applyFill="1" applyAlignment="1">
      <alignment vertical="center"/>
    </xf>
    <xf numFmtId="169" fontId="0" fillId="4" borderId="0" xfId="0" applyNumberFormat="1" applyFill="1" applyAlignment="1">
      <alignment vertical="center"/>
    </xf>
    <xf numFmtId="169" fontId="0" fillId="4" borderId="0" xfId="0" applyNumberFormat="1" applyFill="1" applyAlignment="1">
      <alignment horizontal="right" vertical="center"/>
    </xf>
    <xf numFmtId="169" fontId="0" fillId="4" borderId="13" xfId="0" applyNumberFormat="1" applyFill="1" applyBorder="1" applyAlignment="1">
      <alignment horizontal="right" vertical="center"/>
    </xf>
    <xf numFmtId="0" fontId="0" fillId="4" borderId="0" xfId="0" applyFill="1"/>
    <xf numFmtId="0" fontId="2" fillId="0" borderId="10" xfId="0" applyFont="1" applyBorder="1"/>
    <xf numFmtId="0" fontId="0" fillId="0" borderId="11" xfId="0" applyBorder="1"/>
    <xf numFmtId="0" fontId="0" fillId="0" borderId="12" xfId="0" applyBorder="1"/>
    <xf numFmtId="0" fontId="0" fillId="0" borderId="14" xfId="0" applyBorder="1"/>
    <xf numFmtId="0" fontId="0" fillId="0" borderId="13" xfId="0" applyBorder="1"/>
    <xf numFmtId="169" fontId="0" fillId="0" borderId="13" xfId="1" applyNumberFormat="1" applyFont="1" applyBorder="1" applyAlignment="1">
      <alignment vertical="center"/>
    </xf>
    <xf numFmtId="169" fontId="0" fillId="0" borderId="13" xfId="1" applyNumberFormat="1" applyFont="1" applyBorder="1"/>
    <xf numFmtId="0" fontId="0" fillId="0" borderId="15" xfId="0" applyBorder="1"/>
    <xf numFmtId="0" fontId="2" fillId="0" borderId="14" xfId="0" applyFont="1" applyBorder="1"/>
    <xf numFmtId="0" fontId="0" fillId="0" borderId="13" xfId="0" applyBorder="1" applyAlignment="1">
      <alignment vertical="center"/>
    </xf>
    <xf numFmtId="0" fontId="0" fillId="0" borderId="13" xfId="0" applyBorder="1" applyAlignment="1">
      <alignment horizontal="center" vertical="center"/>
    </xf>
    <xf numFmtId="0" fontId="0" fillId="2" borderId="5" xfId="0" applyFill="1" applyBorder="1" applyAlignment="1">
      <alignment vertical="center" wrapText="1"/>
    </xf>
    <xf numFmtId="9" fontId="0" fillId="5" borderId="5" xfId="0" applyNumberFormat="1" applyFill="1" applyBorder="1"/>
    <xf numFmtId="0" fontId="0" fillId="5" borderId="5" xfId="0" applyFill="1" applyBorder="1" applyAlignment="1">
      <alignment horizontal="right" vertical="center"/>
    </xf>
    <xf numFmtId="171" fontId="0" fillId="0" borderId="0" xfId="0" applyNumberFormat="1" applyAlignment="1">
      <alignment horizontal="center" vertical="center"/>
    </xf>
    <xf numFmtId="171" fontId="0" fillId="0" borderId="0" xfId="0" applyNumberFormat="1" applyAlignment="1">
      <alignment horizontal="center" vertical="center" wrapText="1"/>
    </xf>
    <xf numFmtId="171" fontId="0" fillId="0" borderId="13" xfId="0" applyNumberFormat="1" applyBorder="1" applyAlignment="1">
      <alignment horizontal="center" vertical="center"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0" fillId="0" borderId="13" xfId="0" applyBorder="1" applyAlignment="1">
      <alignment horizontal="right"/>
    </xf>
    <xf numFmtId="0" fontId="0" fillId="0" borderId="13" xfId="0" applyBorder="1" applyAlignment="1">
      <alignment horizontal="right" vertical="center"/>
    </xf>
    <xf numFmtId="0" fontId="0" fillId="0" borderId="2" xfId="0" applyBorder="1"/>
    <xf numFmtId="0" fontId="0" fillId="0" borderId="19" xfId="0" applyBorder="1" applyAlignment="1">
      <alignment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172" fontId="0" fillId="0" borderId="11" xfId="0" applyNumberFormat="1" applyBorder="1" applyAlignment="1">
      <alignment horizontal="center" vertical="center"/>
    </xf>
    <xf numFmtId="172" fontId="0" fillId="0" borderId="0" xfId="0" applyNumberFormat="1" applyAlignment="1">
      <alignment horizontal="center" vertical="center"/>
    </xf>
    <xf numFmtId="174" fontId="0" fillId="0" borderId="0" xfId="0" applyNumberFormat="1" applyAlignment="1">
      <alignment vertical="center"/>
    </xf>
    <xf numFmtId="175" fontId="0" fillId="0" borderId="11" xfId="0" applyNumberFormat="1" applyBorder="1" applyAlignment="1">
      <alignment horizontal="center" vertical="center"/>
    </xf>
    <xf numFmtId="0" fontId="2" fillId="0" borderId="14" xfId="0" applyFont="1" applyBorder="1" applyAlignment="1">
      <alignment vertical="center" textRotation="90"/>
    </xf>
    <xf numFmtId="0" fontId="0" fillId="0" borderId="12" xfId="0" applyBorder="1" applyAlignment="1">
      <alignment vertical="center"/>
    </xf>
    <xf numFmtId="0" fontId="2" fillId="0" borderId="1" xfId="0" applyFont="1" applyBorder="1" applyAlignment="1">
      <alignment horizontal="center" vertical="center" textRotation="90"/>
    </xf>
    <xf numFmtId="0" fontId="0" fillId="0" borderId="16" xfId="0" applyBorder="1" applyAlignment="1">
      <alignment vertical="center"/>
    </xf>
    <xf numFmtId="0" fontId="2" fillId="0" borderId="11" xfId="0" applyFont="1" applyBorder="1" applyAlignment="1">
      <alignment horizontal="center" vertical="center" textRotation="90"/>
    </xf>
    <xf numFmtId="0" fontId="2" fillId="0" borderId="2" xfId="0" applyFont="1" applyBorder="1" applyAlignment="1">
      <alignment horizontal="center" vertical="center" textRotation="90"/>
    </xf>
    <xf numFmtId="172" fontId="0" fillId="0" borderId="12" xfId="0" applyNumberFormat="1" applyBorder="1" applyAlignment="1">
      <alignment horizontal="center" vertical="center"/>
    </xf>
    <xf numFmtId="0" fontId="0" fillId="0" borderId="11" xfId="0" applyBorder="1" applyAlignment="1">
      <alignment horizontal="center" vertical="center"/>
    </xf>
    <xf numFmtId="172" fontId="0" fillId="0" borderId="5" xfId="0" applyNumberFormat="1" applyBorder="1" applyAlignment="1">
      <alignment horizontal="center" vertical="center"/>
    </xf>
    <xf numFmtId="171" fontId="0" fillId="0" borderId="5" xfId="0" applyNumberFormat="1" applyBorder="1" applyAlignment="1">
      <alignment horizontal="center" vertical="center"/>
    </xf>
    <xf numFmtId="0" fontId="0" fillId="0" borderId="0" xfId="0" applyAlignment="1">
      <alignment horizontal="right"/>
    </xf>
    <xf numFmtId="0" fontId="2" fillId="0" borderId="2" xfId="0" applyFont="1" applyBorder="1"/>
    <xf numFmtId="168" fontId="2" fillId="0" borderId="4" xfId="0" applyNumberFormat="1" applyFont="1" applyBorder="1"/>
    <xf numFmtId="0" fontId="0" fillId="0" borderId="0" xfId="0" applyAlignment="1">
      <alignment vertical="center" textRotation="90"/>
    </xf>
    <xf numFmtId="172" fontId="0" fillId="0" borderId="2" xfId="0" applyNumberFormat="1" applyBorder="1"/>
    <xf numFmtId="172" fontId="0" fillId="0" borderId="3" xfId="0" applyNumberFormat="1" applyBorder="1"/>
    <xf numFmtId="172" fontId="0" fillId="0" borderId="19" xfId="0" applyNumberFormat="1" applyBorder="1"/>
    <xf numFmtId="0" fontId="0" fillId="0" borderId="15" xfId="0" applyBorder="1" applyAlignment="1">
      <alignment vertical="center"/>
    </xf>
    <xf numFmtId="0" fontId="2" fillId="0" borderId="10" xfId="0" applyFont="1" applyBorder="1" applyAlignment="1">
      <alignment vertical="center"/>
    </xf>
    <xf numFmtId="0" fontId="2" fillId="0" borderId="0" xfId="0" applyFont="1" applyAlignment="1">
      <alignment vertical="center" textRotation="90"/>
    </xf>
    <xf numFmtId="0" fontId="2" fillId="0" borderId="13" xfId="0" applyFont="1" applyBorder="1" applyAlignment="1">
      <alignment vertical="center" textRotation="90"/>
    </xf>
    <xf numFmtId="0" fontId="2" fillId="0" borderId="2" xfId="0" applyFont="1"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72" fontId="0" fillId="0" borderId="9" xfId="0" applyNumberFormat="1" applyBorder="1" applyAlignment="1">
      <alignment vertical="center"/>
    </xf>
    <xf numFmtId="172" fontId="0" fillId="0" borderId="7" xfId="0" applyNumberFormat="1" applyBorder="1" applyAlignment="1">
      <alignment vertical="center"/>
    </xf>
    <xf numFmtId="172" fontId="2" fillId="0" borderId="8" xfId="0" applyNumberFormat="1" applyFont="1" applyBorder="1"/>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172" fontId="0" fillId="0" borderId="14" xfId="0" applyNumberFormat="1" applyBorder="1" applyAlignment="1">
      <alignment horizontal="center" vertical="center"/>
    </xf>
    <xf numFmtId="0" fontId="2" fillId="0" borderId="5" xfId="0" applyFont="1" applyBorder="1" applyAlignment="1">
      <alignment vertical="center"/>
    </xf>
    <xf numFmtId="0" fontId="2" fillId="0" borderId="2" xfId="0" applyFont="1" applyBorder="1" applyAlignment="1">
      <alignment horizontal="center"/>
    </xf>
    <xf numFmtId="9" fontId="0" fillId="0" borderId="2" xfId="0" applyNumberFormat="1" applyBorder="1"/>
    <xf numFmtId="0" fontId="0" fillId="0" borderId="2" xfId="0" applyBorder="1" applyAlignment="1">
      <alignment horizontal="left" vertical="center"/>
    </xf>
    <xf numFmtId="172" fontId="0" fillId="0" borderId="15" xfId="0" applyNumberFormat="1" applyBorder="1" applyAlignment="1">
      <alignment horizontal="center" vertical="center"/>
    </xf>
    <xf numFmtId="171" fontId="2" fillId="0" borderId="5" xfId="0" applyNumberFormat="1" applyFont="1" applyBorder="1" applyAlignment="1">
      <alignment horizontal="center" vertical="center" wrapText="1"/>
    </xf>
    <xf numFmtId="171" fontId="0" fillId="0" borderId="13" xfId="0" applyNumberFormat="1" applyBorder="1"/>
    <xf numFmtId="177" fontId="0" fillId="0" borderId="13" xfId="0" applyNumberFormat="1" applyBorder="1"/>
    <xf numFmtId="176" fontId="0" fillId="0" borderId="13" xfId="0" applyNumberFormat="1" applyBorder="1"/>
    <xf numFmtId="0" fontId="0" fillId="0" borderId="1" xfId="0" applyBorder="1" applyAlignment="1">
      <alignment horizontal="left" vertical="center"/>
    </xf>
    <xf numFmtId="0" fontId="11" fillId="0" borderId="0" xfId="0" applyFont="1" applyAlignment="1">
      <alignment horizontal="left" vertical="center"/>
    </xf>
    <xf numFmtId="0" fontId="0" fillId="0" borderId="3" xfId="0" applyBorder="1"/>
    <xf numFmtId="0" fontId="0" fillId="0" borderId="4" xfId="0" applyBorder="1"/>
    <xf numFmtId="172" fontId="0" fillId="0" borderId="14" xfId="0" applyNumberFormat="1" applyBorder="1" applyAlignment="1">
      <alignment vertical="center"/>
    </xf>
    <xf numFmtId="172" fontId="0" fillId="0" borderId="13" xfId="0" applyNumberFormat="1" applyBorder="1" applyAlignment="1">
      <alignment vertical="center"/>
    </xf>
    <xf numFmtId="172" fontId="0" fillId="0" borderId="15" xfId="0" applyNumberFormat="1" applyBorder="1" applyAlignment="1">
      <alignment vertical="center"/>
    </xf>
    <xf numFmtId="172" fontId="0" fillId="0" borderId="1" xfId="0" applyNumberFormat="1" applyBorder="1" applyAlignment="1">
      <alignment vertical="center"/>
    </xf>
    <xf numFmtId="172" fontId="0" fillId="0" borderId="16" xfId="0" applyNumberFormat="1" applyBorder="1" applyAlignment="1">
      <alignment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xf numFmtId="172" fontId="0" fillId="0" borderId="10" xfId="0" applyNumberFormat="1" applyBorder="1" applyAlignment="1">
      <alignment vertical="center"/>
    </xf>
    <xf numFmtId="172" fontId="0" fillId="0" borderId="11" xfId="0" applyNumberFormat="1" applyBorder="1" applyAlignment="1">
      <alignment vertical="center"/>
    </xf>
    <xf numFmtId="172" fontId="0" fillId="0" borderId="12" xfId="0" applyNumberFormat="1" applyBorder="1" applyAlignment="1">
      <alignment vertical="center"/>
    </xf>
    <xf numFmtId="0" fontId="11" fillId="0" borderId="0" xfId="0" applyFont="1"/>
    <xf numFmtId="170" fontId="0" fillId="3" borderId="5" xfId="0" applyNumberFormat="1" applyFill="1" applyBorder="1" applyAlignment="1">
      <alignment horizontal="right"/>
    </xf>
    <xf numFmtId="178" fontId="0" fillId="3" borderId="5" xfId="0" applyNumberFormat="1" applyFill="1" applyBorder="1" applyAlignment="1">
      <alignment horizontal="right"/>
    </xf>
    <xf numFmtId="179" fontId="0" fillId="3" borderId="5" xfId="0" applyNumberFormat="1" applyFill="1" applyBorder="1" applyAlignment="1">
      <alignment horizontal="right"/>
    </xf>
    <xf numFmtId="178" fontId="0" fillId="3" borderId="5" xfId="0" applyNumberFormat="1" applyFill="1" applyBorder="1"/>
    <xf numFmtId="180" fontId="0" fillId="3" borderId="5" xfId="0" applyNumberFormat="1" applyFill="1" applyBorder="1"/>
    <xf numFmtId="177" fontId="0" fillId="3" borderId="5" xfId="0" applyNumberFormat="1" applyFill="1" applyBorder="1" applyAlignment="1">
      <alignment horizontal="right"/>
    </xf>
    <xf numFmtId="2" fontId="0" fillId="3" borderId="5" xfId="0" applyNumberFormat="1" applyFill="1" applyBorder="1" applyAlignment="1">
      <alignment horizontal="right"/>
    </xf>
    <xf numFmtId="48" fontId="0" fillId="3" borderId="5" xfId="0" applyNumberFormat="1" applyFill="1" applyBorder="1" applyAlignment="1">
      <alignment horizontal="right"/>
    </xf>
    <xf numFmtId="180" fontId="2" fillId="3" borderId="5" xfId="0" applyNumberFormat="1" applyFont="1" applyFill="1" applyBorder="1" applyAlignment="1">
      <alignment horizontal="right" vertical="center"/>
    </xf>
    <xf numFmtId="4" fontId="0" fillId="3" borderId="5" xfId="0" applyNumberFormat="1" applyFill="1" applyBorder="1"/>
    <xf numFmtId="0" fontId="12" fillId="0" borderId="0" xfId="0" applyFont="1"/>
    <xf numFmtId="172" fontId="0" fillId="6" borderId="10" xfId="0" applyNumberFormat="1" applyFill="1" applyBorder="1" applyAlignment="1">
      <alignment vertical="center"/>
    </xf>
    <xf numFmtId="172" fontId="0" fillId="6" borderId="11" xfId="0" applyNumberFormat="1" applyFill="1" applyBorder="1" applyAlignment="1">
      <alignment vertical="center"/>
    </xf>
    <xf numFmtId="172" fontId="0" fillId="6" borderId="12" xfId="0" applyNumberFormat="1" applyFill="1" applyBorder="1" applyAlignment="1">
      <alignment vertical="center"/>
    </xf>
    <xf numFmtId="172" fontId="0" fillId="6" borderId="14" xfId="0" applyNumberFormat="1" applyFill="1" applyBorder="1" applyAlignment="1">
      <alignment vertical="center"/>
    </xf>
    <xf numFmtId="172" fontId="0" fillId="6" borderId="0" xfId="0" applyNumberFormat="1" applyFill="1" applyAlignment="1">
      <alignment vertical="center"/>
    </xf>
    <xf numFmtId="172" fontId="0" fillId="6" borderId="13" xfId="0" applyNumberFormat="1" applyFill="1" applyBorder="1" applyAlignment="1">
      <alignment vertical="center"/>
    </xf>
    <xf numFmtId="172" fontId="0" fillId="6" borderId="15" xfId="0" applyNumberFormat="1" applyFill="1" applyBorder="1" applyAlignment="1">
      <alignment vertical="center"/>
    </xf>
    <xf numFmtId="172" fontId="0" fillId="6" borderId="1" xfId="0" applyNumberFormat="1" applyFill="1" applyBorder="1" applyAlignment="1">
      <alignment vertical="center"/>
    </xf>
    <xf numFmtId="172" fontId="0" fillId="6" borderId="16" xfId="0" applyNumberFormat="1" applyFill="1" applyBorder="1" applyAlignment="1">
      <alignment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172" fontId="0" fillId="0" borderId="8" xfId="0" applyNumberFormat="1" applyBorder="1" applyAlignment="1">
      <alignment vertical="center"/>
    </xf>
    <xf numFmtId="0" fontId="14" fillId="0" borderId="0" xfId="0" applyFont="1"/>
    <xf numFmtId="0" fontId="4" fillId="0" borderId="0" xfId="0" applyFont="1" applyAlignment="1">
      <alignment vertical="center"/>
    </xf>
    <xf numFmtId="0" fontId="2" fillId="2" borderId="5" xfId="0" applyFont="1" applyFill="1" applyBorder="1" applyAlignment="1">
      <alignment vertical="center"/>
    </xf>
    <xf numFmtId="4" fontId="2" fillId="3" borderId="5" xfId="0" applyNumberFormat="1" applyFont="1" applyFill="1" applyBorder="1"/>
    <xf numFmtId="0" fontId="9" fillId="0" borderId="5" xfId="0" applyFont="1" applyBorder="1" applyAlignment="1">
      <alignment horizontal="center" vertical="center"/>
    </xf>
    <xf numFmtId="0" fontId="0" fillId="0" borderId="0" xfId="0" applyAlignment="1">
      <alignment horizontal="left"/>
    </xf>
    <xf numFmtId="0" fontId="0" fillId="0" borderId="0" xfId="0" applyAlignment="1">
      <alignment horizontal="right" vertical="center"/>
    </xf>
    <xf numFmtId="0" fontId="8" fillId="0" borderId="3" xfId="0" applyFont="1" applyBorder="1" applyAlignment="1">
      <alignment horizontal="center" vertical="center" wrapText="1"/>
    </xf>
    <xf numFmtId="172" fontId="0" fillId="0" borderId="10" xfId="0" applyNumberFormat="1" applyBorder="1" applyAlignment="1">
      <alignment horizontal="center" vertical="center"/>
    </xf>
    <xf numFmtId="172" fontId="0" fillId="0" borderId="1" xfId="0" applyNumberFormat="1" applyBorder="1" applyAlignment="1">
      <alignment horizontal="center" vertical="center"/>
    </xf>
    <xf numFmtId="0" fontId="8" fillId="0" borderId="0" xfId="0" applyFont="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xf>
    <xf numFmtId="172" fontId="0" fillId="0" borderId="0" xfId="0" applyNumberFormat="1" applyAlignment="1">
      <alignment horizontal="center" vertical="center" wrapText="1"/>
    </xf>
    <xf numFmtId="172" fontId="0" fillId="0" borderId="0" xfId="0" applyNumberFormat="1" applyAlignment="1">
      <alignment horizontal="right" vertical="center" wrapText="1"/>
    </xf>
    <xf numFmtId="172" fontId="0" fillId="0" borderId="13" xfId="0" applyNumberFormat="1" applyBorder="1" applyAlignment="1">
      <alignment horizontal="center" vertical="center" wrapText="1"/>
    </xf>
    <xf numFmtId="172" fontId="0" fillId="0" borderId="1" xfId="0" applyNumberFormat="1" applyBorder="1" applyAlignment="1">
      <alignment horizontal="center" vertical="center" wrapText="1"/>
    </xf>
    <xf numFmtId="172" fontId="0" fillId="0" borderId="16" xfId="0" applyNumberFormat="1" applyBorder="1" applyAlignment="1">
      <alignment horizontal="center" vertical="center" wrapText="1"/>
    </xf>
    <xf numFmtId="172" fontId="0" fillId="0" borderId="9" xfId="0" applyNumberFormat="1" applyBorder="1" applyAlignment="1">
      <alignment horizontal="center" vertical="center" wrapText="1"/>
    </xf>
    <xf numFmtId="172" fontId="0" fillId="0" borderId="7" xfId="0" applyNumberFormat="1" applyBorder="1" applyAlignment="1">
      <alignment horizontal="center" vertical="center" wrapText="1"/>
    </xf>
    <xf numFmtId="0" fontId="0" fillId="0" borderId="4" xfId="0" applyBorder="1" applyAlignment="1">
      <alignment vertical="center"/>
    </xf>
    <xf numFmtId="174" fontId="0" fillId="0" borderId="10" xfId="0" applyNumberFormat="1" applyBorder="1" applyAlignment="1">
      <alignment horizontal="center" vertical="center"/>
    </xf>
    <xf numFmtId="174" fontId="0" fillId="0" borderId="11" xfId="0" applyNumberFormat="1" applyBorder="1" applyAlignment="1">
      <alignment horizontal="center" vertical="center"/>
    </xf>
    <xf numFmtId="174" fontId="0" fillId="0" borderId="14" xfId="0" applyNumberFormat="1" applyBorder="1" applyAlignment="1">
      <alignment horizontal="center" vertical="center"/>
    </xf>
    <xf numFmtId="174" fontId="0" fillId="0" borderId="0" xfId="0" applyNumberFormat="1" applyAlignment="1">
      <alignment horizontal="center" vertical="center"/>
    </xf>
    <xf numFmtId="174" fontId="0" fillId="0" borderId="0" xfId="0" applyNumberFormat="1" applyAlignment="1">
      <alignment horizontal="center" vertical="center" wrapText="1"/>
    </xf>
    <xf numFmtId="174" fontId="0" fillId="0" borderId="0" xfId="0" applyNumberFormat="1" applyAlignment="1">
      <alignment horizontal="right" vertical="center" wrapText="1"/>
    </xf>
    <xf numFmtId="174" fontId="0" fillId="0" borderId="13" xfId="0" applyNumberFormat="1" applyBorder="1" applyAlignment="1">
      <alignment horizontal="center" vertical="center" wrapText="1"/>
    </xf>
    <xf numFmtId="174" fontId="0" fillId="0" borderId="15" xfId="0" applyNumberFormat="1" applyBorder="1" applyAlignment="1">
      <alignment horizontal="center" vertical="center"/>
    </xf>
    <xf numFmtId="174" fontId="0" fillId="0" borderId="1" xfId="0" applyNumberFormat="1" applyBorder="1" applyAlignment="1">
      <alignment horizontal="center" vertical="center"/>
    </xf>
    <xf numFmtId="174" fontId="0" fillId="0" borderId="1" xfId="0" applyNumberFormat="1" applyBorder="1" applyAlignment="1">
      <alignment horizontal="center" vertical="center" wrapText="1"/>
    </xf>
    <xf numFmtId="174" fontId="0" fillId="0" borderId="1" xfId="0" applyNumberFormat="1" applyBorder="1" applyAlignment="1">
      <alignment vertical="center"/>
    </xf>
    <xf numFmtId="174" fontId="0" fillId="0" borderId="16" xfId="0" applyNumberFormat="1" applyBorder="1" applyAlignment="1">
      <alignment horizontal="center" vertical="center" wrapText="1"/>
    </xf>
    <xf numFmtId="174" fontId="0" fillId="0" borderId="12" xfId="0" applyNumberFormat="1" applyBorder="1" applyAlignment="1">
      <alignment horizontal="center" vertical="center"/>
    </xf>
    <xf numFmtId="174" fontId="0" fillId="0" borderId="13" xfId="0" applyNumberFormat="1" applyBorder="1" applyAlignment="1">
      <alignment horizontal="center" vertical="center"/>
    </xf>
    <xf numFmtId="174" fontId="0" fillId="0" borderId="16" xfId="0" applyNumberFormat="1" applyBorder="1" applyAlignment="1">
      <alignment horizontal="center" vertical="center"/>
    </xf>
    <xf numFmtId="173" fontId="0" fillId="0" borderId="1" xfId="0" applyNumberFormat="1" applyBorder="1" applyAlignment="1">
      <alignment horizontal="center" vertical="center"/>
    </xf>
    <xf numFmtId="173" fontId="0" fillId="0" borderId="16" xfId="0" applyNumberFormat="1" applyBorder="1" applyAlignment="1">
      <alignment horizontal="center" vertical="center"/>
    </xf>
    <xf numFmtId="175" fontId="0" fillId="0" borderId="0" xfId="0" applyNumberFormat="1"/>
    <xf numFmtId="172" fontId="0" fillId="0" borderId="5" xfId="0" applyNumberFormat="1" applyBorder="1"/>
    <xf numFmtId="0" fontId="0" fillId="4" borderId="0" xfId="0" applyFill="1" applyAlignment="1">
      <alignment vertical="center"/>
    </xf>
    <xf numFmtId="180" fontId="2" fillId="0" borderId="0" xfId="0" applyNumberFormat="1" applyFont="1" applyAlignment="1">
      <alignment horizontal="right" vertical="center"/>
    </xf>
    <xf numFmtId="0" fontId="0" fillId="0" borderId="14" xfId="0" applyBorder="1" applyAlignment="1">
      <alignment horizontal="left"/>
    </xf>
    <xf numFmtId="0" fontId="0" fillId="0" borderId="13" xfId="0" applyBorder="1" applyAlignment="1">
      <alignment horizontal="left"/>
    </xf>
    <xf numFmtId="0" fontId="11" fillId="0" borderId="0" xfId="0" applyFont="1" applyAlignment="1">
      <alignment horizontal="left" vertical="top" wrapText="1"/>
    </xf>
    <xf numFmtId="170" fontId="0" fillId="3" borderId="5" xfId="0" applyNumberFormat="1" applyFill="1" applyBorder="1" applyAlignment="1">
      <alignment horizontal="right" vertical="center"/>
    </xf>
    <xf numFmtId="178" fontId="0" fillId="3" borderId="5" xfId="0" applyNumberFormat="1" applyFill="1" applyBorder="1" applyAlignment="1">
      <alignment horizontal="right" vertical="center"/>
    </xf>
    <xf numFmtId="179" fontId="0" fillId="3" borderId="5" xfId="0" applyNumberFormat="1" applyFill="1" applyBorder="1" applyAlignment="1">
      <alignment horizontal="right" vertical="center"/>
    </xf>
    <xf numFmtId="178" fontId="0" fillId="3" borderId="5" xfId="0" applyNumberFormat="1" applyFill="1" applyBorder="1" applyAlignment="1">
      <alignment vertical="center"/>
    </xf>
    <xf numFmtId="180" fontId="0" fillId="3" borderId="5" xfId="0" applyNumberFormat="1" applyFill="1" applyBorder="1" applyAlignment="1">
      <alignment vertical="center"/>
    </xf>
    <xf numFmtId="0" fontId="0" fillId="0" borderId="14" xfId="0" applyBorder="1" applyAlignment="1">
      <alignment horizontal="left" vertical="center"/>
    </xf>
    <xf numFmtId="0" fontId="0" fillId="0" borderId="13" xfId="0" applyBorder="1" applyAlignment="1">
      <alignment horizontal="left" vertical="center"/>
    </xf>
    <xf numFmtId="0" fontId="2" fillId="0" borderId="22" xfId="0" applyFont="1" applyBorder="1" applyAlignment="1">
      <alignment horizontal="center" vertical="center" wrapText="1"/>
    </xf>
    <xf numFmtId="11" fontId="2" fillId="0" borderId="23" xfId="0" applyNumberFormat="1" applyFont="1" applyBorder="1" applyAlignment="1">
      <alignment horizontal="center" vertical="center" wrapText="1"/>
    </xf>
    <xf numFmtId="164" fontId="0" fillId="3" borderId="24" xfId="1" applyFont="1" applyFill="1" applyBorder="1" applyAlignment="1">
      <alignment vertical="center"/>
    </xf>
    <xf numFmtId="0" fontId="0" fillId="0" borderId="25" xfId="0" applyBorder="1" applyAlignment="1">
      <alignment horizontal="left" indent="1"/>
    </xf>
    <xf numFmtId="2" fontId="0" fillId="3" borderId="26" xfId="0" applyNumberFormat="1" applyFill="1" applyBorder="1"/>
    <xf numFmtId="0" fontId="0" fillId="0" borderId="27" xfId="0" applyBorder="1" applyAlignment="1">
      <alignment horizontal="left" indent="1"/>
    </xf>
    <xf numFmtId="0" fontId="0" fillId="0" borderId="0" xfId="0" applyAlignment="1">
      <alignment horizontal="left" indent="1"/>
    </xf>
    <xf numFmtId="10" fontId="0" fillId="3" borderId="5" xfId="2" applyNumberFormat="1" applyFont="1" applyFill="1" applyBorder="1" applyAlignment="1">
      <alignment horizontal="center" vertical="center"/>
    </xf>
    <xf numFmtId="2" fontId="0" fillId="0" borderId="0" xfId="0" applyNumberFormat="1"/>
    <xf numFmtId="0" fontId="0" fillId="5" borderId="5" xfId="0" applyFill="1" applyBorder="1" applyAlignment="1">
      <alignment vertical="center"/>
    </xf>
    <xf numFmtId="0" fontId="5" fillId="0" borderId="5" xfId="0" applyFont="1" applyBorder="1" applyAlignment="1">
      <alignment vertical="center"/>
    </xf>
    <xf numFmtId="0" fontId="0" fillId="7" borderId="5" xfId="0" applyFill="1" applyBorder="1"/>
    <xf numFmtId="181" fontId="0" fillId="3" borderId="5" xfId="0" applyNumberFormat="1" applyFill="1" applyBorder="1" applyAlignment="1">
      <alignment horizontal="right"/>
    </xf>
    <xf numFmtId="181" fontId="0" fillId="3" borderId="5" xfId="0" applyNumberFormat="1" applyFill="1" applyBorder="1" applyAlignment="1">
      <alignment horizontal="right" vertical="center"/>
    </xf>
    <xf numFmtId="181" fontId="0" fillId="0" borderId="0" xfId="0" applyNumberFormat="1" applyAlignment="1">
      <alignment vertical="center"/>
    </xf>
    <xf numFmtId="14" fontId="0" fillId="0" borderId="0" xfId="0" applyNumberFormat="1"/>
    <xf numFmtId="0" fontId="0" fillId="0" borderId="0" xfId="0" applyAlignment="1">
      <alignment wrapText="1"/>
    </xf>
    <xf numFmtId="0" fontId="0" fillId="0" borderId="14" xfId="0" applyBorder="1" applyAlignment="1">
      <alignment horizontal="left"/>
    </xf>
    <xf numFmtId="0" fontId="0" fillId="0" borderId="0" xfId="0" applyAlignment="1">
      <alignment horizontal="left"/>
    </xf>
    <xf numFmtId="0" fontId="0" fillId="0" borderId="13" xfId="0"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1" fillId="0" borderId="0" xfId="0" applyFont="1" applyAlignment="1">
      <alignment horizontal="left" vertical="top" wrapText="1"/>
    </xf>
    <xf numFmtId="0" fontId="2" fillId="0" borderId="0" xfId="0" applyFont="1" applyAlignment="1">
      <alignment horizontal="left"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171" fontId="2" fillId="0" borderId="5" xfId="0" applyNumberFormat="1" applyFont="1"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11" fontId="2" fillId="0" borderId="2" xfId="0" applyNumberFormat="1" applyFont="1" applyBorder="1" applyAlignment="1">
      <alignment horizontal="center" vertical="center"/>
    </xf>
    <xf numFmtId="11" fontId="2" fillId="0" borderId="3" xfId="0" applyNumberFormat="1" applyFont="1" applyBorder="1" applyAlignment="1">
      <alignment horizontal="center" vertical="center"/>
    </xf>
    <xf numFmtId="11" fontId="2" fillId="0" borderId="4" xfId="0" applyNumberFormat="1" applyFont="1" applyBorder="1" applyAlignment="1">
      <alignment horizontal="center" vertical="center"/>
    </xf>
    <xf numFmtId="11" fontId="0" fillId="0" borderId="2" xfId="0" applyNumberFormat="1" applyBorder="1" applyAlignment="1">
      <alignment horizontal="center" vertical="center"/>
    </xf>
    <xf numFmtId="11" fontId="0" fillId="0" borderId="3" xfId="0" applyNumberFormat="1" applyBorder="1" applyAlignment="1">
      <alignment horizontal="center" vertical="center"/>
    </xf>
    <xf numFmtId="11" fontId="0" fillId="0" borderId="4" xfId="0" applyNumberForma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abSelected="1" zoomScaleNormal="100" workbookViewId="0">
      <selection activeCell="B1" sqref="B1"/>
    </sheetView>
  </sheetViews>
  <sheetFormatPr defaultColWidth="8.85546875" defaultRowHeight="15" x14ac:dyDescent="0.25"/>
  <cols>
    <col min="1" max="1" width="1.7109375" customWidth="1"/>
    <col min="2" max="2" width="23.7109375" customWidth="1"/>
    <col min="3" max="4" width="13.7109375" customWidth="1"/>
    <col min="5" max="8" width="14.7109375" customWidth="1"/>
    <col min="9" max="9" width="1.7109375" customWidth="1"/>
    <col min="10" max="10" width="22.7109375" customWidth="1"/>
    <col min="11" max="11" width="13.7109375" customWidth="1"/>
    <col min="12" max="12" width="10.7109375" customWidth="1"/>
    <col min="14" max="14" width="2.7109375" customWidth="1"/>
    <col min="15" max="15" width="11.7109375" customWidth="1"/>
    <col min="16" max="16" width="10.7109375" customWidth="1"/>
  </cols>
  <sheetData>
    <row r="1" spans="1:12" ht="21" x14ac:dyDescent="0.35">
      <c r="A1" s="196" t="s">
        <v>0</v>
      </c>
    </row>
    <row r="3" spans="1:12" x14ac:dyDescent="0.25">
      <c r="A3" s="172" t="s">
        <v>1</v>
      </c>
    </row>
    <row r="4" spans="1:12" x14ac:dyDescent="0.25">
      <c r="A4" s="172" t="s">
        <v>2</v>
      </c>
      <c r="B4" s="183"/>
    </row>
    <row r="6" spans="1:12" x14ac:dyDescent="0.25">
      <c r="A6" s="2" t="s">
        <v>3</v>
      </c>
      <c r="B6" s="2"/>
      <c r="J6" s="2" t="s">
        <v>4</v>
      </c>
    </row>
    <row r="8" spans="1:12" x14ac:dyDescent="0.25">
      <c r="B8" s="9" t="s">
        <v>5</v>
      </c>
      <c r="C8" s="9" t="s">
        <v>6</v>
      </c>
      <c r="D8" s="148" t="s">
        <v>7</v>
      </c>
      <c r="E8" s="268" t="s">
        <v>8</v>
      </c>
      <c r="F8" s="269"/>
      <c r="G8" s="270"/>
      <c r="H8" s="70"/>
      <c r="J8" s="9" t="s">
        <v>5</v>
      </c>
      <c r="K8" s="16" t="s">
        <v>9</v>
      </c>
      <c r="L8" s="16" t="s">
        <v>7</v>
      </c>
    </row>
    <row r="9" spans="1:12" x14ac:dyDescent="0.25">
      <c r="B9" s="4" t="s">
        <v>10</v>
      </c>
      <c r="C9" s="8">
        <v>5</v>
      </c>
      <c r="D9" s="106" t="s">
        <v>11</v>
      </c>
      <c r="E9" s="274" t="s">
        <v>12</v>
      </c>
      <c r="F9" s="275"/>
      <c r="G9" s="276"/>
      <c r="H9" s="201"/>
      <c r="J9" s="4" t="s">
        <v>13</v>
      </c>
      <c r="K9" s="182">
        <f>DCALC!H5</f>
        <v>146.53846153846155</v>
      </c>
      <c r="L9" s="17" t="s">
        <v>14</v>
      </c>
    </row>
    <row r="10" spans="1:12" x14ac:dyDescent="0.25">
      <c r="B10" s="4" t="s">
        <v>15</v>
      </c>
      <c r="C10" s="8">
        <v>6800</v>
      </c>
      <c r="D10" s="106" t="s">
        <v>16</v>
      </c>
      <c r="E10" s="274" t="s">
        <v>17</v>
      </c>
      <c r="F10" s="275"/>
      <c r="G10" s="276"/>
      <c r="H10" s="201"/>
      <c r="J10" s="4" t="s">
        <v>18</v>
      </c>
      <c r="K10" s="182">
        <f>DCALC!H6</f>
        <v>127.17948717948718</v>
      </c>
      <c r="L10" s="17" t="s">
        <v>14</v>
      </c>
    </row>
    <row r="11" spans="1:12" x14ac:dyDescent="0.25">
      <c r="B11" s="4" t="s">
        <v>19</v>
      </c>
      <c r="C11" s="8">
        <v>128</v>
      </c>
      <c r="D11" s="106" t="s">
        <v>20</v>
      </c>
      <c r="E11" s="274" t="s">
        <v>21</v>
      </c>
      <c r="F11" s="275"/>
      <c r="G11" s="276"/>
      <c r="H11" s="201"/>
      <c r="J11" s="198" t="s">
        <v>22</v>
      </c>
      <c r="K11" s="199">
        <f>DCALC!H7</f>
        <v>273.71794871794873</v>
      </c>
      <c r="L11" s="200" t="s">
        <v>14</v>
      </c>
    </row>
    <row r="12" spans="1:12" x14ac:dyDescent="0.25">
      <c r="B12" s="4" t="s">
        <v>23</v>
      </c>
      <c r="C12" s="8">
        <v>64</v>
      </c>
      <c r="D12" s="106" t="s">
        <v>24</v>
      </c>
      <c r="E12" s="274" t="s">
        <v>25</v>
      </c>
      <c r="F12" s="275"/>
      <c r="G12" s="276"/>
      <c r="H12" s="201"/>
      <c r="J12" s="4" t="s">
        <v>26</v>
      </c>
      <c r="K12" s="182">
        <f>TXICALC!I6</f>
        <v>94.420882844189933</v>
      </c>
      <c r="L12" s="17" t="s">
        <v>27</v>
      </c>
    </row>
    <row r="13" spans="1:12" x14ac:dyDescent="0.25">
      <c r="B13" s="4" t="s">
        <v>28</v>
      </c>
      <c r="C13" s="8">
        <v>85</v>
      </c>
      <c r="D13" s="106" t="s">
        <v>29</v>
      </c>
      <c r="E13" s="274" t="s">
        <v>30</v>
      </c>
      <c r="F13" s="275"/>
      <c r="G13" s="276"/>
      <c r="H13" s="201"/>
      <c r="J13" s="4" t="s">
        <v>31</v>
      </c>
      <c r="K13" s="182">
        <f>TXICALC!I7</f>
        <v>58.73453860259486</v>
      </c>
      <c r="L13" s="17" t="s">
        <v>27</v>
      </c>
    </row>
    <row r="14" spans="1:12" x14ac:dyDescent="0.25">
      <c r="J14" s="4" t="s">
        <v>32</v>
      </c>
      <c r="K14" s="182">
        <f>RXICALC!M54</f>
        <v>130.18181818181819</v>
      </c>
      <c r="L14" s="17" t="s">
        <v>27</v>
      </c>
    </row>
    <row r="15" spans="1:12" x14ac:dyDescent="0.25">
      <c r="J15" s="4" t="s">
        <v>33</v>
      </c>
      <c r="K15" s="182">
        <f>RXICALC!M59</f>
        <v>135.63636363636363</v>
      </c>
      <c r="L15" s="17" t="s">
        <v>27</v>
      </c>
    </row>
    <row r="17" spans="1:8" x14ac:dyDescent="0.25">
      <c r="A17" s="2" t="s">
        <v>34</v>
      </c>
      <c r="B17" s="2"/>
    </row>
    <row r="18" spans="1:8" x14ac:dyDescent="0.25">
      <c r="A18" s="2"/>
      <c r="B18" s="2"/>
    </row>
    <row r="19" spans="1:8" x14ac:dyDescent="0.25">
      <c r="B19" s="9" t="s">
        <v>5</v>
      </c>
      <c r="C19" s="9" t="s">
        <v>6</v>
      </c>
      <c r="D19" s="148" t="s">
        <v>7</v>
      </c>
      <c r="E19" s="268" t="s">
        <v>8</v>
      </c>
      <c r="F19" s="269"/>
      <c r="G19" s="270"/>
      <c r="H19" s="70"/>
    </row>
    <row r="20" spans="1:8" s="3" customFormat="1" ht="15.75" x14ac:dyDescent="0.25">
      <c r="B20" s="4" t="s">
        <v>35</v>
      </c>
      <c r="C20" s="8">
        <v>1000</v>
      </c>
      <c r="D20" s="106" t="s">
        <v>36</v>
      </c>
      <c r="E20" s="274" t="s">
        <v>37</v>
      </c>
      <c r="F20" s="275"/>
      <c r="G20" s="276"/>
      <c r="H20" s="201"/>
    </row>
    <row r="21" spans="1:8" s="3" customFormat="1" ht="47.25" customHeight="1" x14ac:dyDescent="0.25">
      <c r="B21" s="96" t="s">
        <v>38</v>
      </c>
      <c r="C21" s="98" t="s">
        <v>39</v>
      </c>
      <c r="D21" s="150" t="s">
        <v>40</v>
      </c>
      <c r="E21" s="277" t="s">
        <v>41</v>
      </c>
      <c r="F21" s="278"/>
      <c r="G21" s="279"/>
      <c r="H21" s="23"/>
    </row>
    <row r="22" spans="1:8" s="3" customFormat="1" ht="15.75" x14ac:dyDescent="0.25">
      <c r="B22" s="4" t="s">
        <v>42</v>
      </c>
      <c r="C22" s="8">
        <v>3.3</v>
      </c>
      <c r="D22" s="106" t="s">
        <v>43</v>
      </c>
      <c r="E22" s="274" t="s">
        <v>44</v>
      </c>
      <c r="F22" s="275"/>
      <c r="G22" s="276"/>
      <c r="H22" s="201"/>
    </row>
    <row r="23" spans="1:8" s="3" customFormat="1" ht="15.75" x14ac:dyDescent="0.25">
      <c r="B23" s="4" t="s">
        <v>45</v>
      </c>
      <c r="C23" s="8">
        <v>1.8</v>
      </c>
      <c r="D23" s="106" t="s">
        <v>43</v>
      </c>
      <c r="E23" s="274" t="s">
        <v>46</v>
      </c>
      <c r="F23" s="275"/>
      <c r="G23" s="276"/>
      <c r="H23" s="201"/>
    </row>
    <row r="24" spans="1:8" s="3" customFormat="1" ht="15.75" x14ac:dyDescent="0.25">
      <c r="B24" s="4" t="s">
        <v>47</v>
      </c>
      <c r="C24" s="97">
        <v>0.9</v>
      </c>
      <c r="D24" s="149" t="s">
        <v>48</v>
      </c>
      <c r="E24" s="274" t="s">
        <v>49</v>
      </c>
      <c r="F24" s="275"/>
      <c r="G24" s="276"/>
      <c r="H24" s="201"/>
    </row>
    <row r="26" spans="1:8" x14ac:dyDescent="0.25">
      <c r="A26" s="2" t="s">
        <v>50</v>
      </c>
    </row>
    <row r="27" spans="1:8" x14ac:dyDescent="0.25">
      <c r="A27" s="2"/>
    </row>
    <row r="28" spans="1:8" ht="30" customHeight="1" x14ac:dyDescent="0.25">
      <c r="A28" s="280" t="s">
        <v>51</v>
      </c>
      <c r="B28" s="280"/>
      <c r="C28" s="280"/>
      <c r="D28" s="280"/>
      <c r="E28" s="280"/>
      <c r="F28" s="280"/>
      <c r="G28" s="280"/>
      <c r="H28" s="240"/>
    </row>
    <row r="30" spans="1:8" x14ac:dyDescent="0.25">
      <c r="B30" s="9" t="s">
        <v>5</v>
      </c>
      <c r="C30" s="9" t="s">
        <v>6</v>
      </c>
      <c r="D30" s="148" t="s">
        <v>7</v>
      </c>
      <c r="E30" s="268" t="s">
        <v>8</v>
      </c>
      <c r="F30" s="269"/>
      <c r="G30" s="270"/>
      <c r="H30" s="70"/>
    </row>
    <row r="31" spans="1:8" x14ac:dyDescent="0.25">
      <c r="B31" s="4" t="s">
        <v>52</v>
      </c>
      <c r="C31" s="98" t="s">
        <v>53</v>
      </c>
      <c r="D31" s="106"/>
      <c r="E31" s="274" t="s">
        <v>54</v>
      </c>
      <c r="F31" s="275"/>
      <c r="G31" s="276"/>
      <c r="H31" s="201"/>
    </row>
    <row r="32" spans="1:8" x14ac:dyDescent="0.25">
      <c r="B32" s="5"/>
      <c r="E32" s="201"/>
      <c r="F32" s="201"/>
      <c r="G32" s="201"/>
      <c r="H32" s="201"/>
    </row>
    <row r="33" spans="1:16" x14ac:dyDescent="0.25">
      <c r="A33" s="2" t="s">
        <v>55</v>
      </c>
      <c r="B33" s="2"/>
    </row>
    <row r="34" spans="1:16" x14ac:dyDescent="0.25">
      <c r="A34" s="2"/>
      <c r="B34" s="2"/>
    </row>
    <row r="35" spans="1:16" x14ac:dyDescent="0.25">
      <c r="A35" s="280" t="s">
        <v>56</v>
      </c>
      <c r="B35" s="280"/>
      <c r="C35" s="280"/>
      <c r="D35" s="280"/>
      <c r="E35" s="280"/>
      <c r="F35" s="280"/>
      <c r="G35" s="280"/>
      <c r="H35" s="240"/>
    </row>
    <row r="36" spans="1:16" x14ac:dyDescent="0.25">
      <c r="A36" s="2"/>
      <c r="B36" s="2"/>
    </row>
    <row r="37" spans="1:16" x14ac:dyDescent="0.25">
      <c r="B37" s="9" t="s">
        <v>5</v>
      </c>
      <c r="C37" s="9" t="s">
        <v>6</v>
      </c>
      <c r="D37" s="148" t="s">
        <v>7</v>
      </c>
      <c r="E37" s="268" t="s">
        <v>8</v>
      </c>
      <c r="F37" s="269"/>
      <c r="G37" s="270"/>
      <c r="H37" s="70"/>
    </row>
    <row r="38" spans="1:16" x14ac:dyDescent="0.25">
      <c r="B38" s="4" t="s">
        <v>57</v>
      </c>
      <c r="C38" s="8">
        <v>500</v>
      </c>
      <c r="D38" s="106" t="s">
        <v>58</v>
      </c>
      <c r="E38" s="274" t="s">
        <v>59</v>
      </c>
      <c r="F38" s="275"/>
      <c r="G38" s="276"/>
      <c r="H38" s="201"/>
    </row>
    <row r="39" spans="1:16" x14ac:dyDescent="0.25">
      <c r="B39" s="4" t="s">
        <v>60</v>
      </c>
      <c r="C39" s="259">
        <f>1/C38</f>
        <v>2E-3</v>
      </c>
      <c r="D39" s="106" t="s">
        <v>61</v>
      </c>
      <c r="E39" s="284" t="s">
        <v>62</v>
      </c>
      <c r="F39" s="285"/>
      <c r="G39" s="286"/>
      <c r="H39" s="201"/>
    </row>
    <row r="40" spans="1:16" ht="46.5" customHeight="1" x14ac:dyDescent="0.25">
      <c r="B40" s="4" t="s">
        <v>63</v>
      </c>
      <c r="C40" s="257">
        <v>500</v>
      </c>
      <c r="D40" s="258" t="s">
        <v>14</v>
      </c>
      <c r="E40" s="277" t="s">
        <v>64</v>
      </c>
      <c r="F40" s="278"/>
      <c r="G40" s="279"/>
      <c r="H40" s="201"/>
    </row>
    <row r="42" spans="1:16" x14ac:dyDescent="0.25">
      <c r="A42" s="2" t="s">
        <v>65</v>
      </c>
      <c r="B42" s="2"/>
    </row>
    <row r="43" spans="1:16" x14ac:dyDescent="0.25">
      <c r="A43" s="2"/>
      <c r="B43" s="2"/>
    </row>
    <row r="44" spans="1:16" x14ac:dyDescent="0.25">
      <c r="A44" s="2" t="s">
        <v>66</v>
      </c>
      <c r="B44" s="2"/>
    </row>
    <row r="45" spans="1:16" ht="15.75" thickBot="1" x14ac:dyDescent="0.3">
      <c r="C45" s="1"/>
      <c r="D45" s="1"/>
      <c r="E45" s="1"/>
    </row>
    <row r="46" spans="1:16" ht="60" x14ac:dyDescent="0.25">
      <c r="B46" s="16" t="s">
        <v>67</v>
      </c>
      <c r="C46" s="18" t="s">
        <v>68</v>
      </c>
      <c r="D46" s="19" t="s">
        <v>69</v>
      </c>
      <c r="E46" s="18" t="s">
        <v>70</v>
      </c>
      <c r="F46" s="18" t="s">
        <v>71</v>
      </c>
      <c r="G46" s="18" t="s">
        <v>72</v>
      </c>
      <c r="H46" s="18" t="s">
        <v>73</v>
      </c>
      <c r="J46" s="268" t="s">
        <v>74</v>
      </c>
      <c r="K46" s="269"/>
      <c r="L46" s="269"/>
      <c r="M46" s="270"/>
      <c r="O46" s="282" t="s">
        <v>75</v>
      </c>
      <c r="P46" s="283"/>
    </row>
    <row r="47" spans="1:16" x14ac:dyDescent="0.25">
      <c r="B47" s="4" t="s">
        <v>76</v>
      </c>
      <c r="C47" s="173">
        <f>TXICALC!$D$16</f>
        <v>4</v>
      </c>
      <c r="D47" s="174">
        <f>(DCALC!$C$50/1000)</f>
        <v>3</v>
      </c>
      <c r="E47" s="175">
        <f>(C47*D47)</f>
        <v>12</v>
      </c>
      <c r="F47" s="176">
        <f>D47*$C$38</f>
        <v>1500</v>
      </c>
      <c r="G47" s="177">
        <f>E47*$C$38/1000</f>
        <v>6</v>
      </c>
      <c r="H47" s="255">
        <f>G47/$G$53</f>
        <v>0.19058253622663543</v>
      </c>
      <c r="J47" s="265" t="s">
        <v>77</v>
      </c>
      <c r="K47" s="266"/>
      <c r="L47" s="266"/>
      <c r="M47" s="267"/>
      <c r="O47" s="248" t="s">
        <v>78</v>
      </c>
      <c r="P47" s="249" t="s">
        <v>79</v>
      </c>
    </row>
    <row r="48" spans="1:16" x14ac:dyDescent="0.25">
      <c r="B48" s="4" t="s">
        <v>80</v>
      </c>
      <c r="C48" s="173">
        <f>K12</f>
        <v>94.420882844189933</v>
      </c>
      <c r="D48" s="174">
        <f>(DCALC!$C$37/1000)</f>
        <v>0.14653846153846153</v>
      </c>
      <c r="E48" s="175">
        <f>(C48*D48)</f>
        <v>13.836290909090909</v>
      </c>
      <c r="F48" s="176">
        <f t="shared" ref="F48:F51" si="0">D48*$C$38</f>
        <v>73.269230769230774</v>
      </c>
      <c r="G48" s="177">
        <f>E48*$C$38/1000</f>
        <v>6.9181454545454546</v>
      </c>
      <c r="H48" s="255">
        <f t="shared" ref="H48:H52" si="1">G48/$G$53</f>
        <v>0.21974628445200706</v>
      </c>
      <c r="J48" s="265" t="s">
        <v>81</v>
      </c>
      <c r="K48" s="266"/>
      <c r="L48" s="266"/>
      <c r="M48" s="267"/>
      <c r="O48" s="250">
        <f>$C$20/G53</f>
        <v>31.76375603777257</v>
      </c>
      <c r="P48" s="251" t="s">
        <v>82</v>
      </c>
    </row>
    <row r="49" spans="1:16" ht="15.75" thickBot="1" x14ac:dyDescent="0.3">
      <c r="B49" s="4" t="s">
        <v>83</v>
      </c>
      <c r="C49" s="173">
        <f>K13</f>
        <v>58.73453860259486</v>
      </c>
      <c r="D49" s="174">
        <f>(DCALC!$C$41/1000)</f>
        <v>0.12717948717948718</v>
      </c>
      <c r="E49" s="175">
        <f>(C49*D49)</f>
        <v>7.4698284992018076</v>
      </c>
      <c r="F49" s="176">
        <f t="shared" si="0"/>
        <v>63.589743589743591</v>
      </c>
      <c r="G49" s="177">
        <f>E49*$C$38/1000</f>
        <v>3.7349142496009038</v>
      </c>
      <c r="H49" s="255">
        <f t="shared" si="1"/>
        <v>0.11863490504632351</v>
      </c>
      <c r="J49" s="265" t="s">
        <v>84</v>
      </c>
      <c r="K49" s="266"/>
      <c r="L49" s="266"/>
      <c r="M49" s="267"/>
      <c r="O49" s="252">
        <f>O48/(24)</f>
        <v>1.3234898349071904</v>
      </c>
      <c r="P49" s="253" t="s">
        <v>85</v>
      </c>
    </row>
    <row r="50" spans="1:16" ht="30" x14ac:dyDescent="0.25">
      <c r="B50" s="96" t="s">
        <v>86</v>
      </c>
      <c r="C50" s="241">
        <f>TXICALC!$D$17</f>
        <v>18</v>
      </c>
      <c r="D50" s="242">
        <f>D66</f>
        <v>0.22628205128205128</v>
      </c>
      <c r="E50" s="243">
        <f>(C50*D50)</f>
        <v>4.0730769230769228</v>
      </c>
      <c r="F50" s="244">
        <f t="shared" si="0"/>
        <v>113.14102564102564</v>
      </c>
      <c r="G50" s="245">
        <f>E50*$C$38/1000</f>
        <v>2.0365384615384614</v>
      </c>
      <c r="H50" s="255">
        <f t="shared" si="1"/>
        <v>6.468811085384836E-2</v>
      </c>
      <c r="I50" s="5"/>
      <c r="J50" s="246" t="s">
        <v>87</v>
      </c>
      <c r="K50" s="21"/>
      <c r="L50" s="21"/>
      <c r="M50" s="247"/>
      <c r="O50" s="256"/>
      <c r="P50" s="254"/>
    </row>
    <row r="51" spans="1:16" x14ac:dyDescent="0.25">
      <c r="B51" s="4" t="s">
        <v>88</v>
      </c>
      <c r="C51" s="173">
        <f>K14</f>
        <v>130.18181818181819</v>
      </c>
      <c r="D51" s="174">
        <f>D48+0.05</f>
        <v>0.19653846153846155</v>
      </c>
      <c r="E51" s="175">
        <f>(C51*D51)</f>
        <v>25.585734265734267</v>
      </c>
      <c r="F51" s="176">
        <f t="shared" si="0"/>
        <v>98.269230769230774</v>
      </c>
      <c r="G51" s="177">
        <f>E51*$C$38/1000</f>
        <v>12.792867132867134</v>
      </c>
      <c r="H51" s="255">
        <f t="shared" si="1"/>
        <v>0.40634951063203067</v>
      </c>
      <c r="J51" s="265" t="s">
        <v>89</v>
      </c>
      <c r="K51" s="266"/>
      <c r="L51" s="266"/>
      <c r="M51" s="267"/>
    </row>
    <row r="52" spans="1:16" x14ac:dyDescent="0.25">
      <c r="B52" s="4" t="s">
        <v>90</v>
      </c>
      <c r="C52" s="178">
        <f>TXICALC!$D$18</f>
        <v>5.0000000000000002E-5</v>
      </c>
      <c r="D52" s="179"/>
      <c r="E52" s="180"/>
      <c r="F52" s="176">
        <f>1000-SUM(F47:F51)</f>
        <v>-848.26923076923072</v>
      </c>
      <c r="G52" s="177">
        <f>F52*C52/1000</f>
        <v>-4.2413461538461538E-5</v>
      </c>
      <c r="H52" s="255">
        <f t="shared" si="1"/>
        <v>-1.3472108450251423E-6</v>
      </c>
      <c r="J52" s="265" t="s">
        <v>91</v>
      </c>
      <c r="K52" s="266"/>
      <c r="L52" s="266"/>
      <c r="M52" s="267"/>
    </row>
    <row r="53" spans="1:16" s="5" customFormat="1" ht="20.100000000000001" customHeight="1" x14ac:dyDescent="0.25">
      <c r="F53" s="7" t="s">
        <v>92</v>
      </c>
      <c r="G53" s="181">
        <f>SUM(G47:G52)</f>
        <v>31.482422885090415</v>
      </c>
      <c r="H53" s="237"/>
      <c r="J53" s="131"/>
      <c r="K53" s="33"/>
      <c r="L53" s="33"/>
      <c r="M53" s="117"/>
    </row>
    <row r="54" spans="1:16" s="5" customFormat="1" x14ac:dyDescent="0.25">
      <c r="F54" s="7"/>
      <c r="G54" s="237"/>
      <c r="H54" s="237"/>
    </row>
    <row r="55" spans="1:16" s="5" customFormat="1" x14ac:dyDescent="0.25">
      <c r="F55" s="7"/>
      <c r="G55" s="237"/>
      <c r="H55" s="237"/>
    </row>
    <row r="56" spans="1:16" s="5" customFormat="1" x14ac:dyDescent="0.25">
      <c r="A56" s="2" t="s">
        <v>93</v>
      </c>
      <c r="F56" s="7"/>
      <c r="G56" s="237"/>
      <c r="H56" s="237"/>
    </row>
    <row r="57" spans="1:16" s="5" customFormat="1" ht="15.75" thickBot="1" x14ac:dyDescent="0.3">
      <c r="F57" s="7"/>
      <c r="G57" s="237"/>
      <c r="H57" s="237"/>
    </row>
    <row r="58" spans="1:16" ht="60" x14ac:dyDescent="0.25">
      <c r="B58" s="16" t="s">
        <v>67</v>
      </c>
      <c r="C58" s="18" t="s">
        <v>68</v>
      </c>
      <c r="D58" s="19" t="s">
        <v>69</v>
      </c>
      <c r="E58" s="18" t="s">
        <v>70</v>
      </c>
      <c r="F58" s="18" t="s">
        <v>71</v>
      </c>
      <c r="G58" s="18" t="s">
        <v>72</v>
      </c>
      <c r="H58" s="18" t="s">
        <v>73</v>
      </c>
      <c r="J58" s="268" t="s">
        <v>74</v>
      </c>
      <c r="K58" s="269"/>
      <c r="L58" s="269"/>
      <c r="M58" s="270"/>
      <c r="O58" s="282" t="s">
        <v>75</v>
      </c>
      <c r="P58" s="283"/>
    </row>
    <row r="59" spans="1:16" x14ac:dyDescent="0.25">
      <c r="B59" s="4" t="s">
        <v>76</v>
      </c>
      <c r="C59" s="173">
        <f>TXICALC!$D$16</f>
        <v>4</v>
      </c>
      <c r="D59" s="260">
        <f>(DCALC!$C$50/1000)</f>
        <v>3</v>
      </c>
      <c r="E59" s="175">
        <f>(C59*D59)</f>
        <v>12</v>
      </c>
      <c r="F59" s="176">
        <f>D59*$C$38</f>
        <v>1500</v>
      </c>
      <c r="G59" s="177">
        <f>E59*$C$38/1000</f>
        <v>6</v>
      </c>
      <c r="H59" s="255">
        <f>G59/$G$70</f>
        <v>0.11364260654050264</v>
      </c>
      <c r="J59" s="265" t="s">
        <v>77</v>
      </c>
      <c r="K59" s="266"/>
      <c r="L59" s="266"/>
      <c r="M59" s="267"/>
      <c r="O59" s="248" t="s">
        <v>78</v>
      </c>
      <c r="P59" s="249" t="s">
        <v>79</v>
      </c>
    </row>
    <row r="60" spans="1:16" x14ac:dyDescent="0.25">
      <c r="B60" s="4" t="s">
        <v>94</v>
      </c>
      <c r="C60" s="173">
        <f>$K$12</f>
        <v>94.420882844189933</v>
      </c>
      <c r="D60" s="260">
        <f>$K$9/1000</f>
        <v>0.14653846153846153</v>
      </c>
      <c r="E60" s="175">
        <f>(C60*D60)</f>
        <v>13.836290909090909</v>
      </c>
      <c r="F60" s="176">
        <f t="shared" ref="F60:F68" si="2">D60*$C$38</f>
        <v>73.269230769230774</v>
      </c>
      <c r="G60" s="177">
        <f>E60*$C$38/1000</f>
        <v>6.9181454545454546</v>
      </c>
      <c r="H60" s="255">
        <f t="shared" ref="H60:H69" si="3">G60/$G$70</f>
        <v>0.13103268031347931</v>
      </c>
      <c r="J60" s="265" t="s">
        <v>81</v>
      </c>
      <c r="K60" s="266"/>
      <c r="L60" s="266"/>
      <c r="M60" s="267"/>
      <c r="O60" s="250">
        <f>$C$20/G70</f>
        <v>18.940434423417106</v>
      </c>
      <c r="P60" s="251" t="s">
        <v>82</v>
      </c>
    </row>
    <row r="61" spans="1:16" ht="15.75" thickBot="1" x14ac:dyDescent="0.3">
      <c r="B61" s="4" t="s">
        <v>95</v>
      </c>
      <c r="C61" s="173">
        <f>$K$13</f>
        <v>58.73453860259486</v>
      </c>
      <c r="D61" s="260">
        <f>$K$10/1000</f>
        <v>0.12717948717948718</v>
      </c>
      <c r="E61" s="175">
        <f>(C61*D61)</f>
        <v>7.4698284992018076</v>
      </c>
      <c r="F61" s="176">
        <f t="shared" si="2"/>
        <v>63.589743589743591</v>
      </c>
      <c r="G61" s="177">
        <f>E61*$C$38/1000</f>
        <v>3.7349142496009038</v>
      </c>
      <c r="H61" s="255">
        <f t="shared" si="3"/>
        <v>7.0740898421652029E-2</v>
      </c>
      <c r="J61" s="265" t="s">
        <v>84</v>
      </c>
      <c r="K61" s="266"/>
      <c r="L61" s="266"/>
      <c r="M61" s="267"/>
      <c r="O61" s="252">
        <f>O60/(24)</f>
        <v>0.78918476764237944</v>
      </c>
      <c r="P61" s="253" t="s">
        <v>85</v>
      </c>
    </row>
    <row r="62" spans="1:16" s="5" customFormat="1" ht="30" x14ac:dyDescent="0.25">
      <c r="B62" s="96" t="s">
        <v>86</v>
      </c>
      <c r="C62" s="241">
        <f>TXICALC!$D$17</f>
        <v>18</v>
      </c>
      <c r="D62" s="261">
        <f>D66</f>
        <v>0.22628205128205128</v>
      </c>
      <c r="E62" s="243">
        <f>(C62*D62)</f>
        <v>4.0730769230769228</v>
      </c>
      <c r="F62" s="244">
        <f t="shared" ref="F62" si="4">D62*$C$38</f>
        <v>113.14102564102564</v>
      </c>
      <c r="G62" s="245">
        <f>E62*$C$38/1000</f>
        <v>2.0365384615384614</v>
      </c>
      <c r="H62" s="255">
        <f t="shared" si="3"/>
        <v>3.857292318153599E-2</v>
      </c>
      <c r="J62" s="271" t="s">
        <v>96</v>
      </c>
      <c r="K62" s="272"/>
      <c r="L62" s="272"/>
      <c r="M62" s="273"/>
    </row>
    <row r="63" spans="1:16" x14ac:dyDescent="0.25">
      <c r="B63" s="4" t="s">
        <v>88</v>
      </c>
      <c r="C63" s="173">
        <f>$K$14</f>
        <v>130.18181818181819</v>
      </c>
      <c r="D63" s="260">
        <f>0.05</f>
        <v>0.05</v>
      </c>
      <c r="E63" s="175">
        <f>(C63*D63)</f>
        <v>6.5090909090909097</v>
      </c>
      <c r="F63" s="176">
        <f t="shared" si="2"/>
        <v>25</v>
      </c>
      <c r="G63" s="177">
        <f>E63*$C$38/1000</f>
        <v>3.2545454545454549</v>
      </c>
      <c r="H63" s="255">
        <f t="shared" si="3"/>
        <v>6.16425047598484E-2</v>
      </c>
      <c r="J63" s="265" t="s">
        <v>97</v>
      </c>
      <c r="K63" s="266"/>
      <c r="L63" s="266"/>
      <c r="M63" s="267"/>
      <c r="O63" s="281"/>
    </row>
    <row r="64" spans="1:16" x14ac:dyDescent="0.25">
      <c r="B64" s="4" t="s">
        <v>98</v>
      </c>
      <c r="C64" s="173">
        <f>$K$14</f>
        <v>130.18181818181819</v>
      </c>
      <c r="D64" s="260">
        <f>D48</f>
        <v>0.14653846153846153</v>
      </c>
      <c r="E64" s="175">
        <f t="shared" ref="E64:E68" si="5">(C64*D64)</f>
        <v>19.076643356643356</v>
      </c>
      <c r="F64" s="176">
        <f t="shared" si="2"/>
        <v>73.269230769230774</v>
      </c>
      <c r="G64" s="177">
        <f t="shared" ref="G64:G68" si="6">E64*$C$38/1000</f>
        <v>9.5383216783216778</v>
      </c>
      <c r="H64" s="255">
        <f t="shared" si="3"/>
        <v>0.18065995625770953</v>
      </c>
      <c r="J64" s="238" t="s">
        <v>99</v>
      </c>
      <c r="K64" s="201"/>
      <c r="L64" s="201"/>
      <c r="M64" s="239"/>
      <c r="O64" s="281"/>
    </row>
    <row r="65" spans="2:13" x14ac:dyDescent="0.25">
      <c r="B65" s="4" t="s">
        <v>100</v>
      </c>
      <c r="C65" s="173">
        <f>K15</f>
        <v>135.63636363636363</v>
      </c>
      <c r="D65" s="260">
        <f>D49</f>
        <v>0.12717948717948718</v>
      </c>
      <c r="E65" s="175">
        <f t="shared" si="5"/>
        <v>17.250163170163169</v>
      </c>
      <c r="F65" s="176">
        <f t="shared" si="2"/>
        <v>63.589743589743591</v>
      </c>
      <c r="G65" s="177">
        <f t="shared" si="6"/>
        <v>8.6250815850815847</v>
      </c>
      <c r="H65" s="255">
        <f t="shared" si="3"/>
        <v>0.16336279215886021</v>
      </c>
      <c r="J65" s="238" t="s">
        <v>101</v>
      </c>
      <c r="K65" s="201"/>
      <c r="L65" s="201"/>
      <c r="M65" s="239"/>
    </row>
    <row r="66" spans="2:13" ht="45" customHeight="1" x14ac:dyDescent="0.25">
      <c r="B66" s="96" t="s">
        <v>102</v>
      </c>
      <c r="C66" s="241">
        <f>TXICALC!$D$17</f>
        <v>18</v>
      </c>
      <c r="D66" s="261">
        <f>IF(((C40 - (D65 + D67)*1000)/1000)&lt;0,0.1,((C40 - (D65 + D67)*1000)/1000))</f>
        <v>0.22628205128205128</v>
      </c>
      <c r="E66" s="243">
        <f t="shared" ref="E66" si="7">(C66*D66)</f>
        <v>4.0730769230769228</v>
      </c>
      <c r="F66" s="244">
        <f>IF(D66*$C$38&gt;0, D66*$C$38, 0)</f>
        <v>113.14102564102564</v>
      </c>
      <c r="G66" s="245">
        <f t="shared" ref="G66" si="8">E66*$C$38/1000</f>
        <v>2.0365384615384614</v>
      </c>
      <c r="H66" s="255">
        <f t="shared" si="3"/>
        <v>3.857292318153599E-2</v>
      </c>
      <c r="J66" s="271" t="s">
        <v>103</v>
      </c>
      <c r="K66" s="272"/>
      <c r="L66" s="272"/>
      <c r="M66" s="273"/>
    </row>
    <row r="67" spans="2:13" x14ac:dyDescent="0.25">
      <c r="B67" s="4" t="s">
        <v>104</v>
      </c>
      <c r="C67" s="173">
        <f>$K$12</f>
        <v>94.420882844189933</v>
      </c>
      <c r="D67" s="260">
        <f>$K$9/1000</f>
        <v>0.14653846153846153</v>
      </c>
      <c r="E67" s="175">
        <f t="shared" si="5"/>
        <v>13.836290909090909</v>
      </c>
      <c r="F67" s="176">
        <f t="shared" si="2"/>
        <v>73.269230769230774</v>
      </c>
      <c r="G67" s="177">
        <f t="shared" si="6"/>
        <v>6.9181454545454546</v>
      </c>
      <c r="H67" s="255">
        <f t="shared" si="3"/>
        <v>0.13103268031347931</v>
      </c>
      <c r="J67" s="238" t="s">
        <v>105</v>
      </c>
      <c r="K67" s="201"/>
      <c r="L67" s="201"/>
      <c r="M67" s="239"/>
    </row>
    <row r="68" spans="2:13" x14ac:dyDescent="0.25">
      <c r="B68" s="4" t="s">
        <v>106</v>
      </c>
      <c r="C68" s="173">
        <f>$K$13</f>
        <v>58.73453860259486</v>
      </c>
      <c r="D68" s="260">
        <f>$K$10/1000</f>
        <v>0.12717948717948718</v>
      </c>
      <c r="E68" s="175">
        <f t="shared" si="5"/>
        <v>7.4698284992018076</v>
      </c>
      <c r="F68" s="176">
        <f t="shared" si="2"/>
        <v>63.589743589743591</v>
      </c>
      <c r="G68" s="177">
        <f t="shared" si="6"/>
        <v>3.7349142496009038</v>
      </c>
      <c r="H68" s="255">
        <f t="shared" si="3"/>
        <v>7.0740898421652029E-2</v>
      </c>
      <c r="J68" s="238" t="s">
        <v>107</v>
      </c>
      <c r="K68" s="201"/>
      <c r="L68" s="201"/>
      <c r="M68" s="239"/>
    </row>
    <row r="69" spans="2:13" x14ac:dyDescent="0.25">
      <c r="B69" s="4" t="s">
        <v>108</v>
      </c>
      <c r="C69" s="178">
        <f>TXICALC!$D$18</f>
        <v>5.0000000000000002E-5</v>
      </c>
      <c r="D69" s="260"/>
      <c r="E69" s="180"/>
      <c r="F69" s="176">
        <f>1000-SUM(F59:F65)</f>
        <v>-911.85897435897436</v>
      </c>
      <c r="G69" s="177">
        <f>F69*C69/1000</f>
        <v>-4.5592948717948724E-5</v>
      </c>
      <c r="H69" s="255">
        <f t="shared" si="3"/>
        <v>-8.6355025536252676E-7</v>
      </c>
      <c r="J69" s="265" t="s">
        <v>109</v>
      </c>
      <c r="K69" s="266"/>
      <c r="L69" s="266"/>
      <c r="M69" s="267"/>
    </row>
    <row r="70" spans="2:13" s="5" customFormat="1" ht="20.100000000000001" customHeight="1" x14ac:dyDescent="0.25">
      <c r="D70" s="262">
        <f>SUM(D59:D69)</f>
        <v>4.3237179487179489</v>
      </c>
      <c r="F70" s="7" t="s">
        <v>92</v>
      </c>
      <c r="G70" s="181">
        <f>SUM(G59:G69)</f>
        <v>52.797099456369637</v>
      </c>
      <c r="H70" s="237"/>
      <c r="J70" s="131"/>
      <c r="K70" s="33"/>
      <c r="L70" s="33"/>
      <c r="M70" s="117"/>
    </row>
    <row r="71" spans="2:13" s="5" customFormat="1" x14ac:dyDescent="0.25">
      <c r="F71" s="7"/>
      <c r="G71" s="237"/>
      <c r="H71" s="237"/>
    </row>
    <row r="72" spans="2:13" s="5" customFormat="1" x14ac:dyDescent="0.25">
      <c r="F72" s="7"/>
      <c r="G72" s="237"/>
      <c r="H72" s="237"/>
    </row>
    <row r="73" spans="2:13" s="5" customFormat="1" x14ac:dyDescent="0.25">
      <c r="F73" s="7"/>
      <c r="G73" s="237"/>
      <c r="H73" s="237"/>
    </row>
  </sheetData>
  <mergeCells count="37">
    <mergeCell ref="O63:O64"/>
    <mergeCell ref="E13:G13"/>
    <mergeCell ref="A35:G35"/>
    <mergeCell ref="O58:P58"/>
    <mergeCell ref="O46:P46"/>
    <mergeCell ref="J61:M61"/>
    <mergeCell ref="J63:M63"/>
    <mergeCell ref="E40:G40"/>
    <mergeCell ref="E39:G39"/>
    <mergeCell ref="E8:G8"/>
    <mergeCell ref="E20:G20"/>
    <mergeCell ref="E38:G38"/>
    <mergeCell ref="E9:G9"/>
    <mergeCell ref="E10:G10"/>
    <mergeCell ref="E11:G11"/>
    <mergeCell ref="E12:G12"/>
    <mergeCell ref="E19:G19"/>
    <mergeCell ref="E21:G21"/>
    <mergeCell ref="E22:G22"/>
    <mergeCell ref="E23:G23"/>
    <mergeCell ref="E24:G24"/>
    <mergeCell ref="A28:G28"/>
    <mergeCell ref="E37:G37"/>
    <mergeCell ref="E30:G30"/>
    <mergeCell ref="E31:G31"/>
    <mergeCell ref="J69:M69"/>
    <mergeCell ref="J52:M52"/>
    <mergeCell ref="J46:M46"/>
    <mergeCell ref="J58:M58"/>
    <mergeCell ref="J59:M59"/>
    <mergeCell ref="J60:M60"/>
    <mergeCell ref="J47:M47"/>
    <mergeCell ref="J48:M48"/>
    <mergeCell ref="J49:M49"/>
    <mergeCell ref="J51:M51"/>
    <mergeCell ref="J66:M66"/>
    <mergeCell ref="J62:M62"/>
  </mergeCells>
  <dataValidations count="4">
    <dataValidation type="whole" allowBlank="1" showInputMessage="1" showErrorMessage="1" sqref="C13" xr:uid="{00000000-0002-0000-0000-000000000000}">
      <formula1>3</formula1>
      <formula2>1023</formula2>
    </dataValidation>
    <dataValidation type="decimal" allowBlank="1" showInputMessage="1" showErrorMessage="1" sqref="C22" xr:uid="{00000000-0002-0000-0000-000001000000}">
      <formula1>0</formula1>
      <formula2>3.6</formula2>
    </dataValidation>
    <dataValidation type="decimal" allowBlank="1" showInputMessage="1" showErrorMessage="1" sqref="C23" xr:uid="{00000000-0002-0000-0000-000002000000}">
      <formula1>1.6</formula1>
      <formula2>3.6</formula2>
    </dataValidation>
    <dataValidation type="decimal" operator="lessThanOrEqual" allowBlank="1" showInputMessage="1" showErrorMessage="1" sqref="C24" xr:uid="{00000000-0002-0000-0000-000003000000}">
      <formula1>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4000000}">
          <x14:formula1>
            <xm:f>DVAL!$B$4:$B$9</xm:f>
          </x14:formula1>
          <xm:sqref>C9</xm:sqref>
        </x14:dataValidation>
        <x14:dataValidation type="list" allowBlank="1" showInputMessage="1" showErrorMessage="1" xr:uid="{00000000-0002-0000-0000-000005000000}">
          <x14:formula1>
            <xm:f>DVAL!$D$4:$D$6</xm:f>
          </x14:formula1>
          <xm:sqref>C10</xm:sqref>
        </x14:dataValidation>
        <x14:dataValidation type="list" allowBlank="1" showInputMessage="1" showErrorMessage="1" xr:uid="{00000000-0002-0000-0000-000006000000}">
          <x14:formula1>
            <xm:f>DVAL!$F$4:$F$10</xm:f>
          </x14:formula1>
          <xm:sqref>C11</xm:sqref>
        </x14:dataValidation>
        <x14:dataValidation type="list" allowBlank="1" showInputMessage="1" showErrorMessage="1" xr:uid="{00000000-0002-0000-0000-000007000000}">
          <x14:formula1>
            <xm:f>DVAL!$H$4:$H$5</xm:f>
          </x14:formula1>
          <xm:sqref>C12</xm:sqref>
        </x14:dataValidation>
        <x14:dataValidation type="list" allowBlank="1" showInputMessage="1" showErrorMessage="1" xr:uid="{00000000-0002-0000-0000-000008000000}">
          <x14:formula1>
            <xm:f>DVAL!$J$4:$J$5</xm:f>
          </x14:formula1>
          <xm:sqref>C21</xm:sqref>
        </x14:dataValidation>
        <x14:dataValidation type="list" allowBlank="1" showInputMessage="1" showErrorMessage="1" xr:uid="{00000000-0002-0000-0000-000009000000}">
          <x14:formula1>
            <xm:f>DVAL!$L$4:$L$5</xm:f>
          </x14:formula1>
          <xm:sqref>C31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1"/>
  <sheetViews>
    <sheetView topLeftCell="B1" zoomScaleNormal="100" workbookViewId="0">
      <selection activeCell="G15" sqref="G15"/>
    </sheetView>
  </sheetViews>
  <sheetFormatPr defaultColWidth="8.85546875" defaultRowHeight="15" x14ac:dyDescent="0.25"/>
  <cols>
    <col min="1" max="1" width="2.7109375" customWidth="1"/>
    <col min="2" max="2" width="25.7109375" customWidth="1"/>
    <col min="3" max="3" width="13.7109375" customWidth="1"/>
    <col min="5" max="5" width="2.7109375" customWidth="1"/>
    <col min="7" max="7" width="9.7109375" customWidth="1"/>
    <col min="8" max="8" width="12.7109375" customWidth="1"/>
    <col min="9" max="9" width="10.7109375" customWidth="1"/>
    <col min="10" max="10" width="2.7109375" customWidth="1"/>
    <col min="14" max="14" width="10.7109375" customWidth="1"/>
    <col min="15" max="15" width="2.7109375" customWidth="1"/>
    <col min="16" max="18" width="7.7109375" style="11" customWidth="1"/>
    <col min="19" max="19" width="11.7109375" bestFit="1" customWidth="1"/>
    <col min="20" max="20" width="10.7109375" customWidth="1"/>
    <col min="21" max="22" width="11.140625" bestFit="1" customWidth="1"/>
    <col min="23" max="25" width="11.7109375" bestFit="1" customWidth="1"/>
    <col min="26" max="26" width="12.85546875" bestFit="1" customWidth="1"/>
  </cols>
  <sheetData>
    <row r="1" spans="1:26" ht="18.75" x14ac:dyDescent="0.3">
      <c r="A1" s="6" t="s">
        <v>110</v>
      </c>
    </row>
    <row r="3" spans="1:26" x14ac:dyDescent="0.25">
      <c r="A3" s="85" t="s">
        <v>111</v>
      </c>
      <c r="B3" s="86"/>
      <c r="C3" s="87"/>
      <c r="F3" s="85" t="s">
        <v>112</v>
      </c>
      <c r="G3" s="86"/>
      <c r="H3" s="87"/>
      <c r="P3" s="70" t="s">
        <v>113</v>
      </c>
      <c r="S3" s="84"/>
      <c r="T3" t="s">
        <v>114</v>
      </c>
    </row>
    <row r="4" spans="1:26" x14ac:dyDescent="0.25">
      <c r="A4" s="93"/>
      <c r="C4" s="89"/>
      <c r="F4" s="88"/>
      <c r="H4" s="89"/>
    </row>
    <row r="5" spans="1:26" s="5" customFormat="1" ht="15" customHeight="1" x14ac:dyDescent="0.25">
      <c r="A5" s="46"/>
      <c r="B5" s="5" t="s">
        <v>10</v>
      </c>
      <c r="C5" s="94">
        <f>'TWR Exchange'!C9</f>
        <v>5</v>
      </c>
      <c r="F5" s="46" t="s">
        <v>13</v>
      </c>
      <c r="H5" s="90">
        <f>C37</f>
        <v>146.53846153846155</v>
      </c>
      <c r="P5" s="294" t="s">
        <v>115</v>
      </c>
      <c r="Q5" s="296" t="s">
        <v>116</v>
      </c>
      <c r="R5" s="287" t="s">
        <v>23</v>
      </c>
      <c r="S5" s="289" t="s">
        <v>117</v>
      </c>
      <c r="T5" s="291" t="s">
        <v>118</v>
      </c>
      <c r="U5" s="292"/>
      <c r="V5" s="292"/>
      <c r="W5" s="292"/>
      <c r="X5" s="292"/>
      <c r="Y5" s="292"/>
      <c r="Z5" s="293"/>
    </row>
    <row r="6" spans="1:26" ht="15" customHeight="1" x14ac:dyDescent="0.25">
      <c r="A6" s="88"/>
      <c r="B6" t="s">
        <v>15</v>
      </c>
      <c r="C6" s="89">
        <f>'TWR Exchange'!C10</f>
        <v>6800</v>
      </c>
      <c r="F6" s="88" t="s">
        <v>18</v>
      </c>
      <c r="H6" s="91">
        <f>C41</f>
        <v>127.17948717948718</v>
      </c>
      <c r="P6" s="295"/>
      <c r="Q6" s="297"/>
      <c r="R6" s="288"/>
      <c r="S6" s="290"/>
      <c r="T6" s="67">
        <v>3</v>
      </c>
      <c r="U6" s="67">
        <v>12</v>
      </c>
      <c r="V6" s="67">
        <v>30</v>
      </c>
      <c r="W6" s="67">
        <v>50</v>
      </c>
      <c r="X6" s="67">
        <v>90</v>
      </c>
      <c r="Y6" s="67">
        <v>127</v>
      </c>
      <c r="Z6" s="68">
        <v>1023</v>
      </c>
    </row>
    <row r="7" spans="1:26" x14ac:dyDescent="0.25">
      <c r="A7" s="88"/>
      <c r="B7" t="s">
        <v>119</v>
      </c>
      <c r="C7" s="89">
        <f>'TWR Exchange'!C11</f>
        <v>128</v>
      </c>
      <c r="F7" s="88" t="s">
        <v>120</v>
      </c>
      <c r="H7" s="91">
        <f>C45</f>
        <v>273.71794871794873</v>
      </c>
      <c r="P7" s="65">
        <v>110</v>
      </c>
      <c r="Q7" s="11">
        <v>64</v>
      </c>
      <c r="R7" s="11">
        <v>16</v>
      </c>
      <c r="S7" s="74">
        <v>127.1794871794872</v>
      </c>
      <c r="T7" s="76">
        <v>381.46386946386946</v>
      </c>
      <c r="U7" s="76">
        <v>1058.1631701631702</v>
      </c>
      <c r="V7" s="76">
        <v>2411.5617715617718</v>
      </c>
      <c r="W7" s="77">
        <v>3915.3379953379954</v>
      </c>
      <c r="X7" s="77">
        <v>6922.8904428904434</v>
      </c>
      <c r="Y7" s="77">
        <v>9704.8764568764564</v>
      </c>
      <c r="Z7" s="79">
        <v>77074.051282051281</v>
      </c>
    </row>
    <row r="8" spans="1:26" x14ac:dyDescent="0.25">
      <c r="A8" s="88"/>
      <c r="B8" t="s">
        <v>23</v>
      </c>
      <c r="C8" s="89">
        <f>'TWR Exchange'!C12</f>
        <v>64</v>
      </c>
      <c r="F8" s="88"/>
      <c r="H8" s="89"/>
      <c r="P8" s="65">
        <v>110</v>
      </c>
      <c r="Q8" s="11">
        <v>128</v>
      </c>
      <c r="R8" s="11">
        <v>16</v>
      </c>
      <c r="S8" s="74">
        <v>190.76923076923077</v>
      </c>
      <c r="T8" s="76">
        <v>381.46386946386946</v>
      </c>
      <c r="U8" s="76">
        <v>1058.1631701631702</v>
      </c>
      <c r="V8" s="76">
        <v>2411.5617715617718</v>
      </c>
      <c r="W8" s="77">
        <v>3915.3379953379954</v>
      </c>
      <c r="X8" s="77">
        <v>6922.8904428904434</v>
      </c>
      <c r="Y8" s="77">
        <v>9704.8764568764564</v>
      </c>
      <c r="Z8" s="78">
        <v>77074.051282051281</v>
      </c>
    </row>
    <row r="9" spans="1:26" x14ac:dyDescent="0.25">
      <c r="A9" s="92"/>
      <c r="B9" s="1" t="s">
        <v>28</v>
      </c>
      <c r="C9" s="66">
        <f>'TWR Exchange'!C13</f>
        <v>85</v>
      </c>
      <c r="F9" s="92"/>
      <c r="G9" s="1"/>
      <c r="H9" s="66"/>
      <c r="P9" s="65">
        <v>110</v>
      </c>
      <c r="Q9" s="11">
        <v>256</v>
      </c>
      <c r="R9" s="11">
        <v>16</v>
      </c>
      <c r="S9" s="74">
        <v>317.94871794871796</v>
      </c>
      <c r="T9" s="76">
        <v>381.46386946386946</v>
      </c>
      <c r="U9" s="76">
        <v>1058.1631701631702</v>
      </c>
      <c r="V9" s="76">
        <v>2411.5617715617718</v>
      </c>
      <c r="W9" s="77">
        <v>3915.3379953379954</v>
      </c>
      <c r="X9" s="77">
        <v>6922.8904428904434</v>
      </c>
      <c r="Y9" s="77">
        <v>9704.8764568764564</v>
      </c>
      <c r="Z9" s="78">
        <v>77074.051282051281</v>
      </c>
    </row>
    <row r="10" spans="1:26" x14ac:dyDescent="0.25">
      <c r="P10" s="65">
        <v>110</v>
      </c>
      <c r="Q10" s="11">
        <v>512</v>
      </c>
      <c r="R10" s="11">
        <v>16</v>
      </c>
      <c r="S10" s="74">
        <v>572.30769230769238</v>
      </c>
      <c r="T10" s="76">
        <v>381.46386946386946</v>
      </c>
      <c r="U10" s="76">
        <v>1058.1631701631702</v>
      </c>
      <c r="V10" s="76">
        <v>2411.5617715617718</v>
      </c>
      <c r="W10" s="77">
        <v>3915.3379953379954</v>
      </c>
      <c r="X10" s="77">
        <v>6922.8904428904434</v>
      </c>
      <c r="Y10" s="77">
        <v>9704.8764568764564</v>
      </c>
      <c r="Z10" s="78">
        <v>77074.051282051281</v>
      </c>
    </row>
    <row r="11" spans="1:26" x14ac:dyDescent="0.25">
      <c r="A11" s="2" t="s">
        <v>121</v>
      </c>
      <c r="P11" s="65">
        <v>110</v>
      </c>
      <c r="Q11" s="11">
        <v>1024</v>
      </c>
      <c r="R11" s="11">
        <v>16</v>
      </c>
      <c r="S11" s="74">
        <v>1081.0256410256411</v>
      </c>
      <c r="T11" s="76">
        <v>381.46386946386946</v>
      </c>
      <c r="U11" s="76">
        <v>1058.1631701631702</v>
      </c>
      <c r="V11" s="76">
        <v>2411.5617715617718</v>
      </c>
      <c r="W11" s="77">
        <v>3915.3379953379954</v>
      </c>
      <c r="X11" s="77">
        <v>6922.8904428904434</v>
      </c>
      <c r="Y11" s="77">
        <v>9704.8764568764564</v>
      </c>
      <c r="Z11" s="78">
        <v>77074.051282051281</v>
      </c>
    </row>
    <row r="12" spans="1:26" s="5" customFormat="1" ht="60" x14ac:dyDescent="0.25">
      <c r="C12" s="137" t="s">
        <v>122</v>
      </c>
      <c r="D12" s="165" t="s">
        <v>123</v>
      </c>
      <c r="F12" s="166" t="s">
        <v>124</v>
      </c>
      <c r="G12" s="167" t="s">
        <v>125</v>
      </c>
      <c r="H12" s="167" t="s">
        <v>126</v>
      </c>
      <c r="I12" s="165" t="s">
        <v>127</v>
      </c>
      <c r="K12" s="166" t="s">
        <v>128</v>
      </c>
      <c r="L12" s="167" t="s">
        <v>129</v>
      </c>
      <c r="M12" s="167" t="s">
        <v>130</v>
      </c>
      <c r="N12" s="165" t="s">
        <v>131</v>
      </c>
      <c r="P12" s="65">
        <v>110</v>
      </c>
      <c r="Q12" s="11">
        <v>2048</v>
      </c>
      <c r="R12" s="11">
        <v>16</v>
      </c>
      <c r="S12" s="75">
        <v>2098.4615384615386</v>
      </c>
      <c r="T12" s="80">
        <v>381.46386946386946</v>
      </c>
      <c r="U12" s="80">
        <v>1058.1631701631702</v>
      </c>
      <c r="V12" s="80">
        <v>2411.5617715617718</v>
      </c>
      <c r="W12" s="81">
        <v>3915.3379953379954</v>
      </c>
      <c r="X12" s="82">
        <v>6922.8904428904434</v>
      </c>
      <c r="Y12" s="82">
        <v>9704.8764568764564</v>
      </c>
      <c r="Z12" s="83">
        <v>77074.051282051281</v>
      </c>
    </row>
    <row r="13" spans="1:26" x14ac:dyDescent="0.25">
      <c r="C13" s="168"/>
      <c r="D13" s="87"/>
      <c r="F13" s="168"/>
      <c r="G13" s="86"/>
      <c r="H13" s="86"/>
      <c r="I13" s="87"/>
      <c r="J13" s="11"/>
      <c r="K13" s="168"/>
      <c r="L13" s="86"/>
      <c r="M13" s="86"/>
      <c r="N13" s="87"/>
      <c r="P13" s="65">
        <v>110</v>
      </c>
      <c r="Q13" s="11">
        <v>4096</v>
      </c>
      <c r="R13" s="11">
        <v>16</v>
      </c>
      <c r="S13" s="74">
        <v>4133.3333333333339</v>
      </c>
      <c r="T13" s="76">
        <v>381.46386946386946</v>
      </c>
      <c r="U13" s="76">
        <v>1058.1631701631702</v>
      </c>
      <c r="V13" s="76">
        <v>2411.5617715617718</v>
      </c>
      <c r="W13" s="77">
        <v>3915.3379953379954</v>
      </c>
      <c r="X13" s="77">
        <v>6922.8904428904434</v>
      </c>
      <c r="Y13" s="77">
        <v>9704.8764568764564</v>
      </c>
      <c r="Z13" s="78">
        <v>77074.051282051281</v>
      </c>
    </row>
    <row r="14" spans="1:26" x14ac:dyDescent="0.25">
      <c r="C14" s="65">
        <v>1</v>
      </c>
      <c r="D14" s="95">
        <v>500</v>
      </c>
      <c r="F14" s="65">
        <v>16</v>
      </c>
      <c r="G14" s="11">
        <f>499.2/31</f>
        <v>16.103225806451611</v>
      </c>
      <c r="H14" s="11">
        <f>499.2/32</f>
        <v>15.6</v>
      </c>
      <c r="I14" s="95">
        <v>16</v>
      </c>
      <c r="J14" s="11"/>
      <c r="K14" s="65">
        <v>110</v>
      </c>
      <c r="L14" s="11">
        <v>128</v>
      </c>
      <c r="M14" s="11">
        <v>512</v>
      </c>
      <c r="N14" s="95">
        <v>64</v>
      </c>
      <c r="P14" s="65">
        <v>110</v>
      </c>
      <c r="Q14" s="11">
        <v>64</v>
      </c>
      <c r="R14" s="11">
        <v>64</v>
      </c>
      <c r="S14" s="74">
        <v>130.25641025641025</v>
      </c>
      <c r="T14" s="76">
        <v>381.46386946386946</v>
      </c>
      <c r="U14" s="76">
        <v>1058.1631701631702</v>
      </c>
      <c r="V14" s="76">
        <v>2411.5617715617718</v>
      </c>
      <c r="W14" s="77">
        <v>3915.3379953379954</v>
      </c>
      <c r="X14" s="77">
        <v>6922.8904428904434</v>
      </c>
      <c r="Y14" s="77">
        <v>9704.8764568764564</v>
      </c>
      <c r="Z14" s="78">
        <v>77074.051282051281</v>
      </c>
    </row>
    <row r="15" spans="1:26" x14ac:dyDescent="0.25">
      <c r="C15" s="65">
        <v>2</v>
      </c>
      <c r="D15" s="95">
        <v>500</v>
      </c>
      <c r="F15" s="65">
        <v>64</v>
      </c>
      <c r="G15" s="11">
        <f>499.2/127*64/4</f>
        <v>62.891338582677164</v>
      </c>
      <c r="H15" s="11">
        <v>62.4</v>
      </c>
      <c r="I15" s="95">
        <v>64</v>
      </c>
      <c r="J15" s="11"/>
      <c r="K15" s="65">
        <v>850</v>
      </c>
      <c r="L15" s="11">
        <v>16</v>
      </c>
      <c r="M15" s="11">
        <v>64</v>
      </c>
      <c r="N15" s="95">
        <v>8</v>
      </c>
      <c r="P15" s="65">
        <v>110</v>
      </c>
      <c r="Q15" s="11">
        <v>128</v>
      </c>
      <c r="R15" s="11">
        <v>64</v>
      </c>
      <c r="S15" s="74">
        <v>195.38461538461539</v>
      </c>
      <c r="T15" s="76">
        <v>381.46386946386946</v>
      </c>
      <c r="U15" s="76">
        <v>1058.1631701631702</v>
      </c>
      <c r="V15" s="76">
        <v>2411.5617715617718</v>
      </c>
      <c r="W15" s="77">
        <v>3915.3379953379954</v>
      </c>
      <c r="X15" s="77">
        <v>6922.8904428904434</v>
      </c>
      <c r="Y15" s="77">
        <v>9704.8764568764564</v>
      </c>
      <c r="Z15" s="78">
        <v>77074.051282051281</v>
      </c>
    </row>
    <row r="16" spans="1:26" x14ac:dyDescent="0.25">
      <c r="C16" s="65">
        <v>3</v>
      </c>
      <c r="D16" s="95">
        <v>500</v>
      </c>
      <c r="F16" s="88"/>
      <c r="I16" s="89"/>
      <c r="K16" s="65">
        <v>6800</v>
      </c>
      <c r="L16" s="11">
        <v>2</v>
      </c>
      <c r="M16" s="11">
        <v>8</v>
      </c>
      <c r="N16" s="95">
        <v>16</v>
      </c>
      <c r="P16" s="65">
        <v>110</v>
      </c>
      <c r="Q16" s="11">
        <v>256</v>
      </c>
      <c r="R16" s="11">
        <v>64</v>
      </c>
      <c r="S16" s="74">
        <v>325.64102564102564</v>
      </c>
      <c r="T16" s="76">
        <v>381.46386946386946</v>
      </c>
      <c r="U16" s="76">
        <v>1058.1631701631702</v>
      </c>
      <c r="V16" s="76">
        <v>2411.5617715617718</v>
      </c>
      <c r="W16" s="77">
        <v>3915.3379953379954</v>
      </c>
      <c r="X16" s="77">
        <v>6922.8904428904434</v>
      </c>
      <c r="Y16" s="77">
        <v>9704.8764568764564</v>
      </c>
      <c r="Z16" s="78">
        <v>77074.051282051281</v>
      </c>
    </row>
    <row r="17" spans="1:26" x14ac:dyDescent="0.25">
      <c r="C17" s="65">
        <v>4</v>
      </c>
      <c r="D17" s="95">
        <v>1300</v>
      </c>
      <c r="F17" s="88"/>
      <c r="I17" s="89"/>
      <c r="K17" s="88"/>
      <c r="N17" s="89"/>
      <c r="P17" s="65">
        <v>110</v>
      </c>
      <c r="Q17" s="11">
        <v>512</v>
      </c>
      <c r="R17" s="11">
        <v>64</v>
      </c>
      <c r="S17" s="74">
        <v>586.15384615384619</v>
      </c>
      <c r="T17" s="76">
        <v>381.46386946386946</v>
      </c>
      <c r="U17" s="76">
        <v>1058.1631701631702</v>
      </c>
      <c r="V17" s="76">
        <v>2411.5617715617718</v>
      </c>
      <c r="W17" s="77">
        <v>3915.3379953379954</v>
      </c>
      <c r="X17" s="77">
        <v>6922.8904428904434</v>
      </c>
      <c r="Y17" s="77">
        <v>9704.8764568764564</v>
      </c>
      <c r="Z17" s="78">
        <v>77074.051282051281</v>
      </c>
    </row>
    <row r="18" spans="1:26" x14ac:dyDescent="0.25">
      <c r="C18" s="65">
        <v>5</v>
      </c>
      <c r="D18" s="95">
        <v>500</v>
      </c>
      <c r="F18" s="88"/>
      <c r="I18" s="89"/>
      <c r="K18" s="88"/>
      <c r="N18" s="89"/>
      <c r="P18" s="65">
        <v>110</v>
      </c>
      <c r="Q18" s="11">
        <v>1024</v>
      </c>
      <c r="R18" s="11">
        <v>64</v>
      </c>
      <c r="S18" s="74">
        <v>1107.1794871794873</v>
      </c>
      <c r="T18" s="76">
        <v>381.46386946386946</v>
      </c>
      <c r="U18" s="76">
        <v>1058.1631701631702</v>
      </c>
      <c r="V18" s="76">
        <v>2411.5617715617718</v>
      </c>
      <c r="W18" s="77">
        <v>3915.3379953379954</v>
      </c>
      <c r="X18" s="77">
        <v>6922.8904428904434</v>
      </c>
      <c r="Y18" s="77">
        <v>9704.8764568764564</v>
      </c>
      <c r="Z18" s="78">
        <v>77074.051282051281</v>
      </c>
    </row>
    <row r="19" spans="1:26" x14ac:dyDescent="0.25">
      <c r="C19" s="71">
        <v>7</v>
      </c>
      <c r="D19" s="136">
        <v>1300</v>
      </c>
      <c r="F19" s="92"/>
      <c r="G19" s="1"/>
      <c r="H19" s="1"/>
      <c r="I19" s="66"/>
      <c r="K19" s="92"/>
      <c r="L19" s="1"/>
      <c r="M19" s="1"/>
      <c r="N19" s="66"/>
      <c r="P19" s="65">
        <v>110</v>
      </c>
      <c r="Q19" s="11">
        <v>2048</v>
      </c>
      <c r="R19" s="11">
        <v>64</v>
      </c>
      <c r="S19" s="74">
        <v>2149.2307692307691</v>
      </c>
      <c r="T19" s="76">
        <v>381.46386946386946</v>
      </c>
      <c r="U19" s="76">
        <v>1058.1631701631702</v>
      </c>
      <c r="V19" s="76">
        <v>2411.5617715617718</v>
      </c>
      <c r="W19" s="77">
        <v>3915.3379953379954</v>
      </c>
      <c r="X19" s="77">
        <v>6922.8904428904434</v>
      </c>
      <c r="Y19" s="77">
        <v>9704.8764568764564</v>
      </c>
      <c r="Z19" s="78">
        <v>77074.051282051281</v>
      </c>
    </row>
    <row r="20" spans="1:26" x14ac:dyDescent="0.25">
      <c r="A20" s="2" t="s">
        <v>132</v>
      </c>
      <c r="P20" s="65">
        <v>110</v>
      </c>
      <c r="Q20" s="11">
        <v>4096</v>
      </c>
      <c r="R20" s="11">
        <v>64</v>
      </c>
      <c r="S20" s="74">
        <v>4233.333333333333</v>
      </c>
      <c r="T20" s="76">
        <v>381.46386946386946</v>
      </c>
      <c r="U20" s="76">
        <v>1058.1631701631702</v>
      </c>
      <c r="V20" s="76">
        <v>2411.5617715617718</v>
      </c>
      <c r="W20" s="77">
        <v>3915.3379953379954</v>
      </c>
      <c r="X20" s="77">
        <v>6922.8904428904434</v>
      </c>
      <c r="Y20" s="77">
        <v>9704.8764568764564</v>
      </c>
      <c r="Z20" s="78">
        <v>77074.051282051281</v>
      </c>
    </row>
    <row r="21" spans="1:26" x14ac:dyDescent="0.25">
      <c r="P21" s="65">
        <v>850</v>
      </c>
      <c r="Q21" s="11">
        <v>64</v>
      </c>
      <c r="R21" s="11">
        <v>16</v>
      </c>
      <c r="S21" s="74">
        <v>71.538461538461547</v>
      </c>
      <c r="T21" s="76">
        <v>47.682983682983682</v>
      </c>
      <c r="U21" s="76">
        <v>132.27039627039628</v>
      </c>
      <c r="V21" s="76">
        <v>301.44522144522148</v>
      </c>
      <c r="W21" s="76">
        <v>489.41724941724942</v>
      </c>
      <c r="X21" s="76">
        <v>865.36130536130543</v>
      </c>
      <c r="Y21" s="77">
        <v>1213.109557109557</v>
      </c>
      <c r="Z21" s="78">
        <v>9634.2564102564102</v>
      </c>
    </row>
    <row r="22" spans="1:26" x14ac:dyDescent="0.25">
      <c r="B22" t="s">
        <v>133</v>
      </c>
      <c r="C22" s="12">
        <f>VLOOKUP(C5, C14:D19, 2)</f>
        <v>500</v>
      </c>
      <c r="P22" s="65">
        <v>850</v>
      </c>
      <c r="Q22" s="11">
        <v>128</v>
      </c>
      <c r="R22" s="11">
        <v>16</v>
      </c>
      <c r="S22" s="74">
        <v>135.12820512820514</v>
      </c>
      <c r="T22" s="76">
        <v>47.682983682983682</v>
      </c>
      <c r="U22" s="76">
        <v>132.27039627039628</v>
      </c>
      <c r="V22" s="76">
        <v>301.44522144522148</v>
      </c>
      <c r="W22" s="76">
        <v>489.41724941724942</v>
      </c>
      <c r="X22" s="76">
        <v>865.36130536130543</v>
      </c>
      <c r="Y22" s="77">
        <v>1213.109557109557</v>
      </c>
      <c r="Z22" s="78">
        <v>9634.2564102564102</v>
      </c>
    </row>
    <row r="23" spans="1:26" x14ac:dyDescent="0.25">
      <c r="B23" t="s">
        <v>134</v>
      </c>
      <c r="C23" s="13">
        <f>VLOOKUP(C8,F14:H15,2)</f>
        <v>62.891338582677164</v>
      </c>
      <c r="P23" s="65">
        <v>850</v>
      </c>
      <c r="Q23" s="11">
        <v>256</v>
      </c>
      <c r="R23" s="11">
        <v>16</v>
      </c>
      <c r="S23" s="74">
        <v>262.30769230769232</v>
      </c>
      <c r="T23" s="76">
        <v>47.682983682983682</v>
      </c>
      <c r="U23" s="76">
        <v>132.27039627039628</v>
      </c>
      <c r="V23" s="76">
        <v>301.44522144522148</v>
      </c>
      <c r="W23" s="76">
        <v>489.41724941724942</v>
      </c>
      <c r="X23" s="76">
        <v>865.36130536130543</v>
      </c>
      <c r="Y23" s="77">
        <v>1213.109557109557</v>
      </c>
      <c r="Z23" s="78">
        <v>9634.2564102564102</v>
      </c>
    </row>
    <row r="24" spans="1:26" x14ac:dyDescent="0.25">
      <c r="B24" t="s">
        <v>131</v>
      </c>
      <c r="C24" s="14">
        <f>VLOOKUP(C6,K14:N16,4)</f>
        <v>16</v>
      </c>
      <c r="P24" s="65">
        <v>850</v>
      </c>
      <c r="Q24" s="11">
        <v>512</v>
      </c>
      <c r="R24" s="11">
        <v>16</v>
      </c>
      <c r="S24" s="74">
        <v>516.66666666666674</v>
      </c>
      <c r="T24" s="76">
        <v>47.682983682983682</v>
      </c>
      <c r="U24" s="76">
        <v>132.27039627039628</v>
      </c>
      <c r="V24" s="76">
        <v>301.44522144522148</v>
      </c>
      <c r="W24" s="76">
        <v>489.41724941724942</v>
      </c>
      <c r="X24" s="76">
        <v>865.36130536130543</v>
      </c>
      <c r="Y24" s="77">
        <v>1213.109557109557</v>
      </c>
      <c r="Z24" s="78">
        <v>9634.2564102564102</v>
      </c>
    </row>
    <row r="25" spans="1:26" x14ac:dyDescent="0.25">
      <c r="B25" t="s">
        <v>135</v>
      </c>
      <c r="C25" s="14">
        <f>VLOOKUP(C8,F14:I15,4)</f>
        <v>64</v>
      </c>
      <c r="P25" s="65">
        <v>850</v>
      </c>
      <c r="Q25" s="11">
        <v>1024</v>
      </c>
      <c r="R25" s="11">
        <v>16</v>
      </c>
      <c r="S25" s="74">
        <v>1025.3846153846155</v>
      </c>
      <c r="T25" s="76">
        <v>47.682983682983682</v>
      </c>
      <c r="U25" s="76">
        <v>132.27039627039628</v>
      </c>
      <c r="V25" s="76">
        <v>301.44522144522148</v>
      </c>
      <c r="W25" s="76">
        <v>489.41724941724942</v>
      </c>
      <c r="X25" s="76">
        <v>865.36130536130543</v>
      </c>
      <c r="Y25" s="77">
        <v>1213.109557109557</v>
      </c>
      <c r="Z25" s="78">
        <v>9634.2564102564102</v>
      </c>
    </row>
    <row r="26" spans="1:26" x14ac:dyDescent="0.25">
      <c r="B26" t="s">
        <v>136</v>
      </c>
      <c r="C26" s="14">
        <f>C37*C23</f>
        <v>9216</v>
      </c>
      <c r="P26" s="65">
        <v>850</v>
      </c>
      <c r="Q26" s="11">
        <v>2048</v>
      </c>
      <c r="R26" s="11">
        <v>16</v>
      </c>
      <c r="S26" s="74">
        <v>2042.8205128205129</v>
      </c>
      <c r="T26" s="76">
        <v>47.682983682983682</v>
      </c>
      <c r="U26" s="76">
        <v>132.27039627039628</v>
      </c>
      <c r="V26" s="76">
        <v>301.44522144522148</v>
      </c>
      <c r="W26" s="76">
        <v>489.41724941724942</v>
      </c>
      <c r="X26" s="76">
        <v>865.36130536130543</v>
      </c>
      <c r="Y26" s="77">
        <v>1213.109557109557</v>
      </c>
      <c r="Z26" s="78">
        <v>9634.2564102564102</v>
      </c>
    </row>
    <row r="27" spans="1:26" x14ac:dyDescent="0.25">
      <c r="C27" s="14"/>
      <c r="P27" s="65">
        <v>850</v>
      </c>
      <c r="Q27" s="11">
        <v>4096</v>
      </c>
      <c r="R27" s="11">
        <v>16</v>
      </c>
      <c r="S27" s="74">
        <v>4077.6923076923081</v>
      </c>
      <c r="T27" s="76">
        <v>47.682983682983682</v>
      </c>
      <c r="U27" s="76">
        <v>132.27039627039628</v>
      </c>
      <c r="V27" s="76">
        <v>301.44522144522148</v>
      </c>
      <c r="W27" s="76">
        <v>489.41724941724942</v>
      </c>
      <c r="X27" s="76">
        <v>865.36130536130543</v>
      </c>
      <c r="Y27" s="77">
        <v>1213.109557109557</v>
      </c>
      <c r="Z27" s="78">
        <v>9634.2564102564102</v>
      </c>
    </row>
    <row r="28" spans="1:26" x14ac:dyDescent="0.25">
      <c r="B28" t="s">
        <v>137</v>
      </c>
      <c r="C28" s="13">
        <f>VLOOKUP(C8, F14:H15, 3)</f>
        <v>62.4</v>
      </c>
      <c r="P28" s="65">
        <v>850</v>
      </c>
      <c r="Q28" s="11">
        <v>64</v>
      </c>
      <c r="R28" s="11">
        <v>64</v>
      </c>
      <c r="S28" s="74">
        <v>73.269230769230774</v>
      </c>
      <c r="T28" s="76">
        <v>47.682983682983682</v>
      </c>
      <c r="U28" s="76">
        <v>132.27039627039628</v>
      </c>
      <c r="V28" s="76">
        <v>301.44522144522148</v>
      </c>
      <c r="W28" s="76">
        <v>489.41724941724942</v>
      </c>
      <c r="X28" s="76">
        <v>865.36130536130543</v>
      </c>
      <c r="Y28" s="77">
        <v>1213.109557109557</v>
      </c>
      <c r="Z28" s="78">
        <v>9634.2564102564102</v>
      </c>
    </row>
    <row r="29" spans="1:26" x14ac:dyDescent="0.25">
      <c r="B29" t="s">
        <v>138</v>
      </c>
      <c r="C29" s="14">
        <f>IF(C8=16,VLOOKUP(C6,K14:M16,2), VLOOKUP(C6,K14:M16,3))</f>
        <v>8</v>
      </c>
      <c r="P29" s="65">
        <v>850</v>
      </c>
      <c r="Q29" s="11">
        <v>128</v>
      </c>
      <c r="R29" s="11">
        <v>64</v>
      </c>
      <c r="S29" s="74">
        <v>138.39743589743591</v>
      </c>
      <c r="T29" s="76">
        <v>47.682983682983682</v>
      </c>
      <c r="U29" s="76">
        <v>132.27039627039628</v>
      </c>
      <c r="V29" s="76">
        <v>301.44522144522148</v>
      </c>
      <c r="W29" s="76">
        <v>489.41724941724942</v>
      </c>
      <c r="X29" s="76">
        <v>865.36130536130543</v>
      </c>
      <c r="Y29" s="77">
        <v>1213.109557109557</v>
      </c>
      <c r="Z29" s="78">
        <v>9634.2564102564102</v>
      </c>
    </row>
    <row r="30" spans="1:26" x14ac:dyDescent="0.25">
      <c r="B30" t="s">
        <v>139</v>
      </c>
      <c r="C30" s="13">
        <f>C28/C29</f>
        <v>7.8</v>
      </c>
      <c r="P30" s="65">
        <v>850</v>
      </c>
      <c r="Q30" s="11">
        <v>256</v>
      </c>
      <c r="R30" s="11">
        <v>64</v>
      </c>
      <c r="S30" s="74">
        <v>268.65384615384613</v>
      </c>
      <c r="T30" s="76">
        <v>47.682983682983682</v>
      </c>
      <c r="U30" s="76">
        <v>132.27039627039628</v>
      </c>
      <c r="V30" s="76">
        <v>301.44522144522148</v>
      </c>
      <c r="W30" s="76">
        <v>489.41724941724942</v>
      </c>
      <c r="X30" s="76">
        <v>865.36130536130543</v>
      </c>
      <c r="Y30" s="77">
        <v>1213.109557109557</v>
      </c>
      <c r="Z30" s="78">
        <v>9634.2564102564102</v>
      </c>
    </row>
    <row r="31" spans="1:26" x14ac:dyDescent="0.25">
      <c r="B31" t="s">
        <v>140</v>
      </c>
      <c r="C31" s="51">
        <v>2</v>
      </c>
      <c r="P31" s="65">
        <v>850</v>
      </c>
      <c r="Q31" s="11">
        <v>512</v>
      </c>
      <c r="R31" s="11">
        <v>64</v>
      </c>
      <c r="S31" s="74">
        <v>529.16666666666663</v>
      </c>
      <c r="T31" s="76">
        <v>47.682983682983682</v>
      </c>
      <c r="U31" s="76">
        <v>132.27039627039628</v>
      </c>
      <c r="V31" s="76">
        <v>301.44522144522148</v>
      </c>
      <c r="W31" s="76">
        <v>489.41724941724942</v>
      </c>
      <c r="X31" s="76">
        <v>865.36130536130543</v>
      </c>
      <c r="Y31" s="77">
        <v>1213.109557109557</v>
      </c>
      <c r="Z31" s="78">
        <v>9634.2564102564102</v>
      </c>
    </row>
    <row r="32" spans="1:26" x14ac:dyDescent="0.25">
      <c r="B32" t="s">
        <v>141</v>
      </c>
      <c r="C32" s="51">
        <f>C29*C31</f>
        <v>16</v>
      </c>
      <c r="P32" s="65">
        <v>850</v>
      </c>
      <c r="Q32" s="11">
        <v>1024</v>
      </c>
      <c r="R32" s="11">
        <v>64</v>
      </c>
      <c r="S32" s="74">
        <v>1050.1923076923076</v>
      </c>
      <c r="T32" s="76">
        <v>47.682983682983682</v>
      </c>
      <c r="U32" s="76">
        <v>132.27039627039628</v>
      </c>
      <c r="V32" s="76">
        <v>301.44522144522148</v>
      </c>
      <c r="W32" s="76">
        <v>489.41724941724942</v>
      </c>
      <c r="X32" s="76">
        <v>865.36130536130543</v>
      </c>
      <c r="Y32" s="77">
        <v>1213.109557109557</v>
      </c>
      <c r="Z32" s="78">
        <v>9634.2564102564102</v>
      </c>
    </row>
    <row r="33" spans="1:26" x14ac:dyDescent="0.25">
      <c r="B33" t="s">
        <v>142</v>
      </c>
      <c r="C33" s="14">
        <f>19+$C$9*8*63/55</f>
        <v>797.90909090909088</v>
      </c>
      <c r="P33" s="65">
        <v>850</v>
      </c>
      <c r="Q33" s="11">
        <v>2048</v>
      </c>
      <c r="R33" s="11">
        <v>64</v>
      </c>
      <c r="S33" s="74">
        <v>2092.2435897435898</v>
      </c>
      <c r="T33" s="76">
        <v>47.682983682983682</v>
      </c>
      <c r="U33" s="76">
        <v>132.27039627039628</v>
      </c>
      <c r="V33" s="76">
        <v>301.44522144522148</v>
      </c>
      <c r="W33" s="76">
        <v>489.41724941724942</v>
      </c>
      <c r="X33" s="76">
        <v>865.36130536130543</v>
      </c>
      <c r="Y33" s="77">
        <v>1213.109557109557</v>
      </c>
      <c r="Z33" s="78">
        <v>9634.2564102564102</v>
      </c>
    </row>
    <row r="34" spans="1:26" x14ac:dyDescent="0.25">
      <c r="C34" s="14"/>
      <c r="P34" s="65">
        <v>850</v>
      </c>
      <c r="Q34" s="11">
        <v>4096</v>
      </c>
      <c r="R34" s="11">
        <v>64</v>
      </c>
      <c r="S34" s="74">
        <v>4176.3461538461543</v>
      </c>
      <c r="T34" s="76">
        <v>47.682983682983682</v>
      </c>
      <c r="U34" s="76">
        <v>132.27039627039628</v>
      </c>
      <c r="V34" s="76">
        <v>301.44522144522148</v>
      </c>
      <c r="W34" s="76">
        <v>489.41724941724942</v>
      </c>
      <c r="X34" s="76">
        <v>865.36130536130543</v>
      </c>
      <c r="Y34" s="77">
        <v>1213.109557109557</v>
      </c>
      <c r="Z34" s="78">
        <v>9634.2564102564102</v>
      </c>
    </row>
    <row r="35" spans="1:26" x14ac:dyDescent="0.25">
      <c r="A35" s="2" t="s">
        <v>143</v>
      </c>
      <c r="P35" s="65">
        <v>6800</v>
      </c>
      <c r="Q35" s="11">
        <v>64</v>
      </c>
      <c r="R35" s="11">
        <v>16</v>
      </c>
      <c r="S35" s="74">
        <v>71.538461538461547</v>
      </c>
      <c r="T35" s="76">
        <v>5.9603729603729603</v>
      </c>
      <c r="U35" s="76">
        <v>16.533799533799534</v>
      </c>
      <c r="V35" s="76">
        <v>37.680652680652685</v>
      </c>
      <c r="W35" s="76">
        <v>61.177156177156178</v>
      </c>
      <c r="X35" s="76">
        <v>108.17016317016318</v>
      </c>
      <c r="Y35" s="76">
        <v>151.63869463869463</v>
      </c>
      <c r="Z35" s="78">
        <v>1204.2820512820513</v>
      </c>
    </row>
    <row r="36" spans="1:26" x14ac:dyDescent="0.25">
      <c r="P36" s="65">
        <v>6800</v>
      </c>
      <c r="Q36" s="11">
        <v>128</v>
      </c>
      <c r="R36" s="11">
        <v>16</v>
      </c>
      <c r="S36" s="74">
        <v>135.12820512820514</v>
      </c>
      <c r="T36" s="76">
        <v>5.9603729603729603</v>
      </c>
      <c r="U36" s="76">
        <v>16.533799533799534</v>
      </c>
      <c r="V36" s="76">
        <v>37.680652680652685</v>
      </c>
      <c r="W36" s="76">
        <v>61.177156177156178</v>
      </c>
      <c r="X36" s="76">
        <v>108.17016317016318</v>
      </c>
      <c r="Y36" s="76">
        <v>151.63869463869463</v>
      </c>
      <c r="Z36" s="78">
        <v>1204.2820512820513</v>
      </c>
    </row>
    <row r="37" spans="1:26" x14ac:dyDescent="0.25">
      <c r="B37" s="125" t="s">
        <v>19</v>
      </c>
      <c r="C37" s="126">
        <f>((C7+C24)*C25/C23)</f>
        <v>146.53846153846155</v>
      </c>
      <c r="P37" s="65">
        <v>6800</v>
      </c>
      <c r="Q37" s="11">
        <v>256</v>
      </c>
      <c r="R37" s="11">
        <v>16</v>
      </c>
      <c r="S37" s="74">
        <v>262.30769230769232</v>
      </c>
      <c r="T37" s="76">
        <v>5.9603729603729603</v>
      </c>
      <c r="U37" s="76">
        <v>16.533799533799534</v>
      </c>
      <c r="V37" s="76">
        <v>37.680652680652685</v>
      </c>
      <c r="W37" s="76">
        <v>61.177156177156178</v>
      </c>
      <c r="X37" s="76">
        <v>108.17016317016318</v>
      </c>
      <c r="Y37" s="76">
        <v>151.63869463869463</v>
      </c>
      <c r="Z37" s="78">
        <v>1204.2820512820513</v>
      </c>
    </row>
    <row r="38" spans="1:26" x14ac:dyDescent="0.25">
      <c r="P38" s="65">
        <v>6800</v>
      </c>
      <c r="Q38" s="11">
        <v>512</v>
      </c>
      <c r="R38" s="11">
        <v>16</v>
      </c>
      <c r="S38" s="74">
        <v>516.66666666666674</v>
      </c>
      <c r="T38" s="76">
        <v>5.9603729603729603</v>
      </c>
      <c r="U38" s="76">
        <v>16.533799533799534</v>
      </c>
      <c r="V38" s="76">
        <v>37.680652680652685</v>
      </c>
      <c r="W38" s="76">
        <v>61.177156177156178</v>
      </c>
      <c r="X38" s="76">
        <v>108.17016317016318</v>
      </c>
      <c r="Y38" s="76">
        <v>151.63869463869463</v>
      </c>
      <c r="Z38" s="78">
        <v>1204.2820512820513</v>
      </c>
    </row>
    <row r="39" spans="1:26" x14ac:dyDescent="0.25">
      <c r="A39" s="2" t="s">
        <v>144</v>
      </c>
      <c r="P39" s="65">
        <v>6800</v>
      </c>
      <c r="Q39" s="11">
        <v>1024</v>
      </c>
      <c r="R39" s="11">
        <v>16</v>
      </c>
      <c r="S39" s="74">
        <v>1025.3846153846155</v>
      </c>
      <c r="T39" s="76">
        <v>5.9603729603729603</v>
      </c>
      <c r="U39" s="76">
        <v>16.533799533799534</v>
      </c>
      <c r="V39" s="76">
        <v>37.680652680652685</v>
      </c>
      <c r="W39" s="76">
        <v>61.177156177156178</v>
      </c>
      <c r="X39" s="76">
        <v>108.17016317016318</v>
      </c>
      <c r="Y39" s="76">
        <v>151.63869463869463</v>
      </c>
      <c r="Z39" s="78">
        <v>1204.2820512820513</v>
      </c>
    </row>
    <row r="40" spans="1:26" x14ac:dyDescent="0.25">
      <c r="P40" s="65">
        <v>6800</v>
      </c>
      <c r="Q40" s="11">
        <v>2048</v>
      </c>
      <c r="R40" s="11">
        <v>16</v>
      </c>
      <c r="S40" s="74">
        <v>2042.8205128205129</v>
      </c>
      <c r="T40" s="76">
        <v>5.9603729603729603</v>
      </c>
      <c r="U40" s="76">
        <v>16.533799533799534</v>
      </c>
      <c r="V40" s="76">
        <v>37.680652680652685</v>
      </c>
      <c r="W40" s="76">
        <v>61.177156177156178</v>
      </c>
      <c r="X40" s="76">
        <v>108.17016317016318</v>
      </c>
      <c r="Y40" s="76">
        <v>151.63869463869463</v>
      </c>
      <c r="Z40" s="78">
        <v>1204.2820512820513</v>
      </c>
    </row>
    <row r="41" spans="1:26" x14ac:dyDescent="0.25">
      <c r="B41" s="125" t="s">
        <v>145</v>
      </c>
      <c r="C41" s="126">
        <f>IF(C6=6800,8,1)*21/C30+($C$9*8+ROUNDUP($C$9*8/330,0)*48)/C30</f>
        <v>127.17948717948718</v>
      </c>
      <c r="P41" s="65">
        <v>6800</v>
      </c>
      <c r="Q41" s="11">
        <v>4096</v>
      </c>
      <c r="R41" s="11">
        <v>16</v>
      </c>
      <c r="S41" s="74">
        <v>4077.6923076923081</v>
      </c>
      <c r="T41" s="76">
        <v>5.9603729603729603</v>
      </c>
      <c r="U41" s="76">
        <v>16.533799533799534</v>
      </c>
      <c r="V41" s="76">
        <v>37.680652680652685</v>
      </c>
      <c r="W41" s="76">
        <v>61.177156177156178</v>
      </c>
      <c r="X41" s="76">
        <v>108.17016317016318</v>
      </c>
      <c r="Y41" s="76">
        <v>151.63869463869463</v>
      </c>
      <c r="Z41" s="78">
        <v>1204.2820512820513</v>
      </c>
    </row>
    <row r="42" spans="1:26" x14ac:dyDescent="0.25">
      <c r="C42">
        <f>(19+$C$9*8*63/55)/C30</f>
        <v>102.2960372960373</v>
      </c>
      <c r="P42" s="65">
        <v>6800</v>
      </c>
      <c r="Q42" s="11">
        <v>64</v>
      </c>
      <c r="R42" s="11">
        <v>64</v>
      </c>
      <c r="S42" s="74">
        <v>73.269230769230774</v>
      </c>
      <c r="T42" s="76">
        <v>5.9603729603729603</v>
      </c>
      <c r="U42" s="76">
        <v>16.533799533799534</v>
      </c>
      <c r="V42" s="76">
        <v>37.680652680652685</v>
      </c>
      <c r="W42" s="76">
        <v>61.177156177156178</v>
      </c>
      <c r="X42" s="76">
        <v>108.17016317016318</v>
      </c>
      <c r="Y42" s="76">
        <v>151.63869463869463</v>
      </c>
      <c r="Z42" s="78">
        <v>1204.2820512820513</v>
      </c>
    </row>
    <row r="43" spans="1:26" x14ac:dyDescent="0.25">
      <c r="A43" s="2" t="s">
        <v>146</v>
      </c>
      <c r="P43" s="65">
        <v>6800</v>
      </c>
      <c r="Q43" s="11">
        <v>128</v>
      </c>
      <c r="R43" s="11">
        <v>64</v>
      </c>
      <c r="S43" s="74">
        <v>138.39743589743591</v>
      </c>
      <c r="T43" s="76">
        <v>5.9603729603729603</v>
      </c>
      <c r="U43" s="76">
        <v>16.533799533799534</v>
      </c>
      <c r="V43" s="76">
        <v>37.680652680652685</v>
      </c>
      <c r="W43" s="76">
        <v>61.177156177156178</v>
      </c>
      <c r="X43" s="76">
        <v>108.17016317016318</v>
      </c>
      <c r="Y43" s="76">
        <v>151.63869463869463</v>
      </c>
      <c r="Z43" s="78">
        <v>1204.2820512820513</v>
      </c>
    </row>
    <row r="44" spans="1:26" x14ac:dyDescent="0.25">
      <c r="P44" s="65">
        <v>6800</v>
      </c>
      <c r="Q44" s="11">
        <v>256</v>
      </c>
      <c r="R44" s="11">
        <v>64</v>
      </c>
      <c r="S44" s="74">
        <v>268.65384615384613</v>
      </c>
      <c r="T44" s="76">
        <v>5.9603729603729603</v>
      </c>
      <c r="U44" s="76">
        <v>16.533799533799534</v>
      </c>
      <c r="V44" s="76">
        <v>37.680652680652685</v>
      </c>
      <c r="W44" s="76">
        <v>61.177156177156178</v>
      </c>
      <c r="X44" s="76">
        <v>108.17016317016318</v>
      </c>
      <c r="Y44" s="76">
        <v>151.63869463869463</v>
      </c>
      <c r="Z44" s="78">
        <v>1204.2820512820513</v>
      </c>
    </row>
    <row r="45" spans="1:26" x14ac:dyDescent="0.25">
      <c r="B45" s="125" t="s">
        <v>147</v>
      </c>
      <c r="C45" s="126">
        <f>C41+C37</f>
        <v>273.71794871794873</v>
      </c>
      <c r="P45" s="65">
        <v>6800</v>
      </c>
      <c r="Q45" s="11">
        <v>512</v>
      </c>
      <c r="R45" s="11">
        <v>64</v>
      </c>
      <c r="S45" s="74">
        <v>529.16666666666663</v>
      </c>
      <c r="T45" s="76">
        <v>5.9603729603729603</v>
      </c>
      <c r="U45" s="76">
        <v>16.533799533799534</v>
      </c>
      <c r="V45" s="76">
        <v>37.680652680652685</v>
      </c>
      <c r="W45" s="76">
        <v>61.177156177156178</v>
      </c>
      <c r="X45" s="76">
        <v>108.17016317016318</v>
      </c>
      <c r="Y45" s="76">
        <v>151.63869463869463</v>
      </c>
      <c r="Z45" s="78">
        <v>1204.2820512820513</v>
      </c>
    </row>
    <row r="46" spans="1:26" x14ac:dyDescent="0.25">
      <c r="P46" s="65">
        <v>6800</v>
      </c>
      <c r="Q46" s="11">
        <v>1024</v>
      </c>
      <c r="R46" s="11">
        <v>64</v>
      </c>
      <c r="S46" s="74">
        <v>1050.1923076923076</v>
      </c>
      <c r="T46" s="76">
        <v>5.9603729603729603</v>
      </c>
      <c r="U46" s="76">
        <v>16.533799533799534</v>
      </c>
      <c r="V46" s="76">
        <v>37.680652680652685</v>
      </c>
      <c r="W46" s="76">
        <v>61.177156177156178</v>
      </c>
      <c r="X46" s="76">
        <v>108.17016317016318</v>
      </c>
      <c r="Y46" s="76">
        <v>151.63869463869463</v>
      </c>
      <c r="Z46" s="78">
        <v>1204.2820512820513</v>
      </c>
    </row>
    <row r="47" spans="1:26" x14ac:dyDescent="0.25">
      <c r="P47" s="65">
        <v>6800</v>
      </c>
      <c r="Q47" s="11">
        <v>2048</v>
      </c>
      <c r="R47" s="11">
        <v>64</v>
      </c>
      <c r="S47" s="74">
        <v>2092.2435897435898</v>
      </c>
      <c r="T47" s="76">
        <v>5.9603729603729603</v>
      </c>
      <c r="U47" s="76">
        <v>16.533799533799534</v>
      </c>
      <c r="V47" s="76">
        <v>37.680652680652685</v>
      </c>
      <c r="W47" s="76">
        <v>61.177156177156178</v>
      </c>
      <c r="X47" s="76">
        <v>108.17016317016318</v>
      </c>
      <c r="Y47" s="76">
        <v>151.63869463869463</v>
      </c>
      <c r="Z47" s="78">
        <v>1204.2820512820513</v>
      </c>
    </row>
    <row r="48" spans="1:26" x14ac:dyDescent="0.25">
      <c r="A48" s="2" t="s">
        <v>148</v>
      </c>
      <c r="P48" s="65">
        <v>6800</v>
      </c>
      <c r="Q48" s="11">
        <v>4096</v>
      </c>
      <c r="R48" s="11">
        <v>64</v>
      </c>
      <c r="S48" s="74">
        <v>4176.3461538461543</v>
      </c>
      <c r="T48" s="76">
        <v>5.9603729603729603</v>
      </c>
      <c r="U48" s="76">
        <v>16.533799533799534</v>
      </c>
      <c r="V48" s="76">
        <v>37.680652680652685</v>
      </c>
      <c r="W48" s="76">
        <v>61.177156177156178</v>
      </c>
      <c r="X48" s="76">
        <v>108.17016317016318</v>
      </c>
      <c r="Y48" s="76">
        <v>151.63869463869463</v>
      </c>
      <c r="Z48" s="78">
        <v>1204.2820512820513</v>
      </c>
    </row>
    <row r="49" spans="2:26" x14ac:dyDescent="0.25">
      <c r="P49" s="71"/>
      <c r="Q49" s="72"/>
      <c r="R49" s="72"/>
      <c r="S49" s="69"/>
      <c r="T49" s="1"/>
      <c r="U49" s="1"/>
      <c r="V49" s="1"/>
      <c r="W49" s="1"/>
      <c r="X49" s="1"/>
      <c r="Y49" s="1"/>
      <c r="Z49" s="66"/>
    </row>
    <row r="50" spans="2:26" x14ac:dyDescent="0.25">
      <c r="B50" t="s">
        <v>149</v>
      </c>
      <c r="C50" s="15">
        <v>3000</v>
      </c>
    </row>
    <row r="51" spans="2:26" x14ac:dyDescent="0.25">
      <c r="B51" t="s">
        <v>150</v>
      </c>
      <c r="C51" s="234">
        <v>128</v>
      </c>
    </row>
  </sheetData>
  <mergeCells count="5">
    <mergeCell ref="R5:R6"/>
    <mergeCell ref="S5:S6"/>
    <mergeCell ref="T5:Z5"/>
    <mergeCell ref="P5:P6"/>
    <mergeCell ref="Q5:Q6"/>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72"/>
  <sheetViews>
    <sheetView topLeftCell="A18" zoomScale="75" zoomScaleNormal="75" workbookViewId="0">
      <selection activeCell="O53" sqref="O53"/>
    </sheetView>
  </sheetViews>
  <sheetFormatPr defaultColWidth="9.140625" defaultRowHeight="15" x14ac:dyDescent="0.25"/>
  <cols>
    <col min="1" max="1" width="2.7109375" style="5" customWidth="1"/>
    <col min="2" max="2" width="5.7109375" style="5" customWidth="1"/>
    <col min="3" max="3" width="29" style="5" customWidth="1"/>
    <col min="4" max="4" width="12" style="5" bestFit="1" customWidth="1"/>
    <col min="5" max="5" width="10.42578125" style="5" bestFit="1" customWidth="1"/>
    <col min="6" max="6" width="9.140625" style="5"/>
    <col min="7" max="7" width="10.28515625" style="5" customWidth="1"/>
    <col min="8" max="9" width="9.7109375" style="5" customWidth="1"/>
    <col min="10" max="12" width="9.140625" style="5"/>
    <col min="13" max="13" width="11.42578125" style="5" customWidth="1"/>
    <col min="14" max="14" width="11" style="5" customWidth="1"/>
    <col min="15" max="15" width="9.140625" style="5"/>
    <col min="16" max="16" width="11.28515625" style="5" customWidth="1"/>
    <col min="17" max="19" width="9.140625" style="5"/>
    <col min="20" max="20" width="11.85546875" style="5" customWidth="1"/>
    <col min="21" max="21" width="11.42578125" style="5" customWidth="1"/>
    <col min="22" max="25" width="9.7109375" style="5" customWidth="1"/>
    <col min="26" max="27" width="9.140625" style="5"/>
    <col min="28" max="29" width="9.140625" style="11"/>
    <col min="30" max="30" width="9.7109375" style="5" bestFit="1" customWidth="1"/>
    <col min="31" max="16384" width="9.140625" style="5"/>
  </cols>
  <sheetData>
    <row r="1" spans="1:43" ht="18.75" x14ac:dyDescent="0.25">
      <c r="A1" s="197" t="s">
        <v>151</v>
      </c>
      <c r="X1" s="5" t="s">
        <v>152</v>
      </c>
    </row>
    <row r="3" spans="1:43" x14ac:dyDescent="0.25">
      <c r="B3" s="85" t="s">
        <v>111</v>
      </c>
      <c r="C3" s="86"/>
      <c r="D3" s="87"/>
      <c r="F3" s="132" t="s">
        <v>112</v>
      </c>
      <c r="G3" s="29"/>
      <c r="H3" s="29"/>
      <c r="I3" s="29"/>
      <c r="J3" s="46"/>
    </row>
    <row r="4" spans="1:43" x14ac:dyDescent="0.25">
      <c r="B4" s="46"/>
      <c r="C4" s="5" t="s">
        <v>10</v>
      </c>
      <c r="D4" s="105">
        <f>'TWR Exchange'!C9</f>
        <v>5</v>
      </c>
      <c r="F4" s="46"/>
      <c r="J4" s="46"/>
      <c r="T4" s="28" t="s">
        <v>153</v>
      </c>
      <c r="AA4" s="28" t="s">
        <v>154</v>
      </c>
    </row>
    <row r="5" spans="1:43" ht="15.75" thickBot="1" x14ac:dyDescent="0.3">
      <c r="B5" s="46"/>
      <c r="C5" s="5" t="s">
        <v>23</v>
      </c>
      <c r="D5" s="105">
        <f>'TWR Exchange'!C12</f>
        <v>64</v>
      </c>
      <c r="F5" s="46"/>
      <c r="J5" s="46"/>
    </row>
    <row r="6" spans="1:43" ht="15.75" thickBot="1" x14ac:dyDescent="0.3">
      <c r="B6" s="88"/>
      <c r="C6" t="s">
        <v>155</v>
      </c>
      <c r="D6" s="104" t="str">
        <f>'TWR Exchange'!C21</f>
        <v>Yes</v>
      </c>
      <c r="F6" s="46"/>
      <c r="G6" s="5" t="s">
        <v>156</v>
      </c>
      <c r="I6" s="195">
        <f>M65</f>
        <v>94.420882844189933</v>
      </c>
      <c r="T6" s="300" t="s">
        <v>157</v>
      </c>
      <c r="U6" s="300" t="s">
        <v>116</v>
      </c>
      <c r="V6" s="303" t="s">
        <v>158</v>
      </c>
      <c r="W6" s="303"/>
      <c r="X6" s="303" t="s">
        <v>159</v>
      </c>
      <c r="Y6" s="303"/>
      <c r="AA6" s="300" t="s">
        <v>157</v>
      </c>
      <c r="AB6" s="300" t="s">
        <v>115</v>
      </c>
      <c r="AC6" s="300" t="s">
        <v>23</v>
      </c>
      <c r="AD6" s="291" t="s">
        <v>155</v>
      </c>
      <c r="AE6" s="292"/>
      <c r="AF6" s="292"/>
      <c r="AG6" s="292"/>
      <c r="AH6" s="292"/>
      <c r="AI6" s="292"/>
      <c r="AJ6" s="293"/>
      <c r="AK6" s="293" t="s">
        <v>160</v>
      </c>
      <c r="AL6" s="303"/>
      <c r="AM6" s="303"/>
      <c r="AN6" s="303"/>
      <c r="AO6" s="303"/>
      <c r="AP6" s="303"/>
      <c r="AQ6" s="303"/>
    </row>
    <row r="7" spans="1:43" ht="15.75" thickBot="1" x14ac:dyDescent="0.3">
      <c r="B7" s="88"/>
      <c r="C7" t="s">
        <v>161</v>
      </c>
      <c r="D7" s="104">
        <f>'TWR Exchange'!C22</f>
        <v>3.3</v>
      </c>
      <c r="F7" s="46"/>
      <c r="G7" s="5" t="s">
        <v>162</v>
      </c>
      <c r="I7" s="195">
        <f>M70</f>
        <v>58.73453860259486</v>
      </c>
      <c r="T7" s="301"/>
      <c r="U7" s="301"/>
      <c r="V7" s="300" t="s">
        <v>155</v>
      </c>
      <c r="W7" s="300" t="s">
        <v>163</v>
      </c>
      <c r="X7" s="300" t="s">
        <v>155</v>
      </c>
      <c r="Y7" s="300" t="s">
        <v>163</v>
      </c>
      <c r="AA7" s="301"/>
      <c r="AB7" s="301"/>
      <c r="AC7" s="301"/>
      <c r="AD7" s="291" t="s">
        <v>118</v>
      </c>
      <c r="AE7" s="292"/>
      <c r="AF7" s="292"/>
      <c r="AG7" s="292"/>
      <c r="AH7" s="292"/>
      <c r="AI7" s="292"/>
      <c r="AJ7" s="292"/>
      <c r="AK7" s="292"/>
      <c r="AL7" s="292"/>
      <c r="AM7" s="292"/>
      <c r="AN7" s="292"/>
      <c r="AO7" s="292"/>
      <c r="AP7" s="292"/>
      <c r="AQ7" s="293"/>
    </row>
    <row r="8" spans="1:43" x14ac:dyDescent="0.25">
      <c r="B8" s="88"/>
      <c r="C8" t="s">
        <v>164</v>
      </c>
      <c r="D8" s="104">
        <f>'TWR Exchange'!C23</f>
        <v>1.8</v>
      </c>
      <c r="F8" s="46"/>
      <c r="J8" s="46"/>
      <c r="T8" s="302"/>
      <c r="U8" s="302"/>
      <c r="V8" s="302"/>
      <c r="W8" s="302"/>
      <c r="X8" s="302"/>
      <c r="Y8" s="302"/>
      <c r="AA8" s="302"/>
      <c r="AB8" s="302"/>
      <c r="AC8" s="302"/>
      <c r="AD8" s="106">
        <v>3</v>
      </c>
      <c r="AE8" s="158">
        <v>12</v>
      </c>
      <c r="AF8" s="158">
        <v>30</v>
      </c>
      <c r="AG8" s="158">
        <v>50</v>
      </c>
      <c r="AH8" s="158">
        <v>90</v>
      </c>
      <c r="AI8" s="158">
        <v>127</v>
      </c>
      <c r="AJ8" s="158">
        <v>1023</v>
      </c>
      <c r="AK8" s="106">
        <v>3</v>
      </c>
      <c r="AL8" s="158">
        <v>12</v>
      </c>
      <c r="AM8" s="158">
        <v>30</v>
      </c>
      <c r="AN8" s="158">
        <v>50</v>
      </c>
      <c r="AO8" s="158">
        <v>90</v>
      </c>
      <c r="AP8" s="158">
        <v>127</v>
      </c>
      <c r="AQ8" s="159">
        <v>1023</v>
      </c>
    </row>
    <row r="9" spans="1:43" x14ac:dyDescent="0.25">
      <c r="B9" s="88"/>
      <c r="C9" t="s">
        <v>47</v>
      </c>
      <c r="D9" s="104">
        <f>'TWR Exchange'!C24</f>
        <v>0.9</v>
      </c>
      <c r="F9" s="46"/>
      <c r="J9" s="46"/>
      <c r="T9" s="300">
        <v>1</v>
      </c>
      <c r="U9" s="121">
        <v>64</v>
      </c>
      <c r="V9" s="141">
        <v>65.5</v>
      </c>
      <c r="W9" s="141">
        <v>92.6</v>
      </c>
      <c r="X9" s="141">
        <v>83.153916063522374</v>
      </c>
      <c r="Y9" s="141">
        <v>110.5</v>
      </c>
      <c r="AA9" s="303">
        <v>1</v>
      </c>
      <c r="AB9" s="139">
        <v>110</v>
      </c>
      <c r="AC9" s="139">
        <v>16</v>
      </c>
      <c r="AD9" s="160">
        <v>35.729999999999997</v>
      </c>
      <c r="AE9" s="24">
        <v>35.729999999999997</v>
      </c>
      <c r="AF9" s="24">
        <v>35.729999999999997</v>
      </c>
      <c r="AG9" s="24">
        <v>35.729999999999997</v>
      </c>
      <c r="AH9" s="24">
        <v>35.729999999999997</v>
      </c>
      <c r="AI9" s="24">
        <v>35.729999999999997</v>
      </c>
      <c r="AJ9" s="24">
        <v>35.729999999999997</v>
      </c>
      <c r="AK9" s="160">
        <v>61.2</v>
      </c>
      <c r="AL9" s="24">
        <v>61.2</v>
      </c>
      <c r="AM9" s="24">
        <v>61.2</v>
      </c>
      <c r="AN9" s="24">
        <v>61.2</v>
      </c>
      <c r="AO9" s="24">
        <v>61.2</v>
      </c>
      <c r="AP9" s="24">
        <v>61.2</v>
      </c>
      <c r="AQ9" s="161">
        <v>61.2</v>
      </c>
    </row>
    <row r="10" spans="1:43" x14ac:dyDescent="0.25">
      <c r="B10" s="92"/>
      <c r="C10" s="1"/>
      <c r="D10" s="66"/>
      <c r="F10" s="131"/>
      <c r="G10" s="33"/>
      <c r="H10" s="33"/>
      <c r="I10" s="33"/>
      <c r="J10" s="46"/>
      <c r="T10" s="301"/>
      <c r="U10" s="11">
        <v>128</v>
      </c>
      <c r="V10" s="141">
        <v>65.5</v>
      </c>
      <c r="W10" s="141">
        <v>92.6</v>
      </c>
      <c r="X10" s="141">
        <v>83.153916063522374</v>
      </c>
      <c r="Y10" s="141">
        <v>110.5</v>
      </c>
      <c r="AA10" s="303"/>
      <c r="AB10" s="138">
        <v>850</v>
      </c>
      <c r="AC10" s="138">
        <v>16</v>
      </c>
      <c r="AD10" s="160">
        <v>37.22</v>
      </c>
      <c r="AE10" s="24">
        <v>37.22</v>
      </c>
      <c r="AF10" s="24">
        <v>37.22</v>
      </c>
      <c r="AG10" s="24">
        <v>37.22</v>
      </c>
      <c r="AH10" s="24">
        <v>37.22</v>
      </c>
      <c r="AI10" s="24">
        <v>37.22</v>
      </c>
      <c r="AJ10" s="24">
        <v>37.22</v>
      </c>
      <c r="AK10" s="160">
        <v>62.75</v>
      </c>
      <c r="AL10" s="24">
        <v>62.75</v>
      </c>
      <c r="AM10" s="24">
        <v>62.75</v>
      </c>
      <c r="AN10" s="24">
        <v>62.75</v>
      </c>
      <c r="AO10" s="24">
        <v>62.75</v>
      </c>
      <c r="AP10" s="24">
        <v>62.75</v>
      </c>
      <c r="AQ10" s="161">
        <v>62.75</v>
      </c>
    </row>
    <row r="11" spans="1:43" ht="15.75" thickBot="1" x14ac:dyDescent="0.3">
      <c r="B11"/>
      <c r="C11"/>
      <c r="D11"/>
      <c r="T11" s="301"/>
      <c r="U11" s="11">
        <v>256</v>
      </c>
      <c r="V11" s="141">
        <v>65.5</v>
      </c>
      <c r="W11" s="141">
        <v>92.6</v>
      </c>
      <c r="X11" s="141">
        <v>83.153916063522374</v>
      </c>
      <c r="Y11" s="141">
        <v>110.5</v>
      </c>
      <c r="AA11" s="303"/>
      <c r="AB11" s="138">
        <v>6800</v>
      </c>
      <c r="AC11" s="138">
        <v>16</v>
      </c>
      <c r="AD11" s="160">
        <v>49.07</v>
      </c>
      <c r="AE11" s="24">
        <v>49.07</v>
      </c>
      <c r="AF11" s="24">
        <v>49.07</v>
      </c>
      <c r="AG11" s="24">
        <v>49.07</v>
      </c>
      <c r="AH11" s="24">
        <v>49.07</v>
      </c>
      <c r="AI11" s="24">
        <v>49.07</v>
      </c>
      <c r="AJ11" s="24">
        <v>49.07</v>
      </c>
      <c r="AK11" s="160">
        <v>75.260000000000005</v>
      </c>
      <c r="AL11" s="24">
        <v>75.260000000000005</v>
      </c>
      <c r="AM11" s="24">
        <v>75.260000000000005</v>
      </c>
      <c r="AN11" s="24">
        <v>75.260000000000005</v>
      </c>
      <c r="AO11" s="24">
        <v>75.260000000000005</v>
      </c>
      <c r="AP11" s="24">
        <v>75.260000000000005</v>
      </c>
      <c r="AQ11" s="161">
        <v>75.260000000000005</v>
      </c>
    </row>
    <row r="12" spans="1:43" ht="15.75" thickBot="1" x14ac:dyDescent="0.3">
      <c r="B12" s="106"/>
      <c r="C12" s="107" t="s">
        <v>165</v>
      </c>
      <c r="D12" s="54">
        <f>(D7/D8)*D9</f>
        <v>1.65</v>
      </c>
      <c r="T12" s="301"/>
      <c r="U12" s="11">
        <v>512</v>
      </c>
      <c r="V12" s="141">
        <v>65.5</v>
      </c>
      <c r="W12" s="141">
        <v>92.6</v>
      </c>
      <c r="X12" s="141">
        <v>83.153916063522374</v>
      </c>
      <c r="Y12" s="141">
        <v>110.5</v>
      </c>
      <c r="AA12" s="303"/>
      <c r="AB12" s="138">
        <v>110</v>
      </c>
      <c r="AC12" s="138">
        <v>64</v>
      </c>
      <c r="AD12" s="160">
        <v>40.03</v>
      </c>
      <c r="AE12" s="24">
        <v>40.03</v>
      </c>
      <c r="AF12" s="24">
        <v>40.03</v>
      </c>
      <c r="AG12" s="24">
        <v>40.03</v>
      </c>
      <c r="AH12" s="24">
        <v>40.03</v>
      </c>
      <c r="AI12" s="24">
        <v>40.03</v>
      </c>
      <c r="AJ12" s="24">
        <v>40.03</v>
      </c>
      <c r="AK12" s="160">
        <v>65.7</v>
      </c>
      <c r="AL12" s="24">
        <v>65.7</v>
      </c>
      <c r="AM12" s="24">
        <v>65.7</v>
      </c>
      <c r="AN12" s="24">
        <v>65.7</v>
      </c>
      <c r="AO12" s="24">
        <v>65.7</v>
      </c>
      <c r="AP12" s="24">
        <v>65.7</v>
      </c>
      <c r="AQ12" s="161">
        <v>65.7</v>
      </c>
    </row>
    <row r="13" spans="1:43" x14ac:dyDescent="0.25">
      <c r="B13"/>
      <c r="C13"/>
      <c r="D13"/>
      <c r="T13" s="301"/>
      <c r="U13" s="11">
        <v>1024</v>
      </c>
      <c r="V13" s="141">
        <v>65.5</v>
      </c>
      <c r="W13" s="141">
        <v>92.6</v>
      </c>
      <c r="X13" s="141">
        <v>83.153916063522374</v>
      </c>
      <c r="Y13" s="141">
        <v>110.5</v>
      </c>
      <c r="AA13" s="303"/>
      <c r="AB13" s="138">
        <v>850</v>
      </c>
      <c r="AC13" s="138">
        <v>64</v>
      </c>
      <c r="AD13" s="160">
        <v>41.25</v>
      </c>
      <c r="AE13" s="24">
        <v>41.25</v>
      </c>
      <c r="AF13" s="24">
        <v>41.25</v>
      </c>
      <c r="AG13" s="24">
        <v>41.25</v>
      </c>
      <c r="AH13" s="24">
        <v>41.25</v>
      </c>
      <c r="AI13" s="24">
        <v>41.25</v>
      </c>
      <c r="AJ13" s="24">
        <v>41.25</v>
      </c>
      <c r="AK13" s="160">
        <v>67.010000000000005</v>
      </c>
      <c r="AL13" s="24">
        <v>67.010000000000005</v>
      </c>
      <c r="AM13" s="24">
        <v>67.010000000000005</v>
      </c>
      <c r="AN13" s="24">
        <v>67.010000000000005</v>
      </c>
      <c r="AO13" s="24">
        <v>67.010000000000005</v>
      </c>
      <c r="AP13" s="24">
        <v>67.010000000000005</v>
      </c>
      <c r="AQ13" s="161">
        <v>67.010000000000005</v>
      </c>
    </row>
    <row r="14" spans="1:43" x14ac:dyDescent="0.25">
      <c r="B14" s="132" t="s">
        <v>166</v>
      </c>
      <c r="C14" s="86"/>
      <c r="D14" s="87"/>
      <c r="T14" s="301"/>
      <c r="U14" s="11">
        <v>2048</v>
      </c>
      <c r="V14" s="141">
        <v>65.5</v>
      </c>
      <c r="W14" s="141">
        <v>92.6</v>
      </c>
      <c r="X14" s="141">
        <v>83.153916063522374</v>
      </c>
      <c r="Y14" s="141">
        <v>110.5</v>
      </c>
      <c r="AA14" s="300"/>
      <c r="AB14" s="138">
        <v>6800</v>
      </c>
      <c r="AC14" s="138">
        <v>64</v>
      </c>
      <c r="AD14" s="160">
        <v>51.04</v>
      </c>
      <c r="AE14" s="24">
        <v>51.04</v>
      </c>
      <c r="AF14" s="24">
        <v>51.04</v>
      </c>
      <c r="AG14" s="24">
        <v>51.04</v>
      </c>
      <c r="AH14" s="24">
        <v>51.04</v>
      </c>
      <c r="AI14" s="24">
        <v>51.04</v>
      </c>
      <c r="AJ14" s="24">
        <v>51.04</v>
      </c>
      <c r="AK14" s="160">
        <v>77.45</v>
      </c>
      <c r="AL14" s="24">
        <v>77.45</v>
      </c>
      <c r="AM14" s="24">
        <v>77.45</v>
      </c>
      <c r="AN14" s="24">
        <v>77.45</v>
      </c>
      <c r="AO14" s="24">
        <v>77.45</v>
      </c>
      <c r="AP14" s="24">
        <v>77.45</v>
      </c>
      <c r="AQ14" s="161">
        <v>77.45</v>
      </c>
    </row>
    <row r="15" spans="1:43" x14ac:dyDescent="0.25">
      <c r="A15" s="28"/>
      <c r="B15" s="88"/>
      <c r="C15"/>
      <c r="D15" s="89"/>
      <c r="T15" s="302"/>
      <c r="U15" s="138">
        <v>4096</v>
      </c>
      <c r="V15" s="141">
        <v>65.5</v>
      </c>
      <c r="W15" s="141">
        <v>92.6</v>
      </c>
      <c r="X15" s="141">
        <v>83.153916063522374</v>
      </c>
      <c r="Y15" s="141">
        <v>110.5</v>
      </c>
      <c r="AA15" s="303">
        <v>2</v>
      </c>
      <c r="AB15" s="139">
        <v>110</v>
      </c>
      <c r="AC15" s="139">
        <v>16</v>
      </c>
      <c r="AD15" s="169">
        <v>35.729999999999997</v>
      </c>
      <c r="AE15" s="170">
        <v>35.729999999999997</v>
      </c>
      <c r="AF15" s="170">
        <v>35.729999999999997</v>
      </c>
      <c r="AG15" s="170">
        <v>35.729999999999997</v>
      </c>
      <c r="AH15" s="170">
        <v>35.729999999999997</v>
      </c>
      <c r="AI15" s="170">
        <v>35.729999999999997</v>
      </c>
      <c r="AJ15" s="170">
        <v>35.729999999999997</v>
      </c>
      <c r="AK15" s="169">
        <v>61.2</v>
      </c>
      <c r="AL15" s="170">
        <v>61.2</v>
      </c>
      <c r="AM15" s="170">
        <v>61.2</v>
      </c>
      <c r="AN15" s="170">
        <v>61.2</v>
      </c>
      <c r="AO15" s="170">
        <v>61.2</v>
      </c>
      <c r="AP15" s="170">
        <v>61.2</v>
      </c>
      <c r="AQ15" s="171">
        <v>61.2</v>
      </c>
    </row>
    <row r="16" spans="1:43" x14ac:dyDescent="0.25">
      <c r="B16" s="88"/>
      <c r="C16" s="21" t="s">
        <v>167</v>
      </c>
      <c r="D16" s="153">
        <f>N25</f>
        <v>4</v>
      </c>
      <c r="T16" s="300">
        <v>2</v>
      </c>
      <c r="U16" s="138">
        <v>64</v>
      </c>
      <c r="V16" s="141">
        <v>65.5</v>
      </c>
      <c r="W16" s="141">
        <v>92.6</v>
      </c>
      <c r="X16" s="141">
        <v>83.153916063522374</v>
      </c>
      <c r="Y16" s="141">
        <v>110.5</v>
      </c>
      <c r="AA16" s="303"/>
      <c r="AB16" s="138">
        <v>850</v>
      </c>
      <c r="AC16" s="138">
        <v>16</v>
      </c>
      <c r="AD16" s="160">
        <v>37.22</v>
      </c>
      <c r="AE16" s="24">
        <v>37.22</v>
      </c>
      <c r="AF16" s="24">
        <v>37.22</v>
      </c>
      <c r="AG16" s="24">
        <v>37.22</v>
      </c>
      <c r="AH16" s="24">
        <v>37.22</v>
      </c>
      <c r="AI16" s="24">
        <v>37.22</v>
      </c>
      <c r="AJ16" s="24">
        <v>37.22</v>
      </c>
      <c r="AK16" s="160">
        <v>62.75</v>
      </c>
      <c r="AL16" s="24">
        <v>62.75</v>
      </c>
      <c r="AM16" s="24">
        <v>62.75</v>
      </c>
      <c r="AN16" s="24">
        <v>62.75</v>
      </c>
      <c r="AO16" s="24">
        <v>62.75</v>
      </c>
      <c r="AP16" s="24">
        <v>62.75</v>
      </c>
      <c r="AQ16" s="161">
        <v>62.75</v>
      </c>
    </row>
    <row r="17" spans="1:43" x14ac:dyDescent="0.25">
      <c r="B17" s="88"/>
      <c r="C17" s="21" t="s">
        <v>168</v>
      </c>
      <c r="D17" s="153">
        <v>18</v>
      </c>
      <c r="T17" s="301"/>
      <c r="U17" s="11">
        <v>128</v>
      </c>
      <c r="V17" s="141">
        <v>65.5</v>
      </c>
      <c r="W17" s="141">
        <v>92.6</v>
      </c>
      <c r="X17" s="141">
        <v>83.153916063522374</v>
      </c>
      <c r="Y17" s="141">
        <v>110.5</v>
      </c>
      <c r="AA17" s="303"/>
      <c r="AB17" s="138">
        <v>6800</v>
      </c>
      <c r="AC17" s="138">
        <v>16</v>
      </c>
      <c r="AD17" s="160">
        <v>49.07</v>
      </c>
      <c r="AE17" s="24">
        <v>49.07</v>
      </c>
      <c r="AF17" s="24">
        <v>49.07</v>
      </c>
      <c r="AG17" s="24">
        <v>49.07</v>
      </c>
      <c r="AH17" s="24">
        <v>49.07</v>
      </c>
      <c r="AI17" s="24">
        <v>49.07</v>
      </c>
      <c r="AJ17" s="24">
        <v>49.07</v>
      </c>
      <c r="AK17" s="160">
        <v>75.260000000000005</v>
      </c>
      <c r="AL17" s="24">
        <v>75.260000000000005</v>
      </c>
      <c r="AM17" s="24">
        <v>75.260000000000005</v>
      </c>
      <c r="AN17" s="24">
        <v>75.260000000000005</v>
      </c>
      <c r="AO17" s="24">
        <v>75.260000000000005</v>
      </c>
      <c r="AP17" s="24">
        <v>75.260000000000005</v>
      </c>
      <c r="AQ17" s="161">
        <v>75.260000000000005</v>
      </c>
    </row>
    <row r="18" spans="1:43" x14ac:dyDescent="0.25">
      <c r="B18" s="88"/>
      <c r="C18" s="21" t="s">
        <v>169</v>
      </c>
      <c r="D18" s="154">
        <v>5.0000000000000002E-5</v>
      </c>
      <c r="T18" s="301"/>
      <c r="U18" s="11">
        <v>256</v>
      </c>
      <c r="V18" s="141">
        <v>65.5</v>
      </c>
      <c r="W18" s="141">
        <v>92.6</v>
      </c>
      <c r="X18" s="141">
        <v>83.153916063522374</v>
      </c>
      <c r="Y18" s="141">
        <v>110.5</v>
      </c>
      <c r="AA18" s="303"/>
      <c r="AB18" s="138">
        <v>110</v>
      </c>
      <c r="AC18" s="138">
        <v>64</v>
      </c>
      <c r="AD18" s="160">
        <v>40.03</v>
      </c>
      <c r="AE18" s="24">
        <v>40.03</v>
      </c>
      <c r="AF18" s="24">
        <v>40.03</v>
      </c>
      <c r="AG18" s="24">
        <v>40.03</v>
      </c>
      <c r="AH18" s="24">
        <v>40.03</v>
      </c>
      <c r="AI18" s="24">
        <v>40.03</v>
      </c>
      <c r="AJ18" s="24">
        <v>40.03</v>
      </c>
      <c r="AK18" s="160">
        <v>65.7</v>
      </c>
      <c r="AL18" s="24">
        <v>65.7</v>
      </c>
      <c r="AM18" s="24">
        <v>65.7</v>
      </c>
      <c r="AN18" s="24">
        <v>65.7</v>
      </c>
      <c r="AO18" s="24">
        <v>65.7</v>
      </c>
      <c r="AP18" s="24">
        <v>65.7</v>
      </c>
      <c r="AQ18" s="161">
        <v>65.7</v>
      </c>
    </row>
    <row r="19" spans="1:43" x14ac:dyDescent="0.25">
      <c r="B19" s="88"/>
      <c r="C19" s="21" t="s">
        <v>170</v>
      </c>
      <c r="D19" s="155">
        <v>1E-3</v>
      </c>
      <c r="T19" s="301"/>
      <c r="U19" s="11">
        <v>512</v>
      </c>
      <c r="V19" s="141">
        <v>65.5</v>
      </c>
      <c r="W19" s="141">
        <v>92.6</v>
      </c>
      <c r="X19" s="141">
        <v>83.153916063522374</v>
      </c>
      <c r="Y19" s="141">
        <v>110.5</v>
      </c>
      <c r="AA19" s="303"/>
      <c r="AB19" s="138">
        <v>850</v>
      </c>
      <c r="AC19" s="138">
        <v>64</v>
      </c>
      <c r="AD19" s="160">
        <v>41.25</v>
      </c>
      <c r="AE19" s="24">
        <v>41.25</v>
      </c>
      <c r="AF19" s="24">
        <v>41.25</v>
      </c>
      <c r="AG19" s="24">
        <v>41.25</v>
      </c>
      <c r="AH19" s="24">
        <v>41.25</v>
      </c>
      <c r="AI19" s="24">
        <v>41.25</v>
      </c>
      <c r="AJ19" s="24">
        <v>41.25</v>
      </c>
      <c r="AK19" s="160">
        <v>67.010000000000005</v>
      </c>
      <c r="AL19" s="24">
        <v>67.010000000000005</v>
      </c>
      <c r="AM19" s="24">
        <v>67.010000000000005</v>
      </c>
      <c r="AN19" s="24">
        <v>67.010000000000005</v>
      </c>
      <c r="AO19" s="24">
        <v>67.010000000000005</v>
      </c>
      <c r="AP19" s="24">
        <v>67.010000000000005</v>
      </c>
      <c r="AQ19" s="161">
        <v>67.010000000000005</v>
      </c>
    </row>
    <row r="20" spans="1:43" x14ac:dyDescent="0.25">
      <c r="B20" s="92"/>
      <c r="C20" s="156"/>
      <c r="D20" s="66"/>
      <c r="T20" s="301"/>
      <c r="U20" s="11">
        <v>1024</v>
      </c>
      <c r="V20" s="141">
        <v>65.5</v>
      </c>
      <c r="W20" s="141">
        <v>92.6</v>
      </c>
      <c r="X20" s="141">
        <v>83.153916063522374</v>
      </c>
      <c r="Y20" s="141">
        <v>110.5</v>
      </c>
      <c r="AA20" s="303"/>
      <c r="AB20" s="140">
        <v>6800</v>
      </c>
      <c r="AC20" s="140">
        <v>64</v>
      </c>
      <c r="AD20" s="162">
        <v>51.04</v>
      </c>
      <c r="AE20" s="163">
        <v>51.04</v>
      </c>
      <c r="AF20" s="163">
        <v>51.04</v>
      </c>
      <c r="AG20" s="163">
        <v>51.04</v>
      </c>
      <c r="AH20" s="163">
        <v>51.04</v>
      </c>
      <c r="AI20" s="163">
        <v>51.04</v>
      </c>
      <c r="AJ20" s="163">
        <v>51.04</v>
      </c>
      <c r="AK20" s="160">
        <v>77.45</v>
      </c>
      <c r="AL20" s="24">
        <v>77.45</v>
      </c>
      <c r="AM20" s="24">
        <v>77.45</v>
      </c>
      <c r="AN20" s="24">
        <v>77.45</v>
      </c>
      <c r="AO20" s="24">
        <v>77.45</v>
      </c>
      <c r="AP20" s="24">
        <v>77.45</v>
      </c>
      <c r="AQ20" s="161">
        <v>77.45</v>
      </c>
    </row>
    <row r="21" spans="1:43" x14ac:dyDescent="0.25">
      <c r="B21"/>
      <c r="C21" s="21"/>
      <c r="D21"/>
      <c r="T21" s="301"/>
      <c r="U21" s="11">
        <v>2048</v>
      </c>
      <c r="V21" s="141">
        <v>65.5</v>
      </c>
      <c r="W21" s="141">
        <v>92.6</v>
      </c>
      <c r="X21" s="141">
        <v>83.153916063522374</v>
      </c>
      <c r="Y21" s="141">
        <v>110.5</v>
      </c>
      <c r="AA21" s="303">
        <v>3</v>
      </c>
      <c r="AB21" s="139">
        <v>110</v>
      </c>
      <c r="AC21" s="139">
        <v>16</v>
      </c>
      <c r="AD21" s="169">
        <v>35.729999999999997</v>
      </c>
      <c r="AE21" s="170">
        <v>35.729999999999997</v>
      </c>
      <c r="AF21" s="170">
        <v>35.729999999999997</v>
      </c>
      <c r="AG21" s="170">
        <v>35.729999999999997</v>
      </c>
      <c r="AH21" s="170">
        <v>35.729999999999997</v>
      </c>
      <c r="AI21" s="170">
        <v>35.729999999999997</v>
      </c>
      <c r="AJ21" s="170">
        <v>35.729999999999997</v>
      </c>
      <c r="AK21" s="169">
        <v>61.2</v>
      </c>
      <c r="AL21" s="170">
        <v>61.2</v>
      </c>
      <c r="AM21" s="170">
        <v>61.2</v>
      </c>
      <c r="AN21" s="170">
        <v>61.2</v>
      </c>
      <c r="AO21" s="170">
        <v>61.2</v>
      </c>
      <c r="AP21" s="170">
        <v>61.2</v>
      </c>
      <c r="AQ21" s="171">
        <v>61.2</v>
      </c>
    </row>
    <row r="22" spans="1:43" x14ac:dyDescent="0.25">
      <c r="A22" s="28" t="s">
        <v>171</v>
      </c>
      <c r="B22"/>
      <c r="C22"/>
      <c r="D22"/>
      <c r="T22" s="302"/>
      <c r="U22" s="11">
        <v>4096</v>
      </c>
      <c r="V22" s="141">
        <v>65.5</v>
      </c>
      <c r="W22" s="141">
        <v>92.6</v>
      </c>
      <c r="X22" s="141">
        <v>83.153916063522374</v>
      </c>
      <c r="Y22" s="141">
        <v>110.5</v>
      </c>
      <c r="AA22" s="303"/>
      <c r="AB22" s="138">
        <v>850</v>
      </c>
      <c r="AC22" s="138">
        <v>16</v>
      </c>
      <c r="AD22" s="160">
        <v>37.22</v>
      </c>
      <c r="AE22" s="24">
        <v>37.22</v>
      </c>
      <c r="AF22" s="24">
        <v>37.22</v>
      </c>
      <c r="AG22" s="24">
        <v>37.22</v>
      </c>
      <c r="AH22" s="24">
        <v>37.22</v>
      </c>
      <c r="AI22" s="24">
        <v>37.22</v>
      </c>
      <c r="AJ22" s="24">
        <v>37.22</v>
      </c>
      <c r="AK22" s="160">
        <v>62.75</v>
      </c>
      <c r="AL22" s="24">
        <v>62.75</v>
      </c>
      <c r="AM22" s="24">
        <v>62.75</v>
      </c>
      <c r="AN22" s="24">
        <v>62.75</v>
      </c>
      <c r="AO22" s="24">
        <v>62.75</v>
      </c>
      <c r="AP22" s="24">
        <v>62.75</v>
      </c>
      <c r="AQ22" s="161">
        <v>62.75</v>
      </c>
    </row>
    <row r="23" spans="1:43" x14ac:dyDescent="0.25">
      <c r="E23" s="22"/>
      <c r="F23" s="22"/>
      <c r="G23" s="22"/>
      <c r="H23" s="22"/>
      <c r="I23" s="22"/>
      <c r="J23" s="22"/>
      <c r="K23" s="22"/>
      <c r="L23" s="22"/>
      <c r="M23" s="22"/>
      <c r="N23" s="22"/>
      <c r="O23" s="22"/>
      <c r="T23" s="300">
        <v>3</v>
      </c>
      <c r="U23" s="11">
        <v>64</v>
      </c>
      <c r="V23" s="141">
        <v>65.5</v>
      </c>
      <c r="W23" s="141">
        <v>92.6</v>
      </c>
      <c r="X23" s="141">
        <v>83.153916063522374</v>
      </c>
      <c r="Y23" s="141">
        <v>110.5</v>
      </c>
      <c r="AA23" s="303"/>
      <c r="AB23" s="138">
        <v>6800</v>
      </c>
      <c r="AC23" s="138">
        <v>16</v>
      </c>
      <c r="AD23" s="160">
        <v>49.07</v>
      </c>
      <c r="AE23" s="24">
        <v>49.07</v>
      </c>
      <c r="AF23" s="24">
        <v>49.07</v>
      </c>
      <c r="AG23" s="24">
        <v>49.07</v>
      </c>
      <c r="AH23" s="24">
        <v>49.07</v>
      </c>
      <c r="AI23" s="24">
        <v>49.07</v>
      </c>
      <c r="AJ23" s="24">
        <v>49.07</v>
      </c>
      <c r="AK23" s="160">
        <v>75.260000000000005</v>
      </c>
      <c r="AL23" s="24">
        <v>75.260000000000005</v>
      </c>
      <c r="AM23" s="24">
        <v>75.260000000000005</v>
      </c>
      <c r="AN23" s="24">
        <v>75.260000000000005</v>
      </c>
      <c r="AO23" s="24">
        <v>75.260000000000005</v>
      </c>
      <c r="AP23" s="24">
        <v>75.260000000000005</v>
      </c>
      <c r="AQ23" s="161">
        <v>75.260000000000005</v>
      </c>
    </row>
    <row r="24" spans="1:43" ht="30" x14ac:dyDescent="0.25">
      <c r="A24" s="134"/>
      <c r="B24" s="16" t="s">
        <v>172</v>
      </c>
      <c r="C24" s="73" t="s">
        <v>173</v>
      </c>
      <c r="D24" s="42"/>
      <c r="E24" s="135" t="s">
        <v>174</v>
      </c>
      <c r="F24" s="43" t="s">
        <v>175</v>
      </c>
      <c r="G24" s="43" t="s">
        <v>176</v>
      </c>
      <c r="H24" s="43" t="s">
        <v>177</v>
      </c>
      <c r="I24" s="43" t="s">
        <v>178</v>
      </c>
      <c r="J24" s="43" t="s">
        <v>179</v>
      </c>
      <c r="K24" s="43" t="s">
        <v>180</v>
      </c>
      <c r="L24" s="144" t="s">
        <v>181</v>
      </c>
      <c r="N24" s="41" t="s">
        <v>182</v>
      </c>
      <c r="O24" s="41" t="s">
        <v>183</v>
      </c>
      <c r="P24" s="41" t="s">
        <v>184</v>
      </c>
      <c r="Q24" s="41" t="s">
        <v>185</v>
      </c>
      <c r="S24" s="23"/>
      <c r="T24" s="301"/>
      <c r="U24" s="11">
        <v>128</v>
      </c>
      <c r="V24" s="141">
        <v>65.5</v>
      </c>
      <c r="W24" s="141">
        <v>92.6</v>
      </c>
      <c r="X24" s="141">
        <v>83.153916063522374</v>
      </c>
      <c r="Y24" s="141">
        <v>110.5</v>
      </c>
      <c r="AA24" s="303"/>
      <c r="AB24" s="138">
        <v>110</v>
      </c>
      <c r="AC24" s="138">
        <v>64</v>
      </c>
      <c r="AD24" s="160">
        <v>40.03</v>
      </c>
      <c r="AE24" s="24">
        <v>40.03</v>
      </c>
      <c r="AF24" s="24">
        <v>40.03</v>
      </c>
      <c r="AG24" s="24">
        <v>40.03</v>
      </c>
      <c r="AH24" s="24">
        <v>40.03</v>
      </c>
      <c r="AI24" s="24">
        <v>40.03</v>
      </c>
      <c r="AJ24" s="24">
        <v>40.03</v>
      </c>
      <c r="AK24" s="160">
        <v>65.7</v>
      </c>
      <c r="AL24" s="24">
        <v>65.7</v>
      </c>
      <c r="AM24" s="24">
        <v>65.7</v>
      </c>
      <c r="AN24" s="24">
        <v>65.7</v>
      </c>
      <c r="AO24" s="24">
        <v>65.7</v>
      </c>
      <c r="AP24" s="24">
        <v>65.7</v>
      </c>
      <c r="AQ24" s="161">
        <v>65.7</v>
      </c>
    </row>
    <row r="25" spans="1:43" x14ac:dyDescent="0.25">
      <c r="A25" s="134"/>
      <c r="B25" s="108">
        <v>1</v>
      </c>
      <c r="C25" s="21" t="s">
        <v>186</v>
      </c>
      <c r="E25" s="146">
        <f>SUM(N25:P25)</f>
        <v>19</v>
      </c>
      <c r="F25" s="99">
        <v>1</v>
      </c>
      <c r="G25" s="99">
        <v>0</v>
      </c>
      <c r="H25" s="99">
        <v>34</v>
      </c>
      <c r="I25" s="99">
        <v>6</v>
      </c>
      <c r="J25" s="99">
        <v>4</v>
      </c>
      <c r="K25" s="100">
        <v>31</v>
      </c>
      <c r="L25" s="101">
        <v>27</v>
      </c>
      <c r="N25" s="37">
        <v>4</v>
      </c>
      <c r="O25" s="37">
        <v>10</v>
      </c>
      <c r="P25" s="37">
        <v>5</v>
      </c>
      <c r="Q25" s="38">
        <f>SUM(E25:P25)</f>
        <v>141</v>
      </c>
      <c r="S25" s="23"/>
      <c r="T25" s="301"/>
      <c r="U25" s="11">
        <v>256</v>
      </c>
      <c r="V25" s="141">
        <v>65.5</v>
      </c>
      <c r="W25" s="141">
        <v>92.6</v>
      </c>
      <c r="X25" s="141">
        <v>83.153916063522374</v>
      </c>
      <c r="Y25" s="141">
        <v>110.5</v>
      </c>
      <c r="AA25" s="303"/>
      <c r="AB25" s="138">
        <v>850</v>
      </c>
      <c r="AC25" s="138">
        <v>64</v>
      </c>
      <c r="AD25" s="160">
        <v>41.25</v>
      </c>
      <c r="AE25" s="24">
        <v>41.25</v>
      </c>
      <c r="AF25" s="24">
        <v>41.25</v>
      </c>
      <c r="AG25" s="24">
        <v>41.25</v>
      </c>
      <c r="AH25" s="24">
        <v>41.25</v>
      </c>
      <c r="AI25" s="24">
        <v>41.25</v>
      </c>
      <c r="AJ25" s="24">
        <v>41.25</v>
      </c>
      <c r="AK25" s="160">
        <v>67.010000000000005</v>
      </c>
      <c r="AL25" s="24">
        <v>67.010000000000005</v>
      </c>
      <c r="AM25" s="24">
        <v>67.010000000000005</v>
      </c>
      <c r="AN25" s="24">
        <v>67.010000000000005</v>
      </c>
      <c r="AO25" s="24">
        <v>67.010000000000005</v>
      </c>
      <c r="AP25" s="24">
        <v>67.010000000000005</v>
      </c>
      <c r="AQ25" s="161">
        <v>67.010000000000005</v>
      </c>
    </row>
    <row r="26" spans="1:43" x14ac:dyDescent="0.25">
      <c r="A26" s="134"/>
      <c r="B26" s="108">
        <v>2</v>
      </c>
      <c r="C26" s="5" t="s">
        <v>186</v>
      </c>
      <c r="E26" s="146">
        <f>SUM(N26:P26)</f>
        <v>19</v>
      </c>
      <c r="F26" s="99">
        <v>1</v>
      </c>
      <c r="G26" s="99">
        <v>0</v>
      </c>
      <c r="H26" s="99">
        <v>34</v>
      </c>
      <c r="I26" s="99">
        <v>6</v>
      </c>
      <c r="J26" s="99">
        <v>4</v>
      </c>
      <c r="K26" s="100">
        <v>31</v>
      </c>
      <c r="L26" s="101">
        <v>27</v>
      </c>
      <c r="N26" s="37">
        <v>4</v>
      </c>
      <c r="O26" s="37">
        <v>10</v>
      </c>
      <c r="P26" s="37">
        <v>5</v>
      </c>
      <c r="Q26" s="38">
        <f t="shared" ref="Q26:Q30" si="0">SUM(E26:P26)</f>
        <v>141</v>
      </c>
      <c r="S26" s="24"/>
      <c r="T26" s="301"/>
      <c r="U26" s="11">
        <v>512</v>
      </c>
      <c r="V26" s="141">
        <v>65.5</v>
      </c>
      <c r="W26" s="141">
        <v>92.6</v>
      </c>
      <c r="X26" s="141">
        <v>83.153916063522374</v>
      </c>
      <c r="Y26" s="141">
        <v>110.5</v>
      </c>
      <c r="AA26" s="303"/>
      <c r="AB26" s="140">
        <v>6800</v>
      </c>
      <c r="AC26" s="140">
        <v>64</v>
      </c>
      <c r="AD26" s="162">
        <v>51.04</v>
      </c>
      <c r="AE26" s="163">
        <v>51.04</v>
      </c>
      <c r="AF26" s="163">
        <v>51.04</v>
      </c>
      <c r="AG26" s="163">
        <v>51.04</v>
      </c>
      <c r="AH26" s="163">
        <v>51.04</v>
      </c>
      <c r="AI26" s="163">
        <v>51.04</v>
      </c>
      <c r="AJ26" s="163">
        <v>51.04</v>
      </c>
      <c r="AK26" s="160">
        <v>77.45</v>
      </c>
      <c r="AL26" s="24">
        <v>77.45</v>
      </c>
      <c r="AM26" s="24">
        <v>77.45</v>
      </c>
      <c r="AN26" s="24">
        <v>77.45</v>
      </c>
      <c r="AO26" s="24">
        <v>77.45</v>
      </c>
      <c r="AP26" s="24">
        <v>77.45</v>
      </c>
      <c r="AQ26" s="161">
        <v>77.45</v>
      </c>
    </row>
    <row r="27" spans="1:43" x14ac:dyDescent="0.25">
      <c r="A27" s="134"/>
      <c r="B27" s="108">
        <v>3</v>
      </c>
      <c r="C27" s="5" t="s">
        <v>186</v>
      </c>
      <c r="E27" s="146">
        <f t="shared" ref="E27:E28" si="1">SUM(N27:P27)</f>
        <v>19</v>
      </c>
      <c r="F27" s="99">
        <v>1</v>
      </c>
      <c r="G27" s="99">
        <v>0</v>
      </c>
      <c r="H27" s="99">
        <v>34</v>
      </c>
      <c r="I27" s="99">
        <v>6</v>
      </c>
      <c r="J27" s="99">
        <v>4</v>
      </c>
      <c r="K27" s="100">
        <v>31</v>
      </c>
      <c r="L27" s="101">
        <v>27</v>
      </c>
      <c r="N27" s="37">
        <v>4</v>
      </c>
      <c r="O27" s="37">
        <v>10</v>
      </c>
      <c r="P27" s="37">
        <v>5</v>
      </c>
      <c r="Q27" s="38">
        <f t="shared" si="0"/>
        <v>141</v>
      </c>
      <c r="S27" s="24"/>
      <c r="T27" s="301"/>
      <c r="U27" s="11">
        <v>1024</v>
      </c>
      <c r="V27" s="141">
        <v>65.5</v>
      </c>
      <c r="W27" s="141">
        <v>92.6</v>
      </c>
      <c r="X27" s="141">
        <v>83.153916063522374</v>
      </c>
      <c r="Y27" s="141">
        <v>110.5</v>
      </c>
      <c r="AA27" s="303">
        <v>4</v>
      </c>
      <c r="AB27" s="139">
        <v>110</v>
      </c>
      <c r="AC27" s="139">
        <v>16</v>
      </c>
      <c r="AD27" s="184">
        <v>35.729999999999997</v>
      </c>
      <c r="AE27" s="185">
        <v>35.729999999999997</v>
      </c>
      <c r="AF27" s="185">
        <v>35.729999999999997</v>
      </c>
      <c r="AG27" s="185">
        <v>35.729999999999997</v>
      </c>
      <c r="AH27" s="185">
        <v>35.729999999999997</v>
      </c>
      <c r="AI27" s="185">
        <v>35.729999999999997</v>
      </c>
      <c r="AJ27" s="185">
        <v>35.729999999999997</v>
      </c>
      <c r="AK27" s="184">
        <v>61.2</v>
      </c>
      <c r="AL27" s="185">
        <v>61.2</v>
      </c>
      <c r="AM27" s="185">
        <v>61.2</v>
      </c>
      <c r="AN27" s="185">
        <v>61.2</v>
      </c>
      <c r="AO27" s="185">
        <v>61.2</v>
      </c>
      <c r="AP27" s="185">
        <v>61.2</v>
      </c>
      <c r="AQ27" s="186">
        <v>61.2</v>
      </c>
    </row>
    <row r="28" spans="1:43" x14ac:dyDescent="0.25">
      <c r="A28" s="134"/>
      <c r="B28" s="108">
        <v>4</v>
      </c>
      <c r="C28" s="5" t="s">
        <v>186</v>
      </c>
      <c r="E28" s="146">
        <f t="shared" si="1"/>
        <v>19</v>
      </c>
      <c r="F28" s="99">
        <v>1</v>
      </c>
      <c r="G28" s="99">
        <v>0</v>
      </c>
      <c r="H28" s="99">
        <v>34</v>
      </c>
      <c r="I28" s="99">
        <v>6</v>
      </c>
      <c r="J28" s="99">
        <v>4</v>
      </c>
      <c r="K28" s="100">
        <v>31</v>
      </c>
      <c r="L28" s="101">
        <v>27</v>
      </c>
      <c r="N28" s="37">
        <v>4</v>
      </c>
      <c r="O28" s="37">
        <v>10</v>
      </c>
      <c r="P28" s="37">
        <v>5</v>
      </c>
      <c r="Q28" s="38">
        <f t="shared" si="0"/>
        <v>141</v>
      </c>
      <c r="S28" s="24"/>
      <c r="T28" s="301"/>
      <c r="U28" s="11">
        <v>2048</v>
      </c>
      <c r="V28" s="141">
        <v>65.5</v>
      </c>
      <c r="W28" s="141">
        <v>92.6</v>
      </c>
      <c r="X28" s="141">
        <v>83.153916063522374</v>
      </c>
      <c r="Y28" s="141">
        <v>110.5</v>
      </c>
      <c r="AA28" s="303"/>
      <c r="AB28" s="138">
        <v>850</v>
      </c>
      <c r="AC28" s="138">
        <v>16</v>
      </c>
      <c r="AD28" s="187">
        <v>37.22</v>
      </c>
      <c r="AE28" s="188">
        <v>37.22</v>
      </c>
      <c r="AF28" s="188">
        <v>37.22</v>
      </c>
      <c r="AG28" s="188">
        <v>37.22</v>
      </c>
      <c r="AH28" s="188">
        <v>37.22</v>
      </c>
      <c r="AI28" s="188">
        <v>37.22</v>
      </c>
      <c r="AJ28" s="188">
        <v>37.22</v>
      </c>
      <c r="AK28" s="187">
        <v>62.75</v>
      </c>
      <c r="AL28" s="188">
        <v>62.75</v>
      </c>
      <c r="AM28" s="188">
        <v>62.75</v>
      </c>
      <c r="AN28" s="188">
        <v>62.75</v>
      </c>
      <c r="AO28" s="188">
        <v>62.75</v>
      </c>
      <c r="AP28" s="188">
        <v>62.75</v>
      </c>
      <c r="AQ28" s="189">
        <v>62.75</v>
      </c>
    </row>
    <row r="29" spans="1:43" x14ac:dyDescent="0.25">
      <c r="A29" s="134"/>
      <c r="B29" s="108">
        <v>5</v>
      </c>
      <c r="C29" s="5" t="s">
        <v>186</v>
      </c>
      <c r="E29" s="146">
        <f>SUM(N29:P29)</f>
        <v>19</v>
      </c>
      <c r="F29" s="99">
        <v>1</v>
      </c>
      <c r="G29" s="99">
        <v>0</v>
      </c>
      <c r="H29" s="99">
        <v>46</v>
      </c>
      <c r="I29" s="99">
        <v>6</v>
      </c>
      <c r="J29" s="99">
        <v>4</v>
      </c>
      <c r="K29" s="100">
        <v>31</v>
      </c>
      <c r="L29" s="101">
        <v>27</v>
      </c>
      <c r="N29" s="37">
        <v>4</v>
      </c>
      <c r="O29" s="37">
        <v>10</v>
      </c>
      <c r="P29" s="37">
        <v>5</v>
      </c>
      <c r="Q29" s="38">
        <f t="shared" si="0"/>
        <v>153</v>
      </c>
      <c r="S29" s="24"/>
      <c r="T29" s="302"/>
      <c r="U29" s="11">
        <v>4096</v>
      </c>
      <c r="V29" s="141">
        <v>65.5</v>
      </c>
      <c r="W29" s="141">
        <v>92.6</v>
      </c>
      <c r="X29" s="141">
        <v>83.153916063522374</v>
      </c>
      <c r="Y29" s="141">
        <v>110.5</v>
      </c>
      <c r="AA29" s="303"/>
      <c r="AB29" s="138">
        <v>6800</v>
      </c>
      <c r="AC29" s="138">
        <v>16</v>
      </c>
      <c r="AD29" s="187">
        <v>49.07</v>
      </c>
      <c r="AE29" s="188">
        <v>49.07</v>
      </c>
      <c r="AF29" s="188">
        <v>49.07</v>
      </c>
      <c r="AG29" s="188">
        <v>49.07</v>
      </c>
      <c r="AH29" s="188">
        <v>49.07</v>
      </c>
      <c r="AI29" s="188">
        <v>49.07</v>
      </c>
      <c r="AJ29" s="188">
        <v>49.07</v>
      </c>
      <c r="AK29" s="187">
        <v>75.260000000000005</v>
      </c>
      <c r="AL29" s="188">
        <v>75.260000000000005</v>
      </c>
      <c r="AM29" s="188">
        <v>75.260000000000005</v>
      </c>
      <c r="AN29" s="188">
        <v>75.260000000000005</v>
      </c>
      <c r="AO29" s="188">
        <v>75.260000000000005</v>
      </c>
      <c r="AP29" s="188">
        <v>75.260000000000005</v>
      </c>
      <c r="AQ29" s="189">
        <v>75.260000000000005</v>
      </c>
    </row>
    <row r="30" spans="1:43" x14ac:dyDescent="0.25">
      <c r="A30" s="134"/>
      <c r="B30" s="109">
        <v>7</v>
      </c>
      <c r="C30" s="33" t="s">
        <v>186</v>
      </c>
      <c r="D30" s="33"/>
      <c r="E30" s="151">
        <f>SUM(N30:P30)</f>
        <v>19</v>
      </c>
      <c r="F30" s="36">
        <v>1</v>
      </c>
      <c r="G30" s="36">
        <v>0</v>
      </c>
      <c r="H30" s="36">
        <v>46</v>
      </c>
      <c r="I30" s="36">
        <v>6</v>
      </c>
      <c r="J30" s="36">
        <v>4</v>
      </c>
      <c r="K30" s="49">
        <v>31</v>
      </c>
      <c r="L30" s="50">
        <v>27</v>
      </c>
      <c r="N30" s="39">
        <v>4</v>
      </c>
      <c r="O30" s="39">
        <v>10</v>
      </c>
      <c r="P30" s="39">
        <v>5</v>
      </c>
      <c r="Q30" s="40">
        <f t="shared" si="0"/>
        <v>153</v>
      </c>
      <c r="S30" s="24"/>
      <c r="T30" s="300">
        <v>4</v>
      </c>
      <c r="U30" s="11">
        <v>64</v>
      </c>
      <c r="V30" s="141">
        <v>65.5</v>
      </c>
      <c r="W30" s="141">
        <v>92.6</v>
      </c>
      <c r="X30" s="141">
        <v>83.153916063522374</v>
      </c>
      <c r="Y30" s="141">
        <v>110.5</v>
      </c>
      <c r="AA30" s="303"/>
      <c r="AB30" s="138">
        <v>110</v>
      </c>
      <c r="AC30" s="138">
        <v>64</v>
      </c>
      <c r="AD30" s="187">
        <v>40.03</v>
      </c>
      <c r="AE30" s="188">
        <v>40.03</v>
      </c>
      <c r="AF30" s="188">
        <v>40.03</v>
      </c>
      <c r="AG30" s="188">
        <v>40.03</v>
      </c>
      <c r="AH30" s="188">
        <v>40.03</v>
      </c>
      <c r="AI30" s="188">
        <v>40.03</v>
      </c>
      <c r="AJ30" s="188">
        <v>40.03</v>
      </c>
      <c r="AK30" s="187">
        <v>65.7</v>
      </c>
      <c r="AL30" s="188">
        <v>65.7</v>
      </c>
      <c r="AM30" s="188">
        <v>65.7</v>
      </c>
      <c r="AN30" s="188">
        <v>65.7</v>
      </c>
      <c r="AO30" s="188">
        <v>65.7</v>
      </c>
      <c r="AP30" s="188">
        <v>65.7</v>
      </c>
      <c r="AQ30" s="189">
        <v>65.7</v>
      </c>
    </row>
    <row r="31" spans="1:43" x14ac:dyDescent="0.25">
      <c r="A31" s="133"/>
      <c r="B31" s="102"/>
      <c r="C31" s="29"/>
      <c r="D31" s="29"/>
      <c r="E31" s="110"/>
      <c r="F31" s="47"/>
      <c r="G31" s="47"/>
      <c r="H31" s="47"/>
      <c r="I31" s="47"/>
      <c r="J31" s="47"/>
      <c r="K31" s="48"/>
      <c r="L31" s="48"/>
      <c r="N31" s="100"/>
      <c r="O31" s="100"/>
      <c r="P31" s="100"/>
      <c r="Q31" s="99"/>
      <c r="S31" s="24"/>
      <c r="T31" s="301"/>
      <c r="U31" s="11">
        <v>128</v>
      </c>
      <c r="V31" s="141">
        <v>65.5</v>
      </c>
      <c r="W31" s="141">
        <v>92.6</v>
      </c>
      <c r="X31" s="141">
        <v>83.153916063522374</v>
      </c>
      <c r="Y31" s="141">
        <v>110.5</v>
      </c>
      <c r="AA31" s="303"/>
      <c r="AB31" s="138">
        <v>850</v>
      </c>
      <c r="AC31" s="138">
        <v>64</v>
      </c>
      <c r="AD31" s="187">
        <v>41.25</v>
      </c>
      <c r="AE31" s="188">
        <v>41.25</v>
      </c>
      <c r="AF31" s="188">
        <v>41.25</v>
      </c>
      <c r="AG31" s="188">
        <v>41.25</v>
      </c>
      <c r="AH31" s="188">
        <v>41.25</v>
      </c>
      <c r="AI31" s="188">
        <v>41.25</v>
      </c>
      <c r="AJ31" s="188">
        <v>41.25</v>
      </c>
      <c r="AK31" s="187">
        <v>67.010000000000005</v>
      </c>
      <c r="AL31" s="188">
        <v>67.010000000000005</v>
      </c>
      <c r="AM31" s="188">
        <v>67.010000000000005</v>
      </c>
      <c r="AN31" s="188">
        <v>67.010000000000005</v>
      </c>
      <c r="AO31" s="188">
        <v>67.010000000000005</v>
      </c>
      <c r="AP31" s="188">
        <v>67.010000000000005</v>
      </c>
      <c r="AQ31" s="189">
        <v>67.010000000000005</v>
      </c>
    </row>
    <row r="32" spans="1:43" x14ac:dyDescent="0.25">
      <c r="A32" s="28" t="s">
        <v>187</v>
      </c>
      <c r="B32" s="70"/>
      <c r="E32" s="111"/>
      <c r="F32" s="99"/>
      <c r="G32" s="99"/>
      <c r="H32" s="99"/>
      <c r="I32" s="99"/>
      <c r="J32" s="99"/>
      <c r="K32" s="100"/>
      <c r="L32" s="100"/>
      <c r="N32" s="100"/>
      <c r="O32" s="100"/>
      <c r="P32" s="100"/>
      <c r="Q32" s="99"/>
      <c r="S32" s="24"/>
      <c r="T32" s="301"/>
      <c r="U32" s="11">
        <v>256</v>
      </c>
      <c r="V32" s="141">
        <v>65.5</v>
      </c>
      <c r="W32" s="141">
        <v>92.6</v>
      </c>
      <c r="X32" s="141">
        <v>83.153916063522374</v>
      </c>
      <c r="Y32" s="141">
        <v>110.5</v>
      </c>
      <c r="AA32" s="303"/>
      <c r="AB32" s="140">
        <v>6800</v>
      </c>
      <c r="AC32" s="140">
        <v>64</v>
      </c>
      <c r="AD32" s="190">
        <v>51.04</v>
      </c>
      <c r="AE32" s="191">
        <v>51.04</v>
      </c>
      <c r="AF32" s="191">
        <v>51.04</v>
      </c>
      <c r="AG32" s="191">
        <v>51.04</v>
      </c>
      <c r="AH32" s="191">
        <v>51.04</v>
      </c>
      <c r="AI32" s="191">
        <v>51.04</v>
      </c>
      <c r="AJ32" s="191">
        <v>51.04</v>
      </c>
      <c r="AK32" s="187">
        <v>77.45</v>
      </c>
      <c r="AL32" s="188">
        <v>77.45</v>
      </c>
      <c r="AM32" s="188">
        <v>77.45</v>
      </c>
      <c r="AN32" s="188">
        <v>77.45</v>
      </c>
      <c r="AO32" s="188">
        <v>77.45</v>
      </c>
      <c r="AP32" s="188">
        <v>77.45</v>
      </c>
      <c r="AQ32" s="189">
        <v>77.45</v>
      </c>
    </row>
    <row r="33" spans="1:43" x14ac:dyDescent="0.25">
      <c r="A33" s="28"/>
      <c r="B33" s="70"/>
      <c r="E33" s="111"/>
      <c r="F33" s="99"/>
      <c r="G33" s="99"/>
      <c r="H33" s="99"/>
      <c r="I33" s="99"/>
      <c r="J33" s="99"/>
      <c r="K33" s="100"/>
      <c r="L33" s="100"/>
      <c r="N33" s="100"/>
      <c r="O33" s="100"/>
      <c r="P33" s="100"/>
      <c r="Q33" s="99"/>
      <c r="S33" s="24"/>
      <c r="T33" s="301"/>
      <c r="U33" s="11">
        <v>512</v>
      </c>
      <c r="V33" s="141">
        <v>65.5</v>
      </c>
      <c r="W33" s="141">
        <v>92.6</v>
      </c>
      <c r="X33" s="141">
        <v>83.153916063522374</v>
      </c>
      <c r="Y33" s="141">
        <v>110.5</v>
      </c>
      <c r="AA33" s="303">
        <v>5</v>
      </c>
      <c r="AB33" s="139">
        <v>110</v>
      </c>
      <c r="AC33" s="139">
        <v>16</v>
      </c>
      <c r="AD33" s="169">
        <v>42.2</v>
      </c>
      <c r="AE33" s="170">
        <v>42.2</v>
      </c>
      <c r="AF33" s="170">
        <v>42.2</v>
      </c>
      <c r="AG33" s="170">
        <v>42.2</v>
      </c>
      <c r="AH33" s="170">
        <v>42.2</v>
      </c>
      <c r="AI33" s="170">
        <v>42.2</v>
      </c>
      <c r="AJ33" s="170">
        <v>42.2</v>
      </c>
      <c r="AK33" s="169">
        <v>73.19</v>
      </c>
      <c r="AL33" s="170">
        <v>73.19</v>
      </c>
      <c r="AM33" s="170">
        <v>73.19</v>
      </c>
      <c r="AN33" s="170">
        <v>73.19</v>
      </c>
      <c r="AO33" s="170">
        <v>73.19</v>
      </c>
      <c r="AP33" s="170">
        <v>73.19</v>
      </c>
      <c r="AQ33" s="171">
        <v>73.19</v>
      </c>
    </row>
    <row r="34" spans="1:43" ht="30" x14ac:dyDescent="0.25">
      <c r="A34" s="134"/>
      <c r="B34" s="102"/>
      <c r="C34" s="102" t="s">
        <v>173</v>
      </c>
      <c r="D34" s="115"/>
      <c r="E34" s="103"/>
      <c r="F34" s="145" t="s">
        <v>175</v>
      </c>
      <c r="G34" s="43" t="s">
        <v>176</v>
      </c>
      <c r="H34" s="43" t="s">
        <v>177</v>
      </c>
      <c r="I34" s="43" t="s">
        <v>178</v>
      </c>
      <c r="J34" s="43" t="s">
        <v>179</v>
      </c>
      <c r="K34" s="43" t="s">
        <v>180</v>
      </c>
      <c r="L34" s="144" t="s">
        <v>181</v>
      </c>
      <c r="N34" s="299" t="s">
        <v>173</v>
      </c>
      <c r="O34" s="299"/>
      <c r="P34" s="152" t="s">
        <v>6</v>
      </c>
      <c r="Q34" s="99"/>
      <c r="S34" s="24"/>
      <c r="T34" s="301"/>
      <c r="U34" s="11">
        <v>1024</v>
      </c>
      <c r="V34" s="141">
        <v>65.5</v>
      </c>
      <c r="W34" s="141">
        <v>92.6</v>
      </c>
      <c r="X34" s="141">
        <v>83.153916063522374</v>
      </c>
      <c r="Y34" s="141">
        <v>110.5</v>
      </c>
      <c r="AA34" s="303"/>
      <c r="AB34" s="138">
        <v>850</v>
      </c>
      <c r="AC34" s="138">
        <v>16</v>
      </c>
      <c r="AD34" s="160">
        <v>43.68</v>
      </c>
      <c r="AE34" s="24">
        <v>43.68</v>
      </c>
      <c r="AF34" s="24">
        <v>43.68</v>
      </c>
      <c r="AG34" s="24">
        <v>43.68</v>
      </c>
      <c r="AH34" s="24">
        <v>43.68</v>
      </c>
      <c r="AI34" s="24">
        <v>43.68</v>
      </c>
      <c r="AJ34" s="24">
        <v>43.68</v>
      </c>
      <c r="AK34" s="160">
        <v>74.75</v>
      </c>
      <c r="AL34" s="24">
        <v>74.75</v>
      </c>
      <c r="AM34" s="24">
        <v>74.75</v>
      </c>
      <c r="AN34" s="24">
        <v>74.75</v>
      </c>
      <c r="AO34" s="24">
        <v>74.75</v>
      </c>
      <c r="AP34" s="24">
        <v>74.75</v>
      </c>
      <c r="AQ34" s="161">
        <v>74.75</v>
      </c>
    </row>
    <row r="35" spans="1:43" x14ac:dyDescent="0.25">
      <c r="A35" s="134"/>
      <c r="B35" s="58"/>
      <c r="C35" s="5" t="s">
        <v>188</v>
      </c>
      <c r="D35" s="94"/>
      <c r="E35" s="53"/>
      <c r="F35" s="44">
        <v>0</v>
      </c>
      <c r="G35" s="25">
        <v>2</v>
      </c>
      <c r="H35" s="25">
        <v>20000</v>
      </c>
      <c r="I35" s="25">
        <v>20000</v>
      </c>
      <c r="J35" s="25">
        <v>40</v>
      </c>
      <c r="K35" s="25">
        <v>16</v>
      </c>
      <c r="L35" s="31">
        <v>16</v>
      </c>
      <c r="M35" s="26"/>
      <c r="N35" s="61" t="s">
        <v>189</v>
      </c>
      <c r="O35" s="29"/>
      <c r="P35" s="63">
        <v>4</v>
      </c>
      <c r="T35" s="301"/>
      <c r="U35" s="11">
        <v>2048</v>
      </c>
      <c r="V35" s="141">
        <v>65.5</v>
      </c>
      <c r="W35" s="141">
        <v>92.6</v>
      </c>
      <c r="X35" s="141">
        <v>83.153916063522374</v>
      </c>
      <c r="Y35" s="141">
        <v>110.5</v>
      </c>
      <c r="AA35" s="303"/>
      <c r="AB35" s="138">
        <v>6800</v>
      </c>
      <c r="AC35" s="138">
        <v>16</v>
      </c>
      <c r="AD35" s="160">
        <v>55.53</v>
      </c>
      <c r="AE35" s="24">
        <v>55.53</v>
      </c>
      <c r="AF35" s="24">
        <v>55.53</v>
      </c>
      <c r="AG35" s="24">
        <v>55.53</v>
      </c>
      <c r="AH35" s="24">
        <v>55.53</v>
      </c>
      <c r="AI35" s="24">
        <v>55.53</v>
      </c>
      <c r="AJ35" s="24">
        <v>55.53</v>
      </c>
      <c r="AK35" s="160">
        <v>87.26</v>
      </c>
      <c r="AL35" s="24">
        <v>87.26</v>
      </c>
      <c r="AM35" s="24">
        <v>87.26</v>
      </c>
      <c r="AN35" s="24">
        <v>87.26</v>
      </c>
      <c r="AO35" s="24">
        <v>87.26</v>
      </c>
      <c r="AP35" s="24">
        <v>87.26</v>
      </c>
      <c r="AQ35" s="161">
        <v>87.26</v>
      </c>
    </row>
    <row r="36" spans="1:43" x14ac:dyDescent="0.25">
      <c r="A36" s="134"/>
      <c r="B36" s="116"/>
      <c r="C36" s="33" t="s">
        <v>190</v>
      </c>
      <c r="D36" s="117"/>
      <c r="E36" s="60"/>
      <c r="F36" s="45">
        <v>1</v>
      </c>
      <c r="G36" s="34">
        <v>10</v>
      </c>
      <c r="H36" s="34">
        <v>10</v>
      </c>
      <c r="I36" s="34">
        <v>12</v>
      </c>
      <c r="J36" s="34">
        <v>12</v>
      </c>
      <c r="K36" s="34">
        <v>12</v>
      </c>
      <c r="L36" s="35">
        <v>12</v>
      </c>
      <c r="M36" s="26"/>
      <c r="N36" s="62" t="s">
        <v>191</v>
      </c>
      <c r="O36" s="33"/>
      <c r="P36" s="64">
        <v>1.6</v>
      </c>
      <c r="T36" s="302"/>
      <c r="U36" s="11">
        <v>4096</v>
      </c>
      <c r="V36" s="141">
        <v>65.5</v>
      </c>
      <c r="W36" s="141">
        <v>92.6</v>
      </c>
      <c r="X36" s="141">
        <v>83.153916063522374</v>
      </c>
      <c r="Y36" s="141">
        <v>110.5</v>
      </c>
      <c r="AA36" s="303"/>
      <c r="AB36" s="138">
        <v>110</v>
      </c>
      <c r="AC36" s="138">
        <v>64</v>
      </c>
      <c r="AD36" s="160">
        <v>46.5</v>
      </c>
      <c r="AE36" s="24">
        <v>46.5</v>
      </c>
      <c r="AF36" s="24">
        <v>46.5</v>
      </c>
      <c r="AG36" s="24">
        <v>46.5</v>
      </c>
      <c r="AH36" s="24">
        <v>46.5</v>
      </c>
      <c r="AI36" s="24">
        <v>46.5</v>
      </c>
      <c r="AJ36" s="24">
        <v>46.5</v>
      </c>
      <c r="AK36" s="160">
        <v>77.7</v>
      </c>
      <c r="AL36" s="24">
        <v>77.7</v>
      </c>
      <c r="AM36" s="24">
        <v>77.7</v>
      </c>
      <c r="AN36" s="24">
        <v>77.7</v>
      </c>
      <c r="AO36" s="24">
        <v>77.7</v>
      </c>
      <c r="AP36" s="24">
        <v>77.7</v>
      </c>
      <c r="AQ36" s="161">
        <v>77.7</v>
      </c>
    </row>
    <row r="37" spans="1:43" x14ac:dyDescent="0.25">
      <c r="A37" s="114"/>
      <c r="B37" s="118"/>
      <c r="C37" s="29"/>
      <c r="D37" s="29"/>
      <c r="E37" s="29"/>
      <c r="F37" s="25"/>
      <c r="G37" s="25"/>
      <c r="H37" s="25"/>
      <c r="I37" s="25"/>
      <c r="J37" s="25"/>
      <c r="K37" s="25"/>
      <c r="L37" s="113"/>
      <c r="M37" s="26"/>
      <c r="T37" s="300">
        <v>5</v>
      </c>
      <c r="U37" s="11">
        <v>64</v>
      </c>
      <c r="V37" s="141">
        <v>72</v>
      </c>
      <c r="W37" s="141">
        <v>104.6</v>
      </c>
      <c r="X37" s="141">
        <v>89.618562528168823</v>
      </c>
      <c r="Y37" s="141">
        <v>122.5</v>
      </c>
      <c r="AA37" s="303"/>
      <c r="AB37" s="138">
        <v>850</v>
      </c>
      <c r="AC37" s="138">
        <v>64</v>
      </c>
      <c r="AD37" s="160">
        <v>47.72</v>
      </c>
      <c r="AE37" s="24">
        <v>47.72</v>
      </c>
      <c r="AF37" s="24">
        <v>47.72</v>
      </c>
      <c r="AG37" s="24">
        <v>47.72</v>
      </c>
      <c r="AH37" s="24">
        <v>47.72</v>
      </c>
      <c r="AI37" s="24">
        <v>47.72</v>
      </c>
      <c r="AJ37" s="24">
        <v>47.72</v>
      </c>
      <c r="AK37" s="160">
        <v>79.010000000000005</v>
      </c>
      <c r="AL37" s="24">
        <v>79.010000000000005</v>
      </c>
      <c r="AM37" s="24">
        <v>79.010000000000005</v>
      </c>
      <c r="AN37" s="24">
        <v>79.010000000000005</v>
      </c>
      <c r="AO37" s="24">
        <v>79.010000000000005</v>
      </c>
      <c r="AP37" s="24">
        <v>79.010000000000005</v>
      </c>
      <c r="AQ37" s="161">
        <v>79.010000000000005</v>
      </c>
    </row>
    <row r="38" spans="1:43" x14ac:dyDescent="0.25">
      <c r="A38" s="28" t="s">
        <v>192</v>
      </c>
      <c r="B38" s="58"/>
      <c r="F38" s="25"/>
      <c r="G38" s="25"/>
      <c r="H38" s="25"/>
      <c r="I38" s="25"/>
      <c r="J38" s="25"/>
      <c r="K38" s="25"/>
      <c r="L38" s="25"/>
      <c r="M38" s="26"/>
      <c r="N38" s="112"/>
      <c r="P38" s="112"/>
      <c r="T38" s="301"/>
      <c r="U38" s="11">
        <v>128</v>
      </c>
      <c r="V38" s="141">
        <v>72</v>
      </c>
      <c r="W38" s="141">
        <v>104.6</v>
      </c>
      <c r="X38" s="141">
        <v>89.618562528168823</v>
      </c>
      <c r="Y38" s="141">
        <v>122.5</v>
      </c>
      <c r="AA38" s="303"/>
      <c r="AB38" s="140">
        <v>6800</v>
      </c>
      <c r="AC38" s="140">
        <v>64</v>
      </c>
      <c r="AD38" s="162">
        <v>57.51</v>
      </c>
      <c r="AE38" s="163">
        <v>57.51</v>
      </c>
      <c r="AF38" s="163">
        <v>57.51</v>
      </c>
      <c r="AG38" s="163">
        <v>57.51</v>
      </c>
      <c r="AH38" s="163">
        <v>57.51</v>
      </c>
      <c r="AI38" s="163">
        <v>57.51</v>
      </c>
      <c r="AJ38" s="163">
        <v>57.51</v>
      </c>
      <c r="AK38" s="162">
        <v>89.45</v>
      </c>
      <c r="AL38" s="163">
        <v>89.45</v>
      </c>
      <c r="AM38" s="163">
        <v>89.45</v>
      </c>
      <c r="AN38" s="163">
        <v>89.45</v>
      </c>
      <c r="AO38" s="163">
        <v>89.45</v>
      </c>
      <c r="AP38" s="163">
        <v>89.45</v>
      </c>
      <c r="AQ38" s="164">
        <v>89.45</v>
      </c>
    </row>
    <row r="39" spans="1:43" x14ac:dyDescent="0.25">
      <c r="A39" s="114"/>
      <c r="B39" s="58"/>
      <c r="F39" s="25"/>
      <c r="G39" s="25"/>
      <c r="H39" s="25"/>
      <c r="I39" s="25"/>
      <c r="J39" s="25"/>
      <c r="K39" s="25"/>
      <c r="L39" s="25"/>
      <c r="M39" s="26"/>
      <c r="N39" s="112"/>
      <c r="P39" s="112"/>
      <c r="T39" s="301"/>
      <c r="U39" s="11">
        <v>256</v>
      </c>
      <c r="V39" s="141">
        <v>72</v>
      </c>
      <c r="W39" s="141">
        <v>104.6</v>
      </c>
      <c r="X39" s="141">
        <v>89.618562528168823</v>
      </c>
      <c r="Y39" s="141">
        <v>122.5</v>
      </c>
      <c r="AA39" s="303">
        <v>7</v>
      </c>
      <c r="AB39" s="139">
        <v>110</v>
      </c>
      <c r="AC39" s="139">
        <v>16</v>
      </c>
      <c r="AD39" s="184">
        <v>42.2</v>
      </c>
      <c r="AE39" s="185">
        <v>42.2</v>
      </c>
      <c r="AF39" s="185">
        <v>42.2</v>
      </c>
      <c r="AG39" s="185">
        <v>42.2</v>
      </c>
      <c r="AH39" s="185">
        <v>42.2</v>
      </c>
      <c r="AI39" s="185">
        <v>42.2</v>
      </c>
      <c r="AJ39" s="185">
        <v>42.2</v>
      </c>
      <c r="AK39" s="184">
        <v>73.19</v>
      </c>
      <c r="AL39" s="185">
        <v>73.19</v>
      </c>
      <c r="AM39" s="185">
        <v>73.19</v>
      </c>
      <c r="AN39" s="185">
        <v>73.19</v>
      </c>
      <c r="AO39" s="185">
        <v>73.19</v>
      </c>
      <c r="AP39" s="185">
        <v>73.19</v>
      </c>
      <c r="AQ39" s="186">
        <v>73.19</v>
      </c>
    </row>
    <row r="40" spans="1:43" ht="30" x14ac:dyDescent="0.25">
      <c r="A40" s="134"/>
      <c r="B40" s="16" t="s">
        <v>157</v>
      </c>
      <c r="C40" s="73" t="s">
        <v>173</v>
      </c>
      <c r="D40" s="147" t="s">
        <v>193</v>
      </c>
      <c r="E40" s="52"/>
      <c r="F40" s="145" t="s">
        <v>175</v>
      </c>
      <c r="G40" s="43" t="s">
        <v>176</v>
      </c>
      <c r="H40" s="43" t="s">
        <v>177</v>
      </c>
      <c r="I40" s="43" t="s">
        <v>178</v>
      </c>
      <c r="J40" s="43" t="s">
        <v>179</v>
      </c>
      <c r="K40" s="43" t="s">
        <v>180</v>
      </c>
      <c r="L40" s="144" t="s">
        <v>181</v>
      </c>
      <c r="M40" s="26"/>
      <c r="N40" s="112"/>
      <c r="P40" s="112"/>
      <c r="T40" s="301"/>
      <c r="U40" s="11">
        <v>512</v>
      </c>
      <c r="V40" s="141">
        <v>72</v>
      </c>
      <c r="W40" s="141">
        <v>104.6</v>
      </c>
      <c r="X40" s="141">
        <v>89.618562528168823</v>
      </c>
      <c r="Y40" s="141">
        <v>122.5</v>
      </c>
      <c r="AA40" s="303"/>
      <c r="AB40" s="138">
        <v>850</v>
      </c>
      <c r="AC40" s="138">
        <v>16</v>
      </c>
      <c r="AD40" s="187">
        <v>43.68</v>
      </c>
      <c r="AE40" s="188">
        <v>43.68</v>
      </c>
      <c r="AF40" s="188">
        <v>43.68</v>
      </c>
      <c r="AG40" s="188">
        <v>43.68</v>
      </c>
      <c r="AH40" s="188">
        <v>43.68</v>
      </c>
      <c r="AI40" s="188">
        <v>43.68</v>
      </c>
      <c r="AJ40" s="188">
        <v>43.68</v>
      </c>
      <c r="AK40" s="187">
        <v>74.75</v>
      </c>
      <c r="AL40" s="188">
        <v>74.75</v>
      </c>
      <c r="AM40" s="188">
        <v>74.75</v>
      </c>
      <c r="AN40" s="188">
        <v>74.75</v>
      </c>
      <c r="AO40" s="188">
        <v>74.75</v>
      </c>
      <c r="AP40" s="188">
        <v>74.75</v>
      </c>
      <c r="AQ40" s="189">
        <v>74.75</v>
      </c>
    </row>
    <row r="41" spans="1:43" ht="15" customHeight="1" x14ac:dyDescent="0.25">
      <c r="A41" s="134"/>
      <c r="B41" s="108">
        <v>1</v>
      </c>
      <c r="C41" s="272" t="s">
        <v>194</v>
      </c>
      <c r="D41" s="53" t="s">
        <v>195</v>
      </c>
      <c r="E41" s="53"/>
      <c r="F41" s="44">
        <f t="shared" ref="F41:L43" si="2">$P$35+F$35+F$36</f>
        <v>5</v>
      </c>
      <c r="G41" s="25">
        <f t="shared" si="2"/>
        <v>16</v>
      </c>
      <c r="H41" s="25">
        <f t="shared" si="2"/>
        <v>20014</v>
      </c>
      <c r="I41" s="25">
        <f t="shared" si="2"/>
        <v>20016</v>
      </c>
      <c r="J41" s="25">
        <f t="shared" si="2"/>
        <v>56</v>
      </c>
      <c r="K41" s="25">
        <f t="shared" si="2"/>
        <v>32</v>
      </c>
      <c r="L41" s="31">
        <f t="shared" si="2"/>
        <v>32</v>
      </c>
      <c r="M41" s="26"/>
      <c r="T41" s="301"/>
      <c r="U41" s="11">
        <v>1024</v>
      </c>
      <c r="V41" s="141">
        <v>72</v>
      </c>
      <c r="W41" s="141">
        <v>104.6</v>
      </c>
      <c r="X41" s="141">
        <v>89.618562528168823</v>
      </c>
      <c r="Y41" s="141">
        <v>122.5</v>
      </c>
      <c r="AA41" s="303"/>
      <c r="AB41" s="138">
        <v>6800</v>
      </c>
      <c r="AC41" s="138">
        <v>16</v>
      </c>
      <c r="AD41" s="187">
        <v>55.53</v>
      </c>
      <c r="AE41" s="188">
        <v>55.53</v>
      </c>
      <c r="AF41" s="188">
        <v>55.53</v>
      </c>
      <c r="AG41" s="188">
        <v>55.53</v>
      </c>
      <c r="AH41" s="188">
        <v>55.53</v>
      </c>
      <c r="AI41" s="188">
        <v>55.53</v>
      </c>
      <c r="AJ41" s="188">
        <v>55.53</v>
      </c>
      <c r="AK41" s="187">
        <v>87.26</v>
      </c>
      <c r="AL41" s="188">
        <v>87.26</v>
      </c>
      <c r="AM41" s="188">
        <v>87.26</v>
      </c>
      <c r="AN41" s="188">
        <v>87.26</v>
      </c>
      <c r="AO41" s="188">
        <v>87.26</v>
      </c>
      <c r="AP41" s="188">
        <v>87.26</v>
      </c>
      <c r="AQ41" s="189">
        <v>87.26</v>
      </c>
    </row>
    <row r="42" spans="1:43" x14ac:dyDescent="0.25">
      <c r="A42" s="134"/>
      <c r="B42" s="108">
        <v>2</v>
      </c>
      <c r="C42" s="272"/>
      <c r="D42" s="53" t="s">
        <v>196</v>
      </c>
      <c r="E42" s="53"/>
      <c r="F42" s="44">
        <f t="shared" si="2"/>
        <v>5</v>
      </c>
      <c r="G42" s="25">
        <f t="shared" si="2"/>
        <v>16</v>
      </c>
      <c r="H42" s="25">
        <f t="shared" si="2"/>
        <v>20014</v>
      </c>
      <c r="I42" s="25">
        <f t="shared" si="2"/>
        <v>20016</v>
      </c>
      <c r="J42" s="25">
        <f t="shared" si="2"/>
        <v>56</v>
      </c>
      <c r="K42" s="25">
        <f t="shared" si="2"/>
        <v>32</v>
      </c>
      <c r="L42" s="31">
        <f t="shared" si="2"/>
        <v>32</v>
      </c>
      <c r="M42" s="26"/>
      <c r="N42" s="112"/>
      <c r="P42" s="112"/>
      <c r="T42" s="301"/>
      <c r="U42" s="11">
        <v>2048</v>
      </c>
      <c r="V42" s="141">
        <v>72</v>
      </c>
      <c r="W42" s="141">
        <v>104.6</v>
      </c>
      <c r="X42" s="141">
        <v>89.618562528168823</v>
      </c>
      <c r="Y42" s="141">
        <v>122.5</v>
      </c>
      <c r="AA42" s="303"/>
      <c r="AB42" s="138">
        <v>110</v>
      </c>
      <c r="AC42" s="138">
        <v>64</v>
      </c>
      <c r="AD42" s="187">
        <v>46.5</v>
      </c>
      <c r="AE42" s="188">
        <v>46.5</v>
      </c>
      <c r="AF42" s="188">
        <v>46.5</v>
      </c>
      <c r="AG42" s="188">
        <v>46.5</v>
      </c>
      <c r="AH42" s="188">
        <v>46.5</v>
      </c>
      <c r="AI42" s="188">
        <v>46.5</v>
      </c>
      <c r="AJ42" s="188">
        <v>46.5</v>
      </c>
      <c r="AK42" s="187">
        <v>77.7</v>
      </c>
      <c r="AL42" s="188">
        <v>77.7</v>
      </c>
      <c r="AM42" s="188">
        <v>77.7</v>
      </c>
      <c r="AN42" s="188">
        <v>77.7</v>
      </c>
      <c r="AO42" s="188">
        <v>77.7</v>
      </c>
      <c r="AP42" s="188">
        <v>77.7</v>
      </c>
      <c r="AQ42" s="189">
        <v>77.7</v>
      </c>
    </row>
    <row r="43" spans="1:43" x14ac:dyDescent="0.25">
      <c r="A43" s="134"/>
      <c r="B43" s="108">
        <v>3</v>
      </c>
      <c r="C43" s="272"/>
      <c r="D43" s="53" t="s">
        <v>196</v>
      </c>
      <c r="E43" s="53"/>
      <c r="F43" s="44">
        <f t="shared" si="2"/>
        <v>5</v>
      </c>
      <c r="G43" s="25">
        <f t="shared" si="2"/>
        <v>16</v>
      </c>
      <c r="H43" s="25">
        <f t="shared" si="2"/>
        <v>20014</v>
      </c>
      <c r="I43" s="25">
        <f t="shared" si="2"/>
        <v>20016</v>
      </c>
      <c r="J43" s="25">
        <f t="shared" si="2"/>
        <v>56</v>
      </c>
      <c r="K43" s="25">
        <f t="shared" si="2"/>
        <v>32</v>
      </c>
      <c r="L43" s="31">
        <f t="shared" si="2"/>
        <v>32</v>
      </c>
      <c r="M43" s="26"/>
      <c r="N43" s="112"/>
      <c r="P43" s="112"/>
      <c r="T43" s="302"/>
      <c r="U43" s="11">
        <v>4096</v>
      </c>
      <c r="V43" s="141">
        <v>72</v>
      </c>
      <c r="W43" s="141">
        <v>104.6</v>
      </c>
      <c r="X43" s="141">
        <v>89.618562528168823</v>
      </c>
      <c r="Y43" s="141">
        <v>122.5</v>
      </c>
      <c r="AA43" s="303"/>
      <c r="AB43" s="138">
        <v>850</v>
      </c>
      <c r="AC43" s="138">
        <v>64</v>
      </c>
      <c r="AD43" s="187">
        <v>47.72</v>
      </c>
      <c r="AE43" s="188">
        <v>47.72</v>
      </c>
      <c r="AF43" s="188">
        <v>47.72</v>
      </c>
      <c r="AG43" s="188">
        <v>47.72</v>
      </c>
      <c r="AH43" s="188">
        <v>47.72</v>
      </c>
      <c r="AI43" s="188">
        <v>47.72</v>
      </c>
      <c r="AJ43" s="188">
        <v>47.72</v>
      </c>
      <c r="AK43" s="187">
        <v>79.010000000000005</v>
      </c>
      <c r="AL43" s="188">
        <v>79.010000000000005</v>
      </c>
      <c r="AM43" s="188">
        <v>79.010000000000005</v>
      </c>
      <c r="AN43" s="188">
        <v>79.010000000000005</v>
      </c>
      <c r="AO43" s="188">
        <v>79.010000000000005</v>
      </c>
      <c r="AP43" s="188">
        <v>79.010000000000005</v>
      </c>
      <c r="AQ43" s="189">
        <v>79.010000000000005</v>
      </c>
    </row>
    <row r="44" spans="1:43" x14ac:dyDescent="0.25">
      <c r="A44" s="134"/>
      <c r="B44" s="108">
        <v>4</v>
      </c>
      <c r="C44" s="272"/>
      <c r="D44" s="53" t="s">
        <v>197</v>
      </c>
      <c r="E44" s="53"/>
      <c r="F44" s="44">
        <f t="shared" ref="F44:L44" si="3">$P$36+F35+F36</f>
        <v>2.6</v>
      </c>
      <c r="G44" s="25">
        <f>$P$36+G$35+G$36</f>
        <v>13.6</v>
      </c>
      <c r="H44" s="25">
        <f t="shared" si="3"/>
        <v>20011.599999999999</v>
      </c>
      <c r="I44" s="25">
        <f t="shared" si="3"/>
        <v>20013.599999999999</v>
      </c>
      <c r="J44" s="25">
        <f t="shared" si="3"/>
        <v>53.6</v>
      </c>
      <c r="K44" s="25">
        <f t="shared" si="3"/>
        <v>29.6</v>
      </c>
      <c r="L44" s="31">
        <f t="shared" si="3"/>
        <v>29.6</v>
      </c>
      <c r="M44" s="26"/>
      <c r="N44" s="26"/>
      <c r="O44" s="26"/>
      <c r="T44" s="303">
        <v>7</v>
      </c>
      <c r="U44" s="11">
        <v>64</v>
      </c>
      <c r="V44" s="141">
        <v>72</v>
      </c>
      <c r="W44" s="141">
        <v>104.6</v>
      </c>
      <c r="X44" s="141">
        <v>89.618562528168823</v>
      </c>
      <c r="Y44" s="141">
        <v>122.5</v>
      </c>
      <c r="AA44" s="303"/>
      <c r="AB44" s="140">
        <v>6800</v>
      </c>
      <c r="AC44" s="140">
        <v>64</v>
      </c>
      <c r="AD44" s="190">
        <v>57.51</v>
      </c>
      <c r="AE44" s="191">
        <v>57.51</v>
      </c>
      <c r="AF44" s="191">
        <v>57.51</v>
      </c>
      <c r="AG44" s="191">
        <v>57.51</v>
      </c>
      <c r="AH44" s="191">
        <v>57.51</v>
      </c>
      <c r="AI44" s="191">
        <v>57.51</v>
      </c>
      <c r="AJ44" s="191">
        <v>57.51</v>
      </c>
      <c r="AK44" s="190">
        <v>89.45</v>
      </c>
      <c r="AL44" s="191">
        <v>89.45</v>
      </c>
      <c r="AM44" s="191">
        <v>89.45</v>
      </c>
      <c r="AN44" s="191">
        <v>89.45</v>
      </c>
      <c r="AO44" s="191">
        <v>89.45</v>
      </c>
      <c r="AP44" s="191">
        <v>89.45</v>
      </c>
      <c r="AQ44" s="192">
        <v>89.45</v>
      </c>
    </row>
    <row r="45" spans="1:43" x14ac:dyDescent="0.25">
      <c r="A45" s="134"/>
      <c r="B45" s="108">
        <v>5</v>
      </c>
      <c r="C45" s="272"/>
      <c r="D45" s="53" t="s">
        <v>196</v>
      </c>
      <c r="E45" s="53"/>
      <c r="F45" s="44">
        <f t="shared" ref="F45:L45" si="4">$P$35+F$35+F$36</f>
        <v>5</v>
      </c>
      <c r="G45" s="25">
        <f t="shared" si="4"/>
        <v>16</v>
      </c>
      <c r="H45" s="25">
        <f t="shared" si="4"/>
        <v>20014</v>
      </c>
      <c r="I45" s="25">
        <f t="shared" si="4"/>
        <v>20016</v>
      </c>
      <c r="J45" s="25">
        <f t="shared" si="4"/>
        <v>56</v>
      </c>
      <c r="K45" s="25">
        <f t="shared" si="4"/>
        <v>32</v>
      </c>
      <c r="L45" s="31">
        <f t="shared" si="4"/>
        <v>32</v>
      </c>
      <c r="M45" s="26"/>
      <c r="N45" s="26"/>
      <c r="O45" s="26"/>
      <c r="T45" s="303"/>
      <c r="U45" s="11">
        <v>128</v>
      </c>
      <c r="V45" s="141">
        <v>72</v>
      </c>
      <c r="W45" s="141">
        <v>104.6</v>
      </c>
      <c r="X45" s="141">
        <v>89.618562528168823</v>
      </c>
      <c r="Y45" s="141">
        <v>122.5</v>
      </c>
      <c r="AA45" s="29"/>
      <c r="AB45" s="121"/>
      <c r="AC45" s="121"/>
      <c r="AD45" s="170"/>
      <c r="AE45" s="170"/>
      <c r="AF45" s="170"/>
      <c r="AG45" s="170"/>
      <c r="AH45" s="170"/>
      <c r="AI45" s="170"/>
      <c r="AJ45" s="170"/>
      <c r="AK45" s="170"/>
      <c r="AL45" s="170"/>
      <c r="AM45" s="170"/>
      <c r="AN45" s="170"/>
      <c r="AO45" s="170"/>
      <c r="AP45" s="170"/>
      <c r="AQ45" s="170"/>
    </row>
    <row r="46" spans="1:43" x14ac:dyDescent="0.25">
      <c r="A46" s="134"/>
      <c r="B46" s="109">
        <v>7</v>
      </c>
      <c r="C46" s="298"/>
      <c r="D46" s="60" t="s">
        <v>197</v>
      </c>
      <c r="E46" s="60"/>
      <c r="F46" s="45">
        <f t="shared" ref="F46:L46" si="5">$P$36+F$35+F$36</f>
        <v>2.6</v>
      </c>
      <c r="G46" s="34">
        <f t="shared" si="5"/>
        <v>13.6</v>
      </c>
      <c r="H46" s="34">
        <f t="shared" si="5"/>
        <v>20011.599999999999</v>
      </c>
      <c r="I46" s="34">
        <f t="shared" si="5"/>
        <v>20013.599999999999</v>
      </c>
      <c r="J46" s="34">
        <f t="shared" si="5"/>
        <v>53.6</v>
      </c>
      <c r="K46" s="34">
        <f t="shared" si="5"/>
        <v>29.6</v>
      </c>
      <c r="L46" s="35">
        <f t="shared" si="5"/>
        <v>29.6</v>
      </c>
      <c r="M46" s="26"/>
      <c r="N46" s="26"/>
      <c r="O46" s="26"/>
      <c r="T46" s="303"/>
      <c r="U46" s="11">
        <v>256</v>
      </c>
      <c r="V46" s="141">
        <v>72</v>
      </c>
      <c r="W46" s="141">
        <v>104.6</v>
      </c>
      <c r="X46" s="141">
        <v>89.618562528168823</v>
      </c>
      <c r="Y46" s="141">
        <v>122.5</v>
      </c>
      <c r="AD46" s="24"/>
      <c r="AE46" s="24"/>
      <c r="AF46" s="24"/>
      <c r="AG46" s="24"/>
      <c r="AH46" s="24"/>
      <c r="AI46" s="24"/>
      <c r="AJ46" s="24"/>
      <c r="AK46" s="24"/>
      <c r="AL46" s="24"/>
      <c r="AM46" s="24"/>
      <c r="AN46" s="24"/>
      <c r="AO46" s="24"/>
      <c r="AP46" s="24"/>
      <c r="AQ46" s="24"/>
    </row>
    <row r="47" spans="1:43" x14ac:dyDescent="0.25">
      <c r="A47" s="133"/>
      <c r="B47" s="70"/>
      <c r="C47" s="23"/>
      <c r="F47" s="25"/>
      <c r="G47" s="25"/>
      <c r="H47" s="25"/>
      <c r="I47" s="25"/>
      <c r="J47" s="25"/>
      <c r="K47" s="25"/>
      <c r="L47" s="25"/>
      <c r="M47" s="26"/>
      <c r="N47" s="26"/>
      <c r="O47" s="26"/>
      <c r="T47" s="303"/>
      <c r="U47" s="11"/>
      <c r="V47" s="141"/>
      <c r="W47" s="141"/>
      <c r="X47" s="141"/>
      <c r="Y47" s="141"/>
      <c r="AD47" s="24"/>
      <c r="AE47" s="24"/>
      <c r="AF47" s="24"/>
      <c r="AG47" s="24"/>
      <c r="AH47" s="24"/>
      <c r="AI47" s="24"/>
      <c r="AJ47" s="24"/>
      <c r="AK47" s="24"/>
      <c r="AL47" s="24"/>
      <c r="AM47" s="24"/>
      <c r="AN47" s="24"/>
      <c r="AO47" s="24"/>
      <c r="AP47" s="24"/>
      <c r="AQ47" s="24"/>
    </row>
    <row r="48" spans="1:43" x14ac:dyDescent="0.25">
      <c r="A48" s="28" t="s">
        <v>198</v>
      </c>
      <c r="B48" s="70"/>
      <c r="C48" s="23"/>
      <c r="F48" s="25"/>
      <c r="G48" s="25"/>
      <c r="H48" s="25"/>
      <c r="I48" s="25"/>
      <c r="J48" s="25"/>
      <c r="K48" s="25"/>
      <c r="L48" s="25"/>
      <c r="M48" s="26"/>
      <c r="N48" s="26"/>
      <c r="O48" s="26"/>
      <c r="T48" s="303"/>
      <c r="U48" s="11"/>
      <c r="V48" s="141"/>
      <c r="W48" s="141"/>
      <c r="X48" s="141"/>
      <c r="Y48" s="141"/>
      <c r="AD48" s="24"/>
      <c r="AE48" s="24"/>
      <c r="AF48" s="24"/>
      <c r="AG48" s="24"/>
      <c r="AH48" s="24"/>
      <c r="AI48" s="24"/>
      <c r="AJ48" s="24"/>
      <c r="AK48" s="24"/>
      <c r="AL48" s="24"/>
      <c r="AM48" s="24"/>
      <c r="AN48" s="24"/>
      <c r="AO48" s="24"/>
      <c r="AP48" s="24"/>
      <c r="AQ48" s="24"/>
    </row>
    <row r="49" spans="1:43" x14ac:dyDescent="0.25">
      <c r="A49" s="133"/>
      <c r="B49" s="193"/>
      <c r="C49" s="194"/>
      <c r="D49" s="33"/>
      <c r="E49" s="33"/>
      <c r="F49" s="34"/>
      <c r="G49" s="34"/>
      <c r="H49" s="34"/>
      <c r="I49" s="34"/>
      <c r="J49" s="34"/>
      <c r="K49" s="34"/>
      <c r="L49" s="34"/>
      <c r="M49" s="26"/>
      <c r="N49" s="26"/>
      <c r="O49" s="26"/>
      <c r="T49" s="303"/>
      <c r="U49" s="11">
        <v>512</v>
      </c>
      <c r="V49" s="141">
        <v>72</v>
      </c>
      <c r="W49" s="141">
        <v>104.6</v>
      </c>
      <c r="X49" s="141">
        <v>89.618562528168823</v>
      </c>
      <c r="Y49" s="141">
        <v>122.5</v>
      </c>
      <c r="AD49" s="24"/>
      <c r="AE49" s="24"/>
      <c r="AF49" s="24"/>
      <c r="AG49" s="24"/>
      <c r="AH49" s="24"/>
      <c r="AI49" s="24"/>
      <c r="AJ49" s="24"/>
      <c r="AK49" s="24"/>
      <c r="AL49" s="24"/>
      <c r="AM49" s="24"/>
      <c r="AN49" s="24"/>
      <c r="AO49" s="24"/>
      <c r="AP49" s="24"/>
      <c r="AQ49" s="24"/>
    </row>
    <row r="50" spans="1:43" ht="30" x14ac:dyDescent="0.25">
      <c r="A50" s="134"/>
      <c r="B50" s="16" t="s">
        <v>157</v>
      </c>
      <c r="C50" s="73" t="s">
        <v>173</v>
      </c>
      <c r="D50" s="147" t="s">
        <v>193</v>
      </c>
      <c r="E50" s="52"/>
      <c r="F50" s="145" t="s">
        <v>175</v>
      </c>
      <c r="G50" s="43" t="s">
        <v>176</v>
      </c>
      <c r="H50" s="43" t="s">
        <v>177</v>
      </c>
      <c r="I50" s="43" t="s">
        <v>178</v>
      </c>
      <c r="J50" s="43" t="s">
        <v>179</v>
      </c>
      <c r="K50" s="43" t="s">
        <v>180</v>
      </c>
      <c r="L50" s="144" t="s">
        <v>181</v>
      </c>
      <c r="M50" s="26"/>
      <c r="N50" s="112"/>
      <c r="P50" s="112"/>
      <c r="T50" s="303"/>
      <c r="U50" s="11">
        <v>1024</v>
      </c>
      <c r="V50" s="141">
        <v>72</v>
      </c>
      <c r="W50" s="141">
        <v>104.6</v>
      </c>
      <c r="X50" s="141">
        <v>89.618562528168823</v>
      </c>
      <c r="Y50" s="141">
        <v>122.5</v>
      </c>
      <c r="AD50" s="24"/>
      <c r="AE50" s="24"/>
      <c r="AF50" s="24"/>
      <c r="AG50" s="24"/>
      <c r="AH50" s="24"/>
      <c r="AI50" s="24"/>
      <c r="AJ50" s="24"/>
      <c r="AK50" s="24"/>
      <c r="AL50" s="24"/>
      <c r="AM50" s="24"/>
      <c r="AN50" s="24"/>
      <c r="AO50" s="24"/>
      <c r="AP50" s="24"/>
      <c r="AQ50" s="24"/>
    </row>
    <row r="51" spans="1:43" x14ac:dyDescent="0.25">
      <c r="A51" s="134"/>
      <c r="B51" s="109" t="s">
        <v>199</v>
      </c>
      <c r="C51" s="33" t="s">
        <v>200</v>
      </c>
      <c r="D51" s="60" t="s">
        <v>195</v>
      </c>
      <c r="E51" s="60"/>
      <c r="F51" s="45">
        <f t="shared" ref="F51:L51" si="6">F36+F35</f>
        <v>1</v>
      </c>
      <c r="G51" s="34">
        <f t="shared" si="6"/>
        <v>12</v>
      </c>
      <c r="H51" s="34">
        <f t="shared" si="6"/>
        <v>20010</v>
      </c>
      <c r="I51" s="34">
        <f t="shared" si="6"/>
        <v>20012</v>
      </c>
      <c r="J51" s="34">
        <f t="shared" si="6"/>
        <v>52</v>
      </c>
      <c r="K51" s="34">
        <f t="shared" si="6"/>
        <v>28</v>
      </c>
      <c r="L51" s="35">
        <f t="shared" si="6"/>
        <v>28</v>
      </c>
      <c r="M51" s="26"/>
      <c r="N51" s="26"/>
      <c r="O51" s="26"/>
      <c r="R51" s="27"/>
      <c r="S51" s="27"/>
      <c r="T51" s="303"/>
      <c r="U51" s="11">
        <v>2048</v>
      </c>
      <c r="V51" s="141">
        <v>72</v>
      </c>
      <c r="W51" s="141">
        <v>104.6</v>
      </c>
      <c r="X51" s="141">
        <v>89.618562528168823</v>
      </c>
      <c r="Y51" s="141">
        <v>122.5</v>
      </c>
      <c r="AD51" s="24"/>
      <c r="AE51" s="24"/>
      <c r="AF51" s="24"/>
      <c r="AG51" s="24"/>
      <c r="AH51" s="24"/>
      <c r="AI51" s="24"/>
      <c r="AJ51" s="24"/>
      <c r="AK51" s="24"/>
      <c r="AL51" s="24"/>
      <c r="AM51" s="24"/>
      <c r="AN51" s="24"/>
      <c r="AO51" s="24"/>
      <c r="AP51" s="24"/>
      <c r="AQ51" s="24"/>
    </row>
    <row r="52" spans="1:43" x14ac:dyDescent="0.25">
      <c r="A52" s="58"/>
      <c r="B52" s="58"/>
      <c r="E52" s="25"/>
      <c r="F52" s="25"/>
      <c r="G52" s="25"/>
      <c r="H52" s="25"/>
      <c r="I52" s="25"/>
      <c r="J52" s="25"/>
      <c r="K52" s="25"/>
      <c r="L52" s="26"/>
      <c r="M52" s="26"/>
      <c r="N52" s="26"/>
      <c r="O52" s="26"/>
      <c r="R52" s="27"/>
      <c r="S52" s="27"/>
      <c r="T52" s="303"/>
      <c r="U52" s="140">
        <v>4096</v>
      </c>
      <c r="V52" s="142">
        <v>72</v>
      </c>
      <c r="W52" s="142">
        <v>104.6</v>
      </c>
      <c r="X52" s="142">
        <v>89.618562528168823</v>
      </c>
      <c r="Y52" s="142">
        <v>122.5</v>
      </c>
      <c r="AD52" s="24"/>
      <c r="AE52" s="24"/>
      <c r="AF52" s="24"/>
      <c r="AG52" s="24"/>
      <c r="AH52" s="24"/>
      <c r="AI52" s="24"/>
      <c r="AJ52" s="24"/>
      <c r="AK52" s="24"/>
      <c r="AL52" s="24"/>
      <c r="AM52" s="24"/>
      <c r="AN52" s="24"/>
      <c r="AO52" s="24"/>
      <c r="AP52" s="24"/>
      <c r="AQ52" s="24"/>
    </row>
    <row r="53" spans="1:43" x14ac:dyDescent="0.25">
      <c r="A53" s="157" t="s">
        <v>201</v>
      </c>
      <c r="B53" s="58"/>
      <c r="E53" s="25"/>
      <c r="F53" s="25"/>
      <c r="G53" s="25"/>
      <c r="H53" s="25"/>
      <c r="I53" s="25"/>
      <c r="J53" s="25"/>
      <c r="K53" s="25"/>
      <c r="L53" s="26"/>
      <c r="M53" s="26"/>
      <c r="N53" s="26"/>
      <c r="O53" s="26"/>
      <c r="R53" s="27"/>
      <c r="S53" s="27"/>
    </row>
    <row r="54" spans="1:43" x14ac:dyDescent="0.25">
      <c r="A54" s="58"/>
      <c r="B54" s="58"/>
      <c r="E54" s="25"/>
      <c r="F54" s="25"/>
      <c r="G54" s="25"/>
      <c r="H54" s="25"/>
      <c r="I54" s="25"/>
      <c r="J54" s="25"/>
      <c r="K54" s="25"/>
      <c r="L54" s="26"/>
      <c r="M54" s="26"/>
      <c r="N54" s="26"/>
      <c r="O54" s="26"/>
      <c r="R54" s="27"/>
      <c r="S54" s="27"/>
    </row>
    <row r="55" spans="1:43" ht="30" x14ac:dyDescent="0.25">
      <c r="A55" s="58"/>
      <c r="B55" s="119"/>
      <c r="C55" s="73" t="s">
        <v>173</v>
      </c>
      <c r="D55" s="42"/>
      <c r="E55" s="135" t="s">
        <v>174</v>
      </c>
      <c r="F55" s="43" t="s">
        <v>175</v>
      </c>
      <c r="G55" s="43" t="s">
        <v>176</v>
      </c>
      <c r="H55" s="43" t="s">
        <v>177</v>
      </c>
      <c r="I55" s="43" t="s">
        <v>178</v>
      </c>
      <c r="J55" s="43" t="s">
        <v>179</v>
      </c>
      <c r="K55" s="43" t="s">
        <v>180</v>
      </c>
      <c r="L55" s="144" t="s">
        <v>181</v>
      </c>
      <c r="N55" s="41" t="s">
        <v>182</v>
      </c>
      <c r="O55" s="41" t="s">
        <v>183</v>
      </c>
      <c r="P55" s="41" t="s">
        <v>184</v>
      </c>
      <c r="Q55" s="41" t="s">
        <v>185</v>
      </c>
      <c r="R55" s="27"/>
      <c r="S55" s="27"/>
    </row>
    <row r="56" spans="1:43" x14ac:dyDescent="0.25">
      <c r="A56" s="58"/>
      <c r="B56" s="30"/>
      <c r="C56" s="5" t="s">
        <v>186</v>
      </c>
      <c r="E56" s="146">
        <f>IF($D$6="Yes", (N56+(O56/$D$12)+(P56/$D$12)), SUM(N56:P56))</f>
        <v>13.09090909090909</v>
      </c>
      <c r="F56" s="111">
        <f>IF($D$6="YES",VLOOKUP($D$4,$B$25:$L$30,5)/$D$12,VLOOKUP($D$4,$B$25:$L$30,5))</f>
        <v>0.60606060606060608</v>
      </c>
      <c r="G56" s="111">
        <f>IF($D$6="YES",VLOOKUP($D$4,$B$25:$L$30,6)/$D$12,VLOOKUP($D$4,$B$25:$L$30,6))</f>
        <v>0</v>
      </c>
      <c r="H56" s="111">
        <f>IF($D$6="YES",VLOOKUP($D$4,$B$25:$L$30,7)/$D$12,VLOOKUP($D$4,$B$25:$L$30,7))</f>
        <v>27.878787878787879</v>
      </c>
      <c r="I56" s="111">
        <f>IF($D$6="YES",VLOOKUP($D$4,$B$25:$L$30,8)/$D$12,VLOOKUP($D$4,$B$25:$L$30,8))</f>
        <v>3.6363636363636367</v>
      </c>
      <c r="J56" s="111">
        <f>IF($D$6="YES",VLOOKUP($D$4,$B$25:$L$30,9)/$D$12,VLOOKUP($D$4,$B$25:$L$30,9))</f>
        <v>2.4242424242424243</v>
      </c>
      <c r="K56" s="111">
        <f>VLOOKUP($D$4,$B$25:$L$30,10)</f>
        <v>31</v>
      </c>
      <c r="L56" s="120">
        <f>IF(D5=64,0.6*VLOOKUP($D$4,$B$25:$L$30,11),VLOOKUP($D$4,$B$25:$L$30,11))</f>
        <v>16.2</v>
      </c>
      <c r="M56" s="26"/>
      <c r="N56" s="122">
        <f>N25</f>
        <v>4</v>
      </c>
      <c r="O56" s="122">
        <f>O25</f>
        <v>10</v>
      </c>
      <c r="P56" s="122">
        <f>P25</f>
        <v>5</v>
      </c>
      <c r="Q56" s="123">
        <f>SUM(E56:P56)</f>
        <v>113.83636363636364</v>
      </c>
      <c r="R56" s="27"/>
      <c r="S56" s="27"/>
    </row>
    <row r="57" spans="1:43" x14ac:dyDescent="0.25">
      <c r="A57" s="58"/>
      <c r="B57" s="30"/>
      <c r="C57" s="5" t="s">
        <v>202</v>
      </c>
      <c r="E57" s="44"/>
      <c r="F57" s="25">
        <f>F35</f>
        <v>0</v>
      </c>
      <c r="G57" s="25">
        <f t="shared" ref="G57:L57" si="7">G35</f>
        <v>2</v>
      </c>
      <c r="H57" s="25">
        <f t="shared" si="7"/>
        <v>20000</v>
      </c>
      <c r="I57" s="25">
        <f t="shared" si="7"/>
        <v>20000</v>
      </c>
      <c r="J57" s="25">
        <f t="shared" si="7"/>
        <v>40</v>
      </c>
      <c r="K57" s="25">
        <f t="shared" si="7"/>
        <v>16</v>
      </c>
      <c r="L57" s="31">
        <f t="shared" si="7"/>
        <v>16</v>
      </c>
      <c r="M57" s="26"/>
      <c r="N57" s="26"/>
      <c r="O57" s="26"/>
      <c r="R57" s="27"/>
      <c r="S57" s="27"/>
    </row>
    <row r="58" spans="1:43" x14ac:dyDescent="0.25">
      <c r="A58" s="58"/>
      <c r="B58" s="30"/>
      <c r="C58" s="5" t="s">
        <v>203</v>
      </c>
      <c r="E58" s="44"/>
      <c r="F58" s="25">
        <f>F36</f>
        <v>1</v>
      </c>
      <c r="G58" s="25">
        <f t="shared" ref="G58:L58" si="8">G36</f>
        <v>10</v>
      </c>
      <c r="H58" s="25">
        <f t="shared" si="8"/>
        <v>10</v>
      </c>
      <c r="I58" s="25">
        <f t="shared" si="8"/>
        <v>12</v>
      </c>
      <c r="J58" s="25">
        <f t="shared" si="8"/>
        <v>12</v>
      </c>
      <c r="K58" s="25">
        <f t="shared" si="8"/>
        <v>12</v>
      </c>
      <c r="L58" s="31">
        <f t="shared" si="8"/>
        <v>12</v>
      </c>
      <c r="M58" s="26"/>
      <c r="N58" s="26"/>
      <c r="O58" s="26"/>
      <c r="R58" s="27"/>
      <c r="S58" s="27"/>
    </row>
    <row r="59" spans="1:43" x14ac:dyDescent="0.25">
      <c r="A59" s="58"/>
      <c r="B59" s="30"/>
      <c r="C59" s="5" t="s">
        <v>204</v>
      </c>
      <c r="E59" s="44"/>
      <c r="F59" s="25">
        <f>VLOOKUP($D$4,$B$41:$L$46,5)</f>
        <v>5</v>
      </c>
      <c r="G59" s="25">
        <f>VLOOKUP($D$4,$B$41:$L$46,6)</f>
        <v>16</v>
      </c>
      <c r="H59" s="25">
        <f>VLOOKUP($D$4,$B$41:$L$46,7)</f>
        <v>20014</v>
      </c>
      <c r="I59" s="25">
        <f>VLOOKUP($D$4,$B$41:$L$46,8)</f>
        <v>20016</v>
      </c>
      <c r="J59" s="25">
        <f>VLOOKUP($D$4,$B$41:$L$46,9)</f>
        <v>56</v>
      </c>
      <c r="K59" s="25">
        <f>VLOOKUP($D$4,$B$41:$L$46,10)</f>
        <v>32</v>
      </c>
      <c r="L59" s="31">
        <f>VLOOKUP($D$4,$B$41:$L$46,11)</f>
        <v>32</v>
      </c>
      <c r="M59" s="26"/>
      <c r="N59" s="26"/>
      <c r="O59" s="26"/>
      <c r="R59" s="27"/>
      <c r="S59" s="27"/>
    </row>
    <row r="60" spans="1:43" x14ac:dyDescent="0.25">
      <c r="A60" s="58"/>
      <c r="B60" s="32"/>
      <c r="C60" s="33" t="s">
        <v>200</v>
      </c>
      <c r="D60" s="33"/>
      <c r="E60" s="45"/>
      <c r="F60" s="34">
        <f t="shared" ref="F60:L60" si="9">F51</f>
        <v>1</v>
      </c>
      <c r="G60" s="34">
        <f t="shared" si="9"/>
        <v>12</v>
      </c>
      <c r="H60" s="34">
        <f t="shared" si="9"/>
        <v>20010</v>
      </c>
      <c r="I60" s="34">
        <f t="shared" si="9"/>
        <v>20012</v>
      </c>
      <c r="J60" s="34">
        <f t="shared" si="9"/>
        <v>52</v>
      </c>
      <c r="K60" s="34">
        <f t="shared" si="9"/>
        <v>28</v>
      </c>
      <c r="L60" s="35">
        <f t="shared" si="9"/>
        <v>28</v>
      </c>
      <c r="M60" s="26"/>
      <c r="N60" s="26"/>
      <c r="O60" s="26"/>
      <c r="R60" s="27"/>
      <c r="S60" s="27"/>
    </row>
    <row r="61" spans="1:43" x14ac:dyDescent="0.25">
      <c r="A61" s="58"/>
      <c r="B61" s="58"/>
      <c r="E61" s="25"/>
      <c r="F61" s="25"/>
      <c r="G61" s="25"/>
      <c r="H61" s="25"/>
      <c r="I61" s="25"/>
      <c r="J61" s="25"/>
      <c r="K61" s="25"/>
      <c r="L61" s="26"/>
      <c r="M61" s="26"/>
      <c r="N61" s="26"/>
      <c r="O61" s="26"/>
      <c r="R61" s="27"/>
      <c r="S61" s="27"/>
    </row>
    <row r="62" spans="1:43" x14ac:dyDescent="0.25">
      <c r="A62" s="59" t="s">
        <v>205</v>
      </c>
      <c r="B62" s="58"/>
      <c r="E62" s="5" t="s">
        <v>206</v>
      </c>
      <c r="F62" s="25"/>
      <c r="G62" s="25"/>
      <c r="H62" s="25"/>
      <c r="I62" s="25"/>
      <c r="J62" s="25"/>
      <c r="K62" s="25"/>
      <c r="L62" s="26"/>
      <c r="M62" s="26"/>
      <c r="N62" s="26"/>
      <c r="O62" s="26"/>
      <c r="R62" s="27"/>
      <c r="S62" s="27"/>
    </row>
    <row r="63" spans="1:43" x14ac:dyDescent="0.25">
      <c r="A63" s="58"/>
      <c r="B63" s="58"/>
      <c r="E63" s="25"/>
      <c r="F63" s="25"/>
      <c r="G63" s="25"/>
      <c r="H63" s="25"/>
      <c r="I63" s="25"/>
      <c r="J63" s="25"/>
      <c r="K63" s="25"/>
      <c r="L63" s="26"/>
      <c r="M63" s="26"/>
      <c r="N63" s="26"/>
      <c r="O63" s="26"/>
      <c r="R63" s="27"/>
      <c r="S63" s="27"/>
    </row>
    <row r="64" spans="1:43" ht="30.75" thickBot="1" x14ac:dyDescent="0.3">
      <c r="A64" s="127"/>
      <c r="B64" s="127"/>
      <c r="C64" s="70"/>
      <c r="D64" s="94"/>
      <c r="E64" s="56" t="s">
        <v>174</v>
      </c>
      <c r="F64" s="55" t="s">
        <v>175</v>
      </c>
      <c r="G64" s="55" t="s">
        <v>176</v>
      </c>
      <c r="H64" s="55" t="s">
        <v>177</v>
      </c>
      <c r="I64" s="55" t="s">
        <v>207</v>
      </c>
      <c r="J64" s="55" t="s">
        <v>208</v>
      </c>
      <c r="K64" s="55" t="s">
        <v>209</v>
      </c>
      <c r="L64" s="55" t="s">
        <v>210</v>
      </c>
      <c r="M64" s="57" t="s">
        <v>211</v>
      </c>
      <c r="N64" s="22"/>
      <c r="O64" s="22"/>
    </row>
    <row r="65" spans="1:19" s="5" customFormat="1" ht="15.75" thickBot="1" x14ac:dyDescent="0.3">
      <c r="A65" s="127"/>
      <c r="B65" s="127"/>
      <c r="D65" s="94"/>
      <c r="E65" s="128">
        <f>E56</f>
        <v>13.09090909090909</v>
      </c>
      <c r="F65" s="129">
        <f>MIN(F59* DCALC!$C$26/DCALC!$C$37*F56/1000,F56)</f>
        <v>0.19057981388690046</v>
      </c>
      <c r="G65" s="129">
        <f>MIN(G59* DCALC!$C$26/DCALC!$C$37*G56/1000,G56)</f>
        <v>0</v>
      </c>
      <c r="H65" s="129">
        <f>MIN(H59* DCALC!$C$26/DCALC!$C$37*H56/1000,H56)</f>
        <v>27.878787878787879</v>
      </c>
      <c r="I65" s="129">
        <f>MIN(I59* DCALC!$C$26/DCALC!$C$37*I56/1000,I56)</f>
        <v>3.6363636363636367</v>
      </c>
      <c r="J65" s="129">
        <f>MIN(J59* DCALC!$C$26/DCALC!$C$37*J56/1000,J56)</f>
        <v>2.4242424242424243</v>
      </c>
      <c r="K65" s="129">
        <f>MIN(K59* DCALC!$C$26/DCALC!$C$37*K56/1000,K56)</f>
        <v>31</v>
      </c>
      <c r="L65" s="130">
        <f>MIN(L59* DCALC!$C$26/DCALC!$C$37*L56/1000,L56)</f>
        <v>16.2</v>
      </c>
      <c r="M65" s="143">
        <f>SUM(E65:L65)</f>
        <v>94.420882844189933</v>
      </c>
      <c r="N65" s="22"/>
      <c r="O65" s="22"/>
    </row>
    <row r="66" spans="1:19" s="5" customFormat="1" x14ac:dyDescent="0.25">
      <c r="A66" s="58"/>
      <c r="B66" s="58"/>
      <c r="E66" s="25"/>
      <c r="F66" s="25"/>
      <c r="G66" s="25"/>
      <c r="H66" s="25"/>
      <c r="I66" s="25"/>
      <c r="J66" s="25"/>
      <c r="K66" s="25"/>
      <c r="L66" s="26"/>
      <c r="M66" s="26"/>
      <c r="N66" s="26"/>
      <c r="O66" s="26"/>
      <c r="R66" s="27"/>
      <c r="S66" s="27"/>
    </row>
    <row r="67" spans="1:19" s="5" customFormat="1" x14ac:dyDescent="0.25">
      <c r="A67" s="59" t="s">
        <v>212</v>
      </c>
      <c r="B67" s="58"/>
      <c r="E67" s="21" t="s">
        <v>213</v>
      </c>
      <c r="F67" s="25"/>
      <c r="G67" s="25"/>
      <c r="H67" s="25"/>
      <c r="I67" s="25"/>
      <c r="J67" s="25"/>
      <c r="K67" s="25"/>
      <c r="L67" s="26"/>
      <c r="M67" s="26"/>
      <c r="N67" s="26"/>
      <c r="O67" s="26"/>
      <c r="R67" s="27"/>
      <c r="S67" s="27"/>
    </row>
    <row r="68" spans="1:19" s="5" customFormat="1" x14ac:dyDescent="0.25">
      <c r="E68" s="22"/>
      <c r="F68" s="22"/>
      <c r="G68" s="22"/>
      <c r="H68" s="22"/>
      <c r="I68" s="22"/>
      <c r="J68" s="22"/>
      <c r="K68" s="22"/>
      <c r="L68" s="22"/>
      <c r="M68" s="22"/>
      <c r="N68" s="22"/>
      <c r="O68" s="22"/>
    </row>
    <row r="69" spans="1:19" s="5" customFormat="1" ht="30.75" thickBot="1" x14ac:dyDescent="0.3">
      <c r="A69" s="127"/>
      <c r="B69" s="127"/>
      <c r="C69" s="70"/>
      <c r="D69" s="94"/>
      <c r="E69" s="56" t="s">
        <v>174</v>
      </c>
      <c r="F69" s="55" t="s">
        <v>175</v>
      </c>
      <c r="G69" s="55" t="s">
        <v>176</v>
      </c>
      <c r="H69" s="55" t="s">
        <v>177</v>
      </c>
      <c r="I69" s="55" t="s">
        <v>207</v>
      </c>
      <c r="J69" s="55" t="s">
        <v>208</v>
      </c>
      <c r="K69" s="55" t="s">
        <v>209</v>
      </c>
      <c r="L69" s="55" t="s">
        <v>210</v>
      </c>
      <c r="M69" s="57" t="s">
        <v>214</v>
      </c>
      <c r="N69" s="22"/>
      <c r="O69" s="22"/>
    </row>
    <row r="70" spans="1:19" s="5" customFormat="1" ht="15.75" thickBot="1" x14ac:dyDescent="0.3">
      <c r="A70" s="127"/>
      <c r="B70" s="127"/>
      <c r="D70" s="94"/>
      <c r="E70" s="128">
        <f>E56</f>
        <v>13.09090909090909</v>
      </c>
      <c r="F70" s="129">
        <f>MIN((F60+DCALC!$C$32)*F56*DCALC!$C$33/DCALC!$C$41/1000,F56)</f>
        <v>6.4639996001066374E-2</v>
      </c>
      <c r="G70" s="129">
        <f>MIN((G60+DCALC!$C$32)*G56*DCALC!$C$33/DCALC!$C$41/1000,G56)</f>
        <v>0</v>
      </c>
      <c r="H70" s="129">
        <f>MIN((H60+DCALC!$C$32)*H56*DCALC!$C$33/DCALC!$C$41/1000,H56)</f>
        <v>27.878787878787879</v>
      </c>
      <c r="I70" s="129">
        <f>MIN((I60+DCALC!$C$32)*I56*DCALC!$C$33/DCALC!$C$41/1000,I56)</f>
        <v>3.6363636363636367</v>
      </c>
      <c r="J70" s="129">
        <f>MIN((J60+DCALC!$C$32)*J56*DCALC!$C$33/DCALC!$C$41/1000,J56)</f>
        <v>1.034239936017062</v>
      </c>
      <c r="K70" s="129">
        <f>MIN((K60+DCALC!$C$32)*K56*DCALC!$C$33/DCALC!$C$41/1000,K56)</f>
        <v>8.5575749999999982</v>
      </c>
      <c r="L70" s="129">
        <f>MIN((L51+DCALC!$C$32)*L56*DCALC!$C$33/DCALC!$C$41/1000,L56)</f>
        <v>4.4720230645161294</v>
      </c>
      <c r="M70" s="143">
        <f>SUM(E70:L70)</f>
        <v>58.73453860259486</v>
      </c>
      <c r="N70" s="22"/>
      <c r="O70" s="22"/>
    </row>
    <row r="72" spans="1:19" s="5" customFormat="1" x14ac:dyDescent="0.25">
      <c r="E72" s="24"/>
      <c r="F72" s="24"/>
      <c r="G72" s="24"/>
      <c r="H72" s="24"/>
      <c r="I72" s="24"/>
      <c r="J72" s="24"/>
      <c r="K72" s="24"/>
      <c r="L72" s="24"/>
      <c r="M72" s="24"/>
    </row>
  </sheetData>
  <mergeCells count="28">
    <mergeCell ref="AA15:AA20"/>
    <mergeCell ref="AA21:AA26"/>
    <mergeCell ref="AA27:AA32"/>
    <mergeCell ref="AA6:AA8"/>
    <mergeCell ref="AB6:AB8"/>
    <mergeCell ref="AD6:AJ6"/>
    <mergeCell ref="AK6:AQ6"/>
    <mergeCell ref="T44:T52"/>
    <mergeCell ref="V7:V8"/>
    <mergeCell ref="W7:W8"/>
    <mergeCell ref="V6:W6"/>
    <mergeCell ref="X6:Y6"/>
    <mergeCell ref="X7:X8"/>
    <mergeCell ref="Y7:Y8"/>
    <mergeCell ref="U6:U8"/>
    <mergeCell ref="T6:T8"/>
    <mergeCell ref="AD7:AQ7"/>
    <mergeCell ref="AA33:AA38"/>
    <mergeCell ref="AA39:AA44"/>
    <mergeCell ref="AA9:AA14"/>
    <mergeCell ref="AC6:AC8"/>
    <mergeCell ref="C41:C46"/>
    <mergeCell ref="N34:O34"/>
    <mergeCell ref="T9:T15"/>
    <mergeCell ref="T16:T22"/>
    <mergeCell ref="T23:T29"/>
    <mergeCell ref="T30:T36"/>
    <mergeCell ref="T37:T43"/>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92"/>
  <sheetViews>
    <sheetView topLeftCell="A70" zoomScaleNormal="100" workbookViewId="0">
      <selection activeCell="K54" sqref="K54"/>
    </sheetView>
  </sheetViews>
  <sheetFormatPr defaultColWidth="9.140625" defaultRowHeight="15" x14ac:dyDescent="0.25"/>
  <cols>
    <col min="1" max="1" width="2.7109375" style="5" customWidth="1"/>
    <col min="2" max="2" width="5.7109375" style="5" customWidth="1"/>
    <col min="3" max="3" width="29" style="5" customWidth="1"/>
    <col min="4" max="4" width="12" style="5" bestFit="1" customWidth="1"/>
    <col min="5" max="5" width="10.42578125" style="5" bestFit="1" customWidth="1"/>
    <col min="6" max="10" width="10.7109375" style="5" customWidth="1"/>
    <col min="11" max="11" width="9.140625" style="5"/>
    <col min="12" max="12" width="11.140625" style="5" bestFit="1" customWidth="1"/>
    <col min="13" max="13" width="9.7109375" style="5" customWidth="1"/>
    <col min="14" max="14" width="11" style="5" customWidth="1"/>
    <col min="15" max="15" width="9.140625" style="5"/>
    <col min="16" max="16" width="11.28515625" style="5" customWidth="1"/>
    <col min="17" max="19" width="9.140625" style="5"/>
    <col min="20" max="20" width="11.85546875" style="5" customWidth="1"/>
    <col min="21" max="21" width="11.42578125" style="5" customWidth="1"/>
    <col min="22" max="25" width="9.7109375" style="5" customWidth="1"/>
    <col min="26" max="27" width="9.140625" style="5"/>
    <col min="28" max="29" width="9.140625" style="11"/>
    <col min="30" max="30" width="9.7109375" style="5" bestFit="1" customWidth="1"/>
    <col min="31" max="16384" width="9.140625" style="5"/>
  </cols>
  <sheetData>
    <row r="1" spans="1:43" ht="18.75" x14ac:dyDescent="0.25">
      <c r="A1" s="197" t="s">
        <v>215</v>
      </c>
      <c r="X1" s="5" t="s">
        <v>152</v>
      </c>
    </row>
    <row r="3" spans="1:43" x14ac:dyDescent="0.25">
      <c r="B3" s="85" t="s">
        <v>111</v>
      </c>
      <c r="C3" s="86"/>
      <c r="D3" s="87"/>
      <c r="F3" s="132" t="s">
        <v>112</v>
      </c>
      <c r="G3" s="29"/>
      <c r="H3" s="29"/>
      <c r="I3" s="29"/>
      <c r="J3" s="46"/>
    </row>
    <row r="4" spans="1:43" x14ac:dyDescent="0.25">
      <c r="B4" s="46"/>
      <c r="C4" s="5" t="s">
        <v>10</v>
      </c>
      <c r="D4" s="105">
        <f>'TWR Exchange'!C9</f>
        <v>5</v>
      </c>
      <c r="F4" s="46"/>
      <c r="J4" s="46"/>
      <c r="T4" s="28" t="s">
        <v>153</v>
      </c>
      <c r="AA4" s="28" t="s">
        <v>154</v>
      </c>
    </row>
    <row r="5" spans="1:43" ht="15.75" thickBot="1" x14ac:dyDescent="0.3">
      <c r="B5" s="46"/>
      <c r="C5" s="5" t="s">
        <v>23</v>
      </c>
      <c r="D5" s="105">
        <f>'TWR Exchange'!C12</f>
        <v>64</v>
      </c>
      <c r="F5" s="46"/>
      <c r="J5" s="46"/>
    </row>
    <row r="6" spans="1:43" ht="15.75" thickBot="1" x14ac:dyDescent="0.3">
      <c r="B6" s="88"/>
      <c r="C6" t="s">
        <v>155</v>
      </c>
      <c r="D6" s="104" t="str">
        <f>'TWR Exchange'!C21</f>
        <v>Yes</v>
      </c>
      <c r="F6" s="46"/>
      <c r="G6" s="5" t="s">
        <v>156</v>
      </c>
      <c r="I6" s="195">
        <f>M54</f>
        <v>130.18181818181819</v>
      </c>
      <c r="T6" s="300" t="s">
        <v>157</v>
      </c>
      <c r="U6" s="300" t="s">
        <v>116</v>
      </c>
      <c r="V6" s="303" t="s">
        <v>158</v>
      </c>
      <c r="W6" s="303"/>
      <c r="X6" s="303" t="s">
        <v>159</v>
      </c>
      <c r="Y6" s="303"/>
      <c r="AA6" s="300" t="s">
        <v>157</v>
      </c>
      <c r="AB6" s="300" t="s">
        <v>115</v>
      </c>
      <c r="AC6" s="300" t="s">
        <v>23</v>
      </c>
      <c r="AD6" s="291" t="s">
        <v>155</v>
      </c>
      <c r="AE6" s="292"/>
      <c r="AF6" s="292"/>
      <c r="AG6" s="292"/>
      <c r="AH6" s="292"/>
      <c r="AI6" s="292"/>
      <c r="AJ6" s="293"/>
      <c r="AK6" s="293" t="s">
        <v>160</v>
      </c>
      <c r="AL6" s="303"/>
      <c r="AM6" s="303"/>
      <c r="AN6" s="303"/>
      <c r="AO6" s="303"/>
      <c r="AP6" s="303"/>
      <c r="AQ6" s="303"/>
    </row>
    <row r="7" spans="1:43" ht="15.75" thickBot="1" x14ac:dyDescent="0.3">
      <c r="B7" s="88"/>
      <c r="C7" t="s">
        <v>161</v>
      </c>
      <c r="D7" s="104">
        <f>'TWR Exchange'!C22</f>
        <v>3.3</v>
      </c>
      <c r="F7" s="46"/>
      <c r="G7" s="5" t="s">
        <v>162</v>
      </c>
      <c r="I7" s="195">
        <f>M59</f>
        <v>135.63636363636363</v>
      </c>
      <c r="T7" s="301"/>
      <c r="U7" s="301"/>
      <c r="V7" s="300" t="s">
        <v>155</v>
      </c>
      <c r="W7" s="300" t="s">
        <v>163</v>
      </c>
      <c r="X7" s="300" t="s">
        <v>155</v>
      </c>
      <c r="Y7" s="300" t="s">
        <v>163</v>
      </c>
      <c r="AA7" s="301"/>
      <c r="AB7" s="301"/>
      <c r="AC7" s="301"/>
      <c r="AD7" s="291" t="s">
        <v>118</v>
      </c>
      <c r="AE7" s="292"/>
      <c r="AF7" s="292"/>
      <c r="AG7" s="292"/>
      <c r="AH7" s="292"/>
      <c r="AI7" s="292"/>
      <c r="AJ7" s="292"/>
      <c r="AK7" s="292"/>
      <c r="AL7" s="292"/>
      <c r="AM7" s="292"/>
      <c r="AN7" s="292"/>
      <c r="AO7" s="292"/>
      <c r="AP7" s="292"/>
      <c r="AQ7" s="293"/>
    </row>
    <row r="8" spans="1:43" x14ac:dyDescent="0.25">
      <c r="B8" s="88"/>
      <c r="C8" t="s">
        <v>164</v>
      </c>
      <c r="D8" s="104">
        <f>'TWR Exchange'!C23</f>
        <v>1.8</v>
      </c>
      <c r="F8" s="46"/>
      <c r="J8" s="46"/>
      <c r="T8" s="302"/>
      <c r="U8" s="302"/>
      <c r="V8" s="302"/>
      <c r="W8" s="302"/>
      <c r="X8" s="302"/>
      <c r="Y8" s="302"/>
      <c r="AA8" s="302"/>
      <c r="AB8" s="302"/>
      <c r="AC8" s="302"/>
      <c r="AD8" s="106">
        <v>3</v>
      </c>
      <c r="AE8" s="158">
        <v>12</v>
      </c>
      <c r="AF8" s="158">
        <v>30</v>
      </c>
      <c r="AG8" s="158">
        <v>50</v>
      </c>
      <c r="AH8" s="158">
        <v>90</v>
      </c>
      <c r="AI8" s="158">
        <v>127</v>
      </c>
      <c r="AJ8" s="158">
        <v>1023</v>
      </c>
      <c r="AK8" s="106">
        <v>3</v>
      </c>
      <c r="AL8" s="158">
        <v>12</v>
      </c>
      <c r="AM8" s="158">
        <v>30</v>
      </c>
      <c r="AN8" s="158">
        <v>50</v>
      </c>
      <c r="AO8" s="158">
        <v>90</v>
      </c>
      <c r="AP8" s="158">
        <v>127</v>
      </c>
      <c r="AQ8" s="159">
        <v>1023</v>
      </c>
    </row>
    <row r="9" spans="1:43" x14ac:dyDescent="0.25">
      <c r="B9" s="88"/>
      <c r="C9" t="s">
        <v>47</v>
      </c>
      <c r="D9" s="104">
        <f>'TWR Exchange'!C24</f>
        <v>0.9</v>
      </c>
      <c r="F9" s="46"/>
      <c r="J9" s="46"/>
      <c r="T9" s="300">
        <v>1</v>
      </c>
      <c r="U9" s="121">
        <v>64</v>
      </c>
      <c r="V9" s="141"/>
      <c r="W9" s="141"/>
      <c r="X9" s="141"/>
      <c r="Y9" s="141"/>
      <c r="AA9" s="303">
        <v>1</v>
      </c>
      <c r="AB9" s="139">
        <v>110</v>
      </c>
      <c r="AC9" s="139">
        <v>16</v>
      </c>
      <c r="AD9" s="160"/>
      <c r="AE9" s="24"/>
      <c r="AF9" s="24"/>
      <c r="AG9" s="24"/>
      <c r="AH9" s="24"/>
      <c r="AI9" s="24"/>
      <c r="AJ9" s="24"/>
      <c r="AK9" s="160"/>
      <c r="AL9" s="24"/>
      <c r="AM9" s="24"/>
      <c r="AN9" s="24"/>
      <c r="AO9" s="24"/>
      <c r="AP9" s="24"/>
      <c r="AQ9" s="161"/>
    </row>
    <row r="10" spans="1:43" x14ac:dyDescent="0.25">
      <c r="B10" s="92"/>
      <c r="C10" s="1"/>
      <c r="D10" s="66"/>
      <c r="F10" s="131"/>
      <c r="G10" s="33"/>
      <c r="H10" s="33"/>
      <c r="I10" s="33"/>
      <c r="J10" s="46"/>
      <c r="T10" s="301"/>
      <c r="U10" s="11">
        <v>128</v>
      </c>
      <c r="V10" s="141"/>
      <c r="W10" s="141"/>
      <c r="X10" s="141"/>
      <c r="Y10" s="141"/>
      <c r="AA10" s="303"/>
      <c r="AB10" s="138">
        <v>850</v>
      </c>
      <c r="AC10" s="138">
        <v>16</v>
      </c>
      <c r="AD10" s="160"/>
      <c r="AE10" s="24"/>
      <c r="AF10" s="24"/>
      <c r="AG10" s="24"/>
      <c r="AH10" s="24"/>
      <c r="AI10" s="24"/>
      <c r="AJ10" s="24"/>
      <c r="AK10" s="160"/>
      <c r="AL10" s="24"/>
      <c r="AM10" s="24"/>
      <c r="AN10" s="24"/>
      <c r="AO10" s="24"/>
      <c r="AP10" s="24"/>
      <c r="AQ10" s="161"/>
    </row>
    <row r="11" spans="1:43" ht="15.75" thickBot="1" x14ac:dyDescent="0.3">
      <c r="B11"/>
      <c r="C11"/>
      <c r="D11"/>
      <c r="T11" s="301"/>
      <c r="U11" s="11">
        <v>256</v>
      </c>
      <c r="V11" s="141"/>
      <c r="W11" s="141"/>
      <c r="X11" s="141"/>
      <c r="Y11" s="141"/>
      <c r="AA11" s="303"/>
      <c r="AB11" s="138">
        <v>6800</v>
      </c>
      <c r="AC11" s="138">
        <v>16</v>
      </c>
      <c r="AD11" s="160"/>
      <c r="AE11" s="24"/>
      <c r="AF11" s="24"/>
      <c r="AG11" s="24"/>
      <c r="AH11" s="24"/>
      <c r="AI11" s="24"/>
      <c r="AJ11" s="24"/>
      <c r="AK11" s="160"/>
      <c r="AL11" s="24"/>
      <c r="AM11" s="24"/>
      <c r="AN11" s="24"/>
      <c r="AO11" s="24"/>
      <c r="AP11" s="24"/>
      <c r="AQ11" s="161"/>
    </row>
    <row r="12" spans="1:43" ht="15.75" thickBot="1" x14ac:dyDescent="0.3">
      <c r="B12" s="106"/>
      <c r="C12" s="107" t="s">
        <v>165</v>
      </c>
      <c r="D12" s="54">
        <f>(D7/D8)*D9</f>
        <v>1.65</v>
      </c>
      <c r="T12" s="301"/>
      <c r="U12" s="11">
        <v>512</v>
      </c>
      <c r="V12" s="141"/>
      <c r="W12" s="141"/>
      <c r="X12" s="141"/>
      <c r="Y12" s="141"/>
      <c r="AA12" s="303"/>
      <c r="AB12" s="138">
        <v>110</v>
      </c>
      <c r="AC12" s="138">
        <v>64</v>
      </c>
      <c r="AD12" s="160"/>
      <c r="AE12" s="24"/>
      <c r="AF12" s="24"/>
      <c r="AG12" s="24"/>
      <c r="AH12" s="24"/>
      <c r="AI12" s="24"/>
      <c r="AJ12" s="24"/>
      <c r="AK12" s="160"/>
      <c r="AL12" s="24"/>
      <c r="AM12" s="24"/>
      <c r="AN12" s="24"/>
      <c r="AO12" s="24"/>
      <c r="AP12" s="24"/>
      <c r="AQ12" s="161"/>
    </row>
    <row r="13" spans="1:43" x14ac:dyDescent="0.25">
      <c r="B13"/>
      <c r="C13"/>
      <c r="D13"/>
      <c r="T13" s="301"/>
      <c r="U13" s="11">
        <v>1024</v>
      </c>
      <c r="V13" s="141"/>
      <c r="W13" s="141"/>
      <c r="X13" s="141"/>
      <c r="Y13" s="141"/>
      <c r="AA13" s="303"/>
      <c r="AB13" s="138">
        <v>850</v>
      </c>
      <c r="AC13" s="138">
        <v>64</v>
      </c>
      <c r="AD13" s="160"/>
      <c r="AE13" s="24"/>
      <c r="AF13" s="24"/>
      <c r="AG13" s="24"/>
      <c r="AH13" s="24"/>
      <c r="AI13" s="24"/>
      <c r="AJ13" s="24"/>
      <c r="AK13" s="160"/>
      <c r="AL13" s="24"/>
      <c r="AM13" s="24"/>
      <c r="AN13" s="24"/>
      <c r="AO13" s="24"/>
      <c r="AP13" s="24"/>
      <c r="AQ13" s="161"/>
    </row>
    <row r="14" spans="1:43" x14ac:dyDescent="0.25">
      <c r="B14" s="132" t="s">
        <v>166</v>
      </c>
      <c r="C14" s="86"/>
      <c r="D14" s="87"/>
      <c r="T14" s="301"/>
      <c r="U14" s="11">
        <v>2048</v>
      </c>
      <c r="V14" s="141"/>
      <c r="W14" s="141"/>
      <c r="X14" s="141"/>
      <c r="Y14" s="141"/>
      <c r="AA14" s="300"/>
      <c r="AB14" s="138">
        <v>6800</v>
      </c>
      <c r="AC14" s="138">
        <v>64</v>
      </c>
      <c r="AD14" s="160"/>
      <c r="AE14" s="24"/>
      <c r="AF14" s="24"/>
      <c r="AG14" s="24"/>
      <c r="AH14" s="24"/>
      <c r="AI14" s="24"/>
      <c r="AJ14" s="24"/>
      <c r="AK14" s="160"/>
      <c r="AL14" s="24"/>
      <c r="AM14" s="24"/>
      <c r="AN14" s="24"/>
      <c r="AO14" s="24"/>
      <c r="AP14" s="24"/>
      <c r="AQ14" s="161"/>
    </row>
    <row r="15" spans="1:43" x14ac:dyDescent="0.25">
      <c r="A15" s="28"/>
      <c r="B15" s="88"/>
      <c r="C15"/>
      <c r="D15" s="89"/>
      <c r="T15" s="302"/>
      <c r="U15" s="138">
        <v>4096</v>
      </c>
      <c r="V15" s="141"/>
      <c r="W15" s="141"/>
      <c r="X15" s="141"/>
      <c r="Y15" s="141"/>
      <c r="AA15" s="303">
        <v>2</v>
      </c>
      <c r="AB15" s="139">
        <v>110</v>
      </c>
      <c r="AC15" s="139">
        <v>16</v>
      </c>
      <c r="AD15" s="169"/>
      <c r="AE15" s="170"/>
      <c r="AF15" s="170"/>
      <c r="AG15" s="170"/>
      <c r="AH15" s="170"/>
      <c r="AI15" s="170"/>
      <c r="AJ15" s="170"/>
      <c r="AK15" s="169"/>
      <c r="AL15" s="170"/>
      <c r="AM15" s="170"/>
      <c r="AN15" s="170"/>
      <c r="AO15" s="170"/>
      <c r="AP15" s="170"/>
      <c r="AQ15" s="171"/>
    </row>
    <row r="16" spans="1:43" x14ac:dyDescent="0.25">
      <c r="B16" s="88"/>
      <c r="C16" s="21" t="s">
        <v>167</v>
      </c>
      <c r="D16" s="153">
        <f>N25</f>
        <v>20</v>
      </c>
      <c r="T16" s="300">
        <v>2</v>
      </c>
      <c r="U16" s="138">
        <v>64</v>
      </c>
      <c r="V16" s="141"/>
      <c r="W16" s="141"/>
      <c r="X16" s="141"/>
      <c r="Y16" s="141"/>
      <c r="AA16" s="303"/>
      <c r="AB16" s="138">
        <v>850</v>
      </c>
      <c r="AC16" s="138">
        <v>16</v>
      </c>
      <c r="AD16" s="160"/>
      <c r="AE16" s="24"/>
      <c r="AF16" s="24"/>
      <c r="AG16" s="24"/>
      <c r="AH16" s="24"/>
      <c r="AI16" s="24"/>
      <c r="AJ16" s="24"/>
      <c r="AK16" s="160"/>
      <c r="AL16" s="24"/>
      <c r="AM16" s="24"/>
      <c r="AN16" s="24"/>
      <c r="AO16" s="24"/>
      <c r="AP16" s="24"/>
      <c r="AQ16" s="161"/>
    </row>
    <row r="17" spans="1:43" x14ac:dyDescent="0.25">
      <c r="B17" s="88"/>
      <c r="C17" s="21" t="s">
        <v>168</v>
      </c>
      <c r="D17" s="153">
        <v>18</v>
      </c>
      <c r="T17" s="301"/>
      <c r="U17" s="11">
        <v>128</v>
      </c>
      <c r="V17" s="141"/>
      <c r="W17" s="141"/>
      <c r="X17" s="141"/>
      <c r="Y17" s="141"/>
      <c r="AA17" s="303"/>
      <c r="AB17" s="138">
        <v>6800</v>
      </c>
      <c r="AC17" s="138">
        <v>16</v>
      </c>
      <c r="AD17" s="160"/>
      <c r="AE17" s="24"/>
      <c r="AF17" s="24"/>
      <c r="AG17" s="24"/>
      <c r="AH17" s="24"/>
      <c r="AI17" s="24"/>
      <c r="AJ17" s="24"/>
      <c r="AK17" s="160"/>
      <c r="AL17" s="24"/>
      <c r="AM17" s="24"/>
      <c r="AN17" s="24"/>
      <c r="AO17" s="24"/>
      <c r="AP17" s="24"/>
      <c r="AQ17" s="161"/>
    </row>
    <row r="18" spans="1:43" x14ac:dyDescent="0.25">
      <c r="B18" s="88"/>
      <c r="C18" s="21" t="s">
        <v>169</v>
      </c>
      <c r="D18" s="154">
        <v>5.0000000000000002E-5</v>
      </c>
      <c r="T18" s="301"/>
      <c r="U18" s="11">
        <v>256</v>
      </c>
      <c r="V18" s="141"/>
      <c r="W18" s="141"/>
      <c r="X18" s="141"/>
      <c r="Y18" s="141"/>
      <c r="AA18" s="303"/>
      <c r="AB18" s="138">
        <v>110</v>
      </c>
      <c r="AC18" s="138">
        <v>64</v>
      </c>
      <c r="AD18" s="160"/>
      <c r="AE18" s="24"/>
      <c r="AF18" s="24"/>
      <c r="AG18" s="24"/>
      <c r="AH18" s="24"/>
      <c r="AI18" s="24"/>
      <c r="AJ18" s="24"/>
      <c r="AK18" s="160"/>
      <c r="AL18" s="24"/>
      <c r="AM18" s="24"/>
      <c r="AN18" s="24"/>
      <c r="AO18" s="24"/>
      <c r="AP18" s="24"/>
      <c r="AQ18" s="161"/>
    </row>
    <row r="19" spans="1:43" x14ac:dyDescent="0.25">
      <c r="B19" s="88"/>
      <c r="C19" s="21" t="s">
        <v>170</v>
      </c>
      <c r="D19" s="155">
        <v>1E-3</v>
      </c>
      <c r="T19" s="301"/>
      <c r="U19" s="11">
        <v>512</v>
      </c>
      <c r="V19" s="141"/>
      <c r="W19" s="141"/>
      <c r="X19" s="141"/>
      <c r="Y19" s="141"/>
      <c r="AA19" s="303"/>
      <c r="AB19" s="138">
        <v>850</v>
      </c>
      <c r="AC19" s="138">
        <v>64</v>
      </c>
      <c r="AD19" s="160"/>
      <c r="AE19" s="24"/>
      <c r="AF19" s="24"/>
      <c r="AG19" s="24"/>
      <c r="AH19" s="24"/>
      <c r="AI19" s="24"/>
      <c r="AJ19" s="24"/>
      <c r="AK19" s="160"/>
      <c r="AL19" s="24"/>
      <c r="AM19" s="24"/>
      <c r="AN19" s="24"/>
      <c r="AO19" s="24"/>
      <c r="AP19" s="24"/>
      <c r="AQ19" s="161"/>
    </row>
    <row r="20" spans="1:43" x14ac:dyDescent="0.25">
      <c r="B20" s="92"/>
      <c r="C20" s="156"/>
      <c r="D20" s="66"/>
      <c r="T20" s="301"/>
      <c r="U20" s="11">
        <v>1024</v>
      </c>
      <c r="V20" s="141"/>
      <c r="W20" s="141"/>
      <c r="X20" s="141"/>
      <c r="Y20" s="141"/>
      <c r="AA20" s="303"/>
      <c r="AB20" s="140">
        <v>6800</v>
      </c>
      <c r="AC20" s="140">
        <v>64</v>
      </c>
      <c r="AD20" s="162"/>
      <c r="AE20" s="163"/>
      <c r="AF20" s="163"/>
      <c r="AG20" s="163"/>
      <c r="AH20" s="163"/>
      <c r="AI20" s="163"/>
      <c r="AJ20" s="163"/>
      <c r="AK20" s="160"/>
      <c r="AL20" s="24"/>
      <c r="AM20" s="24"/>
      <c r="AN20" s="24"/>
      <c r="AO20" s="24"/>
      <c r="AP20" s="24"/>
      <c r="AQ20" s="161"/>
    </row>
    <row r="21" spans="1:43" x14ac:dyDescent="0.25">
      <c r="B21"/>
      <c r="C21" s="21"/>
      <c r="D21"/>
      <c r="T21" s="301"/>
      <c r="U21" s="11">
        <v>2048</v>
      </c>
      <c r="V21" s="141"/>
      <c r="W21" s="141"/>
      <c r="X21" s="141"/>
      <c r="Y21" s="141"/>
      <c r="AA21" s="303">
        <v>3</v>
      </c>
      <c r="AB21" s="139">
        <v>110</v>
      </c>
      <c r="AC21" s="139">
        <v>16</v>
      </c>
      <c r="AD21" s="169"/>
      <c r="AE21" s="170"/>
      <c r="AF21" s="170"/>
      <c r="AG21" s="170"/>
      <c r="AH21" s="170"/>
      <c r="AI21" s="170"/>
      <c r="AJ21" s="170"/>
      <c r="AK21" s="169"/>
      <c r="AL21" s="170"/>
      <c r="AM21" s="170"/>
      <c r="AN21" s="170"/>
      <c r="AO21" s="170"/>
      <c r="AP21" s="170"/>
      <c r="AQ21" s="171"/>
    </row>
    <row r="22" spans="1:43" x14ac:dyDescent="0.25">
      <c r="A22" s="28" t="s">
        <v>171</v>
      </c>
      <c r="B22"/>
      <c r="C22"/>
      <c r="D22"/>
      <c r="T22" s="302"/>
      <c r="U22" s="11">
        <v>4096</v>
      </c>
      <c r="V22" s="141"/>
      <c r="W22" s="141"/>
      <c r="X22" s="141"/>
      <c r="Y22" s="141"/>
      <c r="AA22" s="303"/>
      <c r="AB22" s="138">
        <v>850</v>
      </c>
      <c r="AC22" s="138">
        <v>16</v>
      </c>
      <c r="AD22" s="160"/>
      <c r="AE22" s="24"/>
      <c r="AF22" s="24"/>
      <c r="AG22" s="24"/>
      <c r="AH22" s="24"/>
      <c r="AI22" s="24"/>
      <c r="AJ22" s="24"/>
      <c r="AK22" s="160"/>
      <c r="AL22" s="24"/>
      <c r="AM22" s="24"/>
      <c r="AN22" s="24"/>
      <c r="AO22" s="24"/>
      <c r="AP22" s="24"/>
      <c r="AQ22" s="161"/>
    </row>
    <row r="23" spans="1:43" x14ac:dyDescent="0.25">
      <c r="E23" s="304" t="s">
        <v>216</v>
      </c>
      <c r="F23" s="305"/>
      <c r="G23" s="305"/>
      <c r="H23" s="306"/>
      <c r="I23" s="307" t="s">
        <v>217</v>
      </c>
      <c r="J23" s="308"/>
      <c r="K23" s="308"/>
      <c r="L23" s="308"/>
      <c r="M23" s="308"/>
      <c r="N23" s="308"/>
      <c r="O23" s="309"/>
      <c r="P23" s="310" t="s">
        <v>218</v>
      </c>
      <c r="T23" s="300">
        <v>3</v>
      </c>
      <c r="U23" s="11">
        <v>64</v>
      </c>
      <c r="V23" s="141"/>
      <c r="W23" s="141"/>
      <c r="X23" s="141"/>
      <c r="Y23" s="141"/>
      <c r="AA23" s="303"/>
      <c r="AB23" s="138">
        <v>6800</v>
      </c>
      <c r="AC23" s="138">
        <v>16</v>
      </c>
      <c r="AD23" s="160"/>
      <c r="AE23" s="24"/>
      <c r="AF23" s="24"/>
      <c r="AG23" s="24"/>
      <c r="AH23" s="24"/>
      <c r="AI23" s="24"/>
      <c r="AJ23" s="24"/>
      <c r="AK23" s="160"/>
      <c r="AL23" s="24"/>
      <c r="AM23" s="24"/>
      <c r="AN23" s="24"/>
      <c r="AO23" s="24"/>
      <c r="AP23" s="24"/>
      <c r="AQ23" s="161"/>
    </row>
    <row r="24" spans="1:43" ht="30" x14ac:dyDescent="0.25">
      <c r="A24" s="134"/>
      <c r="B24" s="16" t="s">
        <v>172</v>
      </c>
      <c r="C24" s="73" t="s">
        <v>173</v>
      </c>
      <c r="D24" s="42"/>
      <c r="E24" s="207" t="s">
        <v>219</v>
      </c>
      <c r="F24" s="73" t="s">
        <v>220</v>
      </c>
      <c r="G24" s="203" t="s">
        <v>221</v>
      </c>
      <c r="H24" s="203" t="s">
        <v>222</v>
      </c>
      <c r="I24" s="207" t="s">
        <v>223</v>
      </c>
      <c r="J24" s="203" t="s">
        <v>224</v>
      </c>
      <c r="K24" s="43" t="s">
        <v>225</v>
      </c>
      <c r="L24" s="203" t="s">
        <v>177</v>
      </c>
      <c r="M24" s="42" t="s">
        <v>207</v>
      </c>
      <c r="N24" s="43" t="s">
        <v>226</v>
      </c>
      <c r="O24" s="208" t="s">
        <v>227</v>
      </c>
      <c r="P24" s="311"/>
      <c r="Q24" s="206"/>
      <c r="S24" s="23"/>
      <c r="T24" s="301"/>
      <c r="U24" s="11">
        <v>128</v>
      </c>
      <c r="V24" s="141"/>
      <c r="W24" s="141"/>
      <c r="X24" s="141"/>
      <c r="Y24" s="141"/>
      <c r="AA24" s="303"/>
      <c r="AB24" s="138">
        <v>110</v>
      </c>
      <c r="AC24" s="138">
        <v>64</v>
      </c>
      <c r="AD24" s="160"/>
      <c r="AE24" s="24"/>
      <c r="AF24" s="24"/>
      <c r="AG24" s="24"/>
      <c r="AH24" s="24"/>
      <c r="AI24" s="24"/>
      <c r="AJ24" s="24"/>
      <c r="AK24" s="160"/>
      <c r="AL24" s="24"/>
      <c r="AM24" s="24"/>
      <c r="AN24" s="24"/>
      <c r="AO24" s="24"/>
      <c r="AP24" s="24"/>
      <c r="AQ24" s="161"/>
    </row>
    <row r="25" spans="1:43" x14ac:dyDescent="0.25">
      <c r="A25" s="134"/>
      <c r="B25" s="108">
        <v>1</v>
      </c>
      <c r="C25" s="21" t="s">
        <v>186</v>
      </c>
      <c r="E25" s="204">
        <v>4</v>
      </c>
      <c r="F25" s="110">
        <v>10</v>
      </c>
      <c r="G25" s="110">
        <v>36</v>
      </c>
      <c r="H25" s="110">
        <v>45</v>
      </c>
      <c r="I25" s="146">
        <v>14</v>
      </c>
      <c r="J25" s="111">
        <v>18.5</v>
      </c>
      <c r="K25" s="209">
        <v>20</v>
      </c>
      <c r="L25" s="209">
        <v>34</v>
      </c>
      <c r="M25" s="210">
        <v>16</v>
      </c>
      <c r="N25" s="209">
        <v>20</v>
      </c>
      <c r="O25" s="211">
        <v>18</v>
      </c>
      <c r="P25" s="214">
        <f>SUM(I25:O25)+F25</f>
        <v>150.5</v>
      </c>
      <c r="Q25" s="99"/>
      <c r="S25" s="23"/>
      <c r="T25" s="301"/>
      <c r="U25" s="11">
        <v>256</v>
      </c>
      <c r="V25" s="141"/>
      <c r="W25" s="141"/>
      <c r="X25" s="141"/>
      <c r="Y25" s="141"/>
      <c r="AA25" s="303"/>
      <c r="AB25" s="138">
        <v>850</v>
      </c>
      <c r="AC25" s="138">
        <v>64</v>
      </c>
      <c r="AD25" s="160"/>
      <c r="AE25" s="24"/>
      <c r="AF25" s="24"/>
      <c r="AG25" s="24"/>
      <c r="AH25" s="24"/>
      <c r="AI25" s="24"/>
      <c r="AJ25" s="24"/>
      <c r="AK25" s="160"/>
      <c r="AL25" s="24"/>
      <c r="AM25" s="24"/>
      <c r="AN25" s="24"/>
      <c r="AO25" s="24"/>
      <c r="AP25" s="24"/>
      <c r="AQ25" s="161"/>
    </row>
    <row r="26" spans="1:43" x14ac:dyDescent="0.25">
      <c r="A26" s="134"/>
      <c r="B26" s="108">
        <v>2</v>
      </c>
      <c r="C26" s="5" t="s">
        <v>186</v>
      </c>
      <c r="E26" s="146">
        <v>4</v>
      </c>
      <c r="F26" s="111">
        <v>10</v>
      </c>
      <c r="G26" s="111">
        <v>36</v>
      </c>
      <c r="H26" s="111">
        <v>45</v>
      </c>
      <c r="I26" s="146">
        <v>14</v>
      </c>
      <c r="J26" s="111">
        <v>18.5</v>
      </c>
      <c r="K26" s="209">
        <v>20</v>
      </c>
      <c r="L26" s="209">
        <v>34</v>
      </c>
      <c r="M26" s="210">
        <v>16</v>
      </c>
      <c r="N26" s="209">
        <v>20</v>
      </c>
      <c r="O26" s="211">
        <v>18</v>
      </c>
      <c r="P26" s="214">
        <f t="shared" ref="P26:P30" si="0">SUM(I26:O26)+F26</f>
        <v>150.5</v>
      </c>
      <c r="Q26" s="99"/>
      <c r="S26" s="24"/>
      <c r="T26" s="301"/>
      <c r="U26" s="11">
        <v>512</v>
      </c>
      <c r="V26" s="141"/>
      <c r="W26" s="141"/>
      <c r="X26" s="141"/>
      <c r="Y26" s="141"/>
      <c r="AA26" s="303"/>
      <c r="AB26" s="140">
        <v>6800</v>
      </c>
      <c r="AC26" s="140">
        <v>64</v>
      </c>
      <c r="AD26" s="162"/>
      <c r="AE26" s="163"/>
      <c r="AF26" s="163"/>
      <c r="AG26" s="163"/>
      <c r="AH26" s="163"/>
      <c r="AI26" s="163"/>
      <c r="AJ26" s="163"/>
      <c r="AK26" s="160"/>
      <c r="AL26" s="24"/>
      <c r="AM26" s="24"/>
      <c r="AN26" s="24"/>
      <c r="AO26" s="24"/>
      <c r="AP26" s="24"/>
      <c r="AQ26" s="161"/>
    </row>
    <row r="27" spans="1:43" x14ac:dyDescent="0.25">
      <c r="A27" s="134"/>
      <c r="B27" s="108">
        <v>3</v>
      </c>
      <c r="C27" s="5" t="s">
        <v>186</v>
      </c>
      <c r="E27" s="146">
        <v>4</v>
      </c>
      <c r="F27" s="111">
        <v>10</v>
      </c>
      <c r="G27" s="111">
        <v>36</v>
      </c>
      <c r="H27" s="111">
        <v>45</v>
      </c>
      <c r="I27" s="146">
        <v>14</v>
      </c>
      <c r="J27" s="111">
        <v>18.5</v>
      </c>
      <c r="K27" s="209">
        <v>20</v>
      </c>
      <c r="L27" s="209">
        <v>34</v>
      </c>
      <c r="M27" s="210">
        <v>16</v>
      </c>
      <c r="N27" s="209">
        <v>20</v>
      </c>
      <c r="O27" s="211">
        <v>18</v>
      </c>
      <c r="P27" s="214">
        <f t="shared" si="0"/>
        <v>150.5</v>
      </c>
      <c r="Q27" s="99"/>
      <c r="S27" s="24"/>
      <c r="T27" s="301"/>
      <c r="U27" s="11">
        <v>1024</v>
      </c>
      <c r="V27" s="141"/>
      <c r="W27" s="141"/>
      <c r="X27" s="141"/>
      <c r="Y27" s="141"/>
      <c r="AA27" s="303">
        <v>4</v>
      </c>
      <c r="AB27" s="139">
        <v>110</v>
      </c>
      <c r="AC27" s="139">
        <v>16</v>
      </c>
      <c r="AD27" s="184"/>
      <c r="AE27" s="185"/>
      <c r="AF27" s="185"/>
      <c r="AG27" s="185"/>
      <c r="AH27" s="185"/>
      <c r="AI27" s="185"/>
      <c r="AJ27" s="185"/>
      <c r="AK27" s="184"/>
      <c r="AL27" s="185"/>
      <c r="AM27" s="185"/>
      <c r="AN27" s="185"/>
      <c r="AO27" s="185"/>
      <c r="AP27" s="185"/>
      <c r="AQ27" s="186"/>
    </row>
    <row r="28" spans="1:43" x14ac:dyDescent="0.25">
      <c r="A28" s="134"/>
      <c r="B28" s="108">
        <v>4</v>
      </c>
      <c r="C28" s="5" t="s">
        <v>186</v>
      </c>
      <c r="E28" s="146">
        <v>4</v>
      </c>
      <c r="F28" s="111">
        <v>10</v>
      </c>
      <c r="G28" s="111">
        <v>36</v>
      </c>
      <c r="H28" s="111">
        <v>45</v>
      </c>
      <c r="I28" s="146">
        <v>14</v>
      </c>
      <c r="J28" s="111">
        <v>18.5</v>
      </c>
      <c r="K28" s="209">
        <v>20</v>
      </c>
      <c r="L28" s="209">
        <v>34</v>
      </c>
      <c r="M28" s="210">
        <v>16</v>
      </c>
      <c r="N28" s="209">
        <v>20</v>
      </c>
      <c r="O28" s="211">
        <v>18</v>
      </c>
      <c r="P28" s="214">
        <f t="shared" si="0"/>
        <v>150.5</v>
      </c>
      <c r="Q28" s="99"/>
      <c r="S28" s="24"/>
      <c r="T28" s="301"/>
      <c r="U28" s="11">
        <v>2048</v>
      </c>
      <c r="V28" s="141"/>
      <c r="W28" s="141"/>
      <c r="X28" s="141"/>
      <c r="Y28" s="141"/>
      <c r="AA28" s="303"/>
      <c r="AB28" s="138">
        <v>850</v>
      </c>
      <c r="AC28" s="138">
        <v>16</v>
      </c>
      <c r="AD28" s="187"/>
      <c r="AE28" s="188"/>
      <c r="AF28" s="188"/>
      <c r="AG28" s="188"/>
      <c r="AH28" s="188"/>
      <c r="AI28" s="188"/>
      <c r="AJ28" s="188"/>
      <c r="AK28" s="187"/>
      <c r="AL28" s="188"/>
      <c r="AM28" s="188"/>
      <c r="AN28" s="188"/>
      <c r="AO28" s="188"/>
      <c r="AP28" s="188"/>
      <c r="AQ28" s="189"/>
    </row>
    <row r="29" spans="1:43" x14ac:dyDescent="0.25">
      <c r="A29" s="134"/>
      <c r="B29" s="108">
        <v>5</v>
      </c>
      <c r="C29" s="5" t="s">
        <v>186</v>
      </c>
      <c r="E29" s="146">
        <v>4</v>
      </c>
      <c r="F29" s="111">
        <v>10</v>
      </c>
      <c r="G29" s="111">
        <v>36</v>
      </c>
      <c r="H29" s="111">
        <v>45</v>
      </c>
      <c r="I29" s="146">
        <v>14</v>
      </c>
      <c r="J29" s="111">
        <v>18.5</v>
      </c>
      <c r="K29" s="209">
        <v>20</v>
      </c>
      <c r="L29" s="209">
        <v>38</v>
      </c>
      <c r="M29" s="24">
        <v>22</v>
      </c>
      <c r="N29" s="209">
        <v>20</v>
      </c>
      <c r="O29" s="211">
        <v>18</v>
      </c>
      <c r="P29" s="214">
        <f t="shared" si="0"/>
        <v>160.5</v>
      </c>
      <c r="Q29" s="99"/>
      <c r="S29" s="24"/>
      <c r="T29" s="302"/>
      <c r="U29" s="11">
        <v>4096</v>
      </c>
      <c r="V29" s="141"/>
      <c r="W29" s="141"/>
      <c r="X29" s="141"/>
      <c r="Y29" s="141"/>
      <c r="AA29" s="303"/>
      <c r="AB29" s="138">
        <v>6800</v>
      </c>
      <c r="AC29" s="138">
        <v>16</v>
      </c>
      <c r="AD29" s="187"/>
      <c r="AE29" s="188"/>
      <c r="AF29" s="188"/>
      <c r="AG29" s="188"/>
      <c r="AH29" s="188"/>
      <c r="AI29" s="188"/>
      <c r="AJ29" s="188"/>
      <c r="AK29" s="187"/>
      <c r="AL29" s="188"/>
      <c r="AM29" s="188"/>
      <c r="AN29" s="188"/>
      <c r="AO29" s="188"/>
      <c r="AP29" s="188"/>
      <c r="AQ29" s="189"/>
    </row>
    <row r="30" spans="1:43" x14ac:dyDescent="0.25">
      <c r="A30" s="134"/>
      <c r="B30" s="109">
        <v>7</v>
      </c>
      <c r="C30" s="33" t="s">
        <v>186</v>
      </c>
      <c r="D30" s="33"/>
      <c r="E30" s="151">
        <v>4</v>
      </c>
      <c r="F30" s="205">
        <v>10</v>
      </c>
      <c r="G30" s="205">
        <v>36</v>
      </c>
      <c r="H30" s="205">
        <v>45</v>
      </c>
      <c r="I30" s="151">
        <v>14</v>
      </c>
      <c r="J30" s="205">
        <v>18.5</v>
      </c>
      <c r="K30" s="212">
        <v>20</v>
      </c>
      <c r="L30" s="212">
        <v>38</v>
      </c>
      <c r="M30" s="163">
        <v>22</v>
      </c>
      <c r="N30" s="212">
        <v>20</v>
      </c>
      <c r="O30" s="213">
        <v>18</v>
      </c>
      <c r="P30" s="215">
        <f t="shared" si="0"/>
        <v>160.5</v>
      </c>
      <c r="Q30" s="99"/>
      <c r="S30" s="24"/>
      <c r="T30" s="300">
        <v>4</v>
      </c>
      <c r="U30" s="11">
        <v>64</v>
      </c>
      <c r="V30" s="141"/>
      <c r="W30" s="141"/>
      <c r="X30" s="141"/>
      <c r="Y30" s="141"/>
      <c r="AA30" s="303"/>
      <c r="AB30" s="138">
        <v>110</v>
      </c>
      <c r="AC30" s="138">
        <v>64</v>
      </c>
      <c r="AD30" s="187"/>
      <c r="AE30" s="188"/>
      <c r="AF30" s="188"/>
      <c r="AG30" s="188"/>
      <c r="AH30" s="188"/>
      <c r="AI30" s="188"/>
      <c r="AJ30" s="188"/>
      <c r="AK30" s="187"/>
      <c r="AL30" s="188"/>
      <c r="AM30" s="188"/>
      <c r="AN30" s="188"/>
      <c r="AO30" s="188"/>
      <c r="AP30" s="188"/>
      <c r="AQ30" s="189"/>
    </row>
    <row r="31" spans="1:43" x14ac:dyDescent="0.25">
      <c r="A31" s="133"/>
      <c r="B31" s="102"/>
      <c r="C31" s="29"/>
      <c r="D31" s="29"/>
      <c r="E31" s="110"/>
      <c r="F31" s="47"/>
      <c r="G31" s="47"/>
      <c r="H31" s="47"/>
      <c r="I31" s="99"/>
      <c r="J31" s="99"/>
      <c r="K31" s="100"/>
      <c r="L31" s="100"/>
      <c r="N31" s="100"/>
      <c r="O31" s="100"/>
      <c r="P31" s="100"/>
      <c r="Q31" s="99"/>
      <c r="S31" s="24"/>
      <c r="T31" s="301"/>
      <c r="U31" s="11">
        <v>128</v>
      </c>
      <c r="V31" s="141"/>
      <c r="W31" s="141"/>
      <c r="X31" s="141"/>
      <c r="Y31" s="141"/>
      <c r="AA31" s="303"/>
      <c r="AB31" s="138">
        <v>850</v>
      </c>
      <c r="AC31" s="138">
        <v>64</v>
      </c>
      <c r="AD31" s="187"/>
      <c r="AE31" s="188"/>
      <c r="AF31" s="188"/>
      <c r="AG31" s="188"/>
      <c r="AH31" s="188"/>
      <c r="AI31" s="188"/>
      <c r="AJ31" s="188"/>
      <c r="AK31" s="187"/>
      <c r="AL31" s="188"/>
      <c r="AM31" s="188"/>
      <c r="AN31" s="188"/>
      <c r="AO31" s="188"/>
      <c r="AP31" s="188"/>
      <c r="AQ31" s="189"/>
    </row>
    <row r="32" spans="1:43" x14ac:dyDescent="0.25">
      <c r="A32" s="28" t="s">
        <v>228</v>
      </c>
      <c r="B32" s="70"/>
      <c r="E32" s="111"/>
      <c r="F32" s="99"/>
      <c r="G32" s="99"/>
      <c r="H32" s="99"/>
      <c r="I32" s="99"/>
      <c r="J32" s="99"/>
      <c r="K32" s="100"/>
      <c r="L32" s="100"/>
      <c r="N32" s="100"/>
      <c r="O32" s="100"/>
      <c r="P32" s="100"/>
      <c r="Q32" s="99"/>
      <c r="S32" s="24"/>
      <c r="T32" s="301"/>
      <c r="U32" s="11">
        <v>256</v>
      </c>
      <c r="V32" s="141"/>
      <c r="W32" s="141"/>
      <c r="X32" s="141"/>
      <c r="Y32" s="141"/>
      <c r="AA32" s="303"/>
      <c r="AB32" s="140">
        <v>6800</v>
      </c>
      <c r="AC32" s="140">
        <v>64</v>
      </c>
      <c r="AD32" s="190"/>
      <c r="AE32" s="191"/>
      <c r="AF32" s="191"/>
      <c r="AG32" s="191"/>
      <c r="AH32" s="191"/>
      <c r="AI32" s="191"/>
      <c r="AJ32" s="191"/>
      <c r="AK32" s="187"/>
      <c r="AL32" s="188"/>
      <c r="AM32" s="188"/>
      <c r="AN32" s="188"/>
      <c r="AO32" s="188"/>
      <c r="AP32" s="188"/>
      <c r="AQ32" s="189"/>
    </row>
    <row r="33" spans="1:43" x14ac:dyDescent="0.25">
      <c r="A33" s="28"/>
      <c r="B33" s="70"/>
      <c r="E33" s="111"/>
      <c r="F33" s="99"/>
      <c r="G33" s="99"/>
      <c r="H33" s="99"/>
      <c r="I33" s="99"/>
      <c r="J33" s="99"/>
      <c r="K33" s="100"/>
      <c r="L33" s="100"/>
      <c r="N33" s="100"/>
      <c r="O33" s="100"/>
      <c r="P33" s="100"/>
      <c r="Q33" s="99"/>
      <c r="S33" s="24"/>
      <c r="T33" s="301"/>
      <c r="U33" s="11">
        <v>512</v>
      </c>
      <c r="V33" s="141"/>
      <c r="W33" s="141"/>
      <c r="X33" s="141"/>
      <c r="Y33" s="141"/>
      <c r="AA33" s="303">
        <v>5</v>
      </c>
      <c r="AB33" s="139">
        <v>110</v>
      </c>
      <c r="AC33" s="139">
        <v>16</v>
      </c>
      <c r="AD33" s="169"/>
      <c r="AE33" s="170"/>
      <c r="AF33" s="170"/>
      <c r="AG33" s="170"/>
      <c r="AH33" s="170"/>
      <c r="AI33" s="170"/>
      <c r="AJ33" s="170"/>
      <c r="AK33" s="169"/>
      <c r="AL33" s="170"/>
      <c r="AM33" s="170"/>
      <c r="AN33" s="170"/>
      <c r="AO33" s="170"/>
      <c r="AP33" s="170"/>
      <c r="AQ33" s="171"/>
    </row>
    <row r="34" spans="1:43" ht="30" x14ac:dyDescent="0.25">
      <c r="A34" s="134"/>
      <c r="B34" s="135" t="s">
        <v>172</v>
      </c>
      <c r="C34" s="73" t="s">
        <v>173</v>
      </c>
      <c r="D34" s="216"/>
      <c r="E34" s="207" t="s">
        <v>219</v>
      </c>
      <c r="F34" s="73" t="s">
        <v>220</v>
      </c>
      <c r="G34" s="203" t="s">
        <v>221</v>
      </c>
      <c r="H34" s="203" t="s">
        <v>222</v>
      </c>
      <c r="I34" s="207" t="s">
        <v>223</v>
      </c>
      <c r="J34" s="203" t="s">
        <v>224</v>
      </c>
      <c r="K34" s="43" t="s">
        <v>225</v>
      </c>
      <c r="L34" s="203" t="s">
        <v>177</v>
      </c>
      <c r="M34" s="42" t="s">
        <v>207</v>
      </c>
      <c r="N34" s="43" t="s">
        <v>226</v>
      </c>
      <c r="O34" s="208" t="s">
        <v>227</v>
      </c>
      <c r="Q34" s="99"/>
      <c r="S34" s="24"/>
      <c r="T34" s="301"/>
      <c r="U34" s="11">
        <v>1024</v>
      </c>
      <c r="V34" s="141"/>
      <c r="W34" s="141"/>
      <c r="X34" s="141"/>
      <c r="Y34" s="141"/>
      <c r="AA34" s="303"/>
      <c r="AB34" s="138">
        <v>850</v>
      </c>
      <c r="AC34" s="138">
        <v>16</v>
      </c>
      <c r="AD34" s="160"/>
      <c r="AE34" s="24"/>
      <c r="AF34" s="24"/>
      <c r="AG34" s="24"/>
      <c r="AH34" s="24"/>
      <c r="AI34" s="24"/>
      <c r="AJ34" s="24"/>
      <c r="AK34" s="160"/>
      <c r="AL34" s="24"/>
      <c r="AM34" s="24"/>
      <c r="AN34" s="24"/>
      <c r="AO34" s="24"/>
      <c r="AP34" s="24"/>
      <c r="AQ34" s="161"/>
    </row>
    <row r="35" spans="1:43" x14ac:dyDescent="0.25">
      <c r="A35" s="134"/>
      <c r="B35" s="108">
        <v>1</v>
      </c>
      <c r="C35" s="21" t="s">
        <v>229</v>
      </c>
      <c r="E35" s="217">
        <v>0</v>
      </c>
      <c r="F35" s="218">
        <v>0</v>
      </c>
      <c r="G35" s="218">
        <v>0</v>
      </c>
      <c r="H35" s="229">
        <v>0</v>
      </c>
      <c r="I35" s="219">
        <v>24</v>
      </c>
      <c r="J35" s="220">
        <v>42</v>
      </c>
      <c r="K35" s="221">
        <v>42</v>
      </c>
      <c r="L35" s="221">
        <v>20000</v>
      </c>
      <c r="M35" s="222">
        <v>200</v>
      </c>
      <c r="N35" s="221">
        <v>24</v>
      </c>
      <c r="O35" s="223">
        <v>109</v>
      </c>
      <c r="T35" s="301"/>
      <c r="U35" s="11">
        <v>2048</v>
      </c>
      <c r="V35" s="141"/>
      <c r="W35" s="141"/>
      <c r="X35" s="141"/>
      <c r="Y35" s="141"/>
      <c r="AA35" s="303"/>
      <c r="AB35" s="138">
        <v>6800</v>
      </c>
      <c r="AC35" s="138">
        <v>16</v>
      </c>
      <c r="AD35" s="160"/>
      <c r="AE35" s="24"/>
      <c r="AF35" s="24"/>
      <c r="AG35" s="24"/>
      <c r="AH35" s="24"/>
      <c r="AI35" s="24"/>
      <c r="AJ35" s="24"/>
      <c r="AK35" s="160"/>
      <c r="AL35" s="24"/>
      <c r="AM35" s="24"/>
      <c r="AN35" s="24"/>
      <c r="AO35" s="24"/>
      <c r="AP35" s="24"/>
      <c r="AQ35" s="161"/>
    </row>
    <row r="36" spans="1:43" x14ac:dyDescent="0.25">
      <c r="A36" s="134"/>
      <c r="B36" s="108">
        <v>2</v>
      </c>
      <c r="C36" s="5" t="s">
        <v>229</v>
      </c>
      <c r="E36" s="219">
        <v>0</v>
      </c>
      <c r="F36" s="220">
        <v>0</v>
      </c>
      <c r="G36" s="220">
        <v>0</v>
      </c>
      <c r="H36" s="230">
        <v>0</v>
      </c>
      <c r="I36" s="219">
        <v>24</v>
      </c>
      <c r="J36" s="220">
        <v>42</v>
      </c>
      <c r="K36" s="221">
        <v>42</v>
      </c>
      <c r="L36" s="221">
        <v>20000</v>
      </c>
      <c r="M36" s="222">
        <v>200</v>
      </c>
      <c r="N36" s="221">
        <v>24</v>
      </c>
      <c r="O36" s="223">
        <v>109</v>
      </c>
      <c r="T36" s="302"/>
      <c r="U36" s="11">
        <v>4096</v>
      </c>
      <c r="V36" s="141"/>
      <c r="W36" s="141"/>
      <c r="X36" s="141"/>
      <c r="Y36" s="141"/>
      <c r="AA36" s="303"/>
      <c r="AB36" s="138">
        <v>110</v>
      </c>
      <c r="AC36" s="138">
        <v>64</v>
      </c>
      <c r="AD36" s="160"/>
      <c r="AE36" s="24"/>
      <c r="AF36" s="24"/>
      <c r="AG36" s="24"/>
      <c r="AH36" s="24"/>
      <c r="AI36" s="24"/>
      <c r="AJ36" s="24"/>
      <c r="AK36" s="160"/>
      <c r="AL36" s="24"/>
      <c r="AM36" s="24"/>
      <c r="AN36" s="24"/>
      <c r="AO36" s="24"/>
      <c r="AP36" s="24"/>
      <c r="AQ36" s="161"/>
    </row>
    <row r="37" spans="1:43" x14ac:dyDescent="0.25">
      <c r="A37" s="114"/>
      <c r="B37" s="108">
        <v>3</v>
      </c>
      <c r="C37" s="5" t="s">
        <v>229</v>
      </c>
      <c r="E37" s="219">
        <v>0</v>
      </c>
      <c r="F37" s="220">
        <v>0</v>
      </c>
      <c r="G37" s="220">
        <v>0</v>
      </c>
      <c r="H37" s="230">
        <v>0</v>
      </c>
      <c r="I37" s="219">
        <v>24</v>
      </c>
      <c r="J37" s="220">
        <v>42</v>
      </c>
      <c r="K37" s="221">
        <v>42</v>
      </c>
      <c r="L37" s="221">
        <v>20000</v>
      </c>
      <c r="M37" s="222">
        <v>200</v>
      </c>
      <c r="N37" s="221">
        <v>24</v>
      </c>
      <c r="O37" s="223">
        <v>109</v>
      </c>
      <c r="T37" s="300">
        <v>5</v>
      </c>
      <c r="U37" s="11">
        <v>64</v>
      </c>
      <c r="V37" s="141"/>
      <c r="W37" s="141"/>
      <c r="X37" s="141"/>
      <c r="Y37" s="141"/>
      <c r="AA37" s="303"/>
      <c r="AB37" s="138">
        <v>850</v>
      </c>
      <c r="AC37" s="138">
        <v>64</v>
      </c>
      <c r="AD37" s="160"/>
      <c r="AE37" s="24"/>
      <c r="AF37" s="24"/>
      <c r="AG37" s="24"/>
      <c r="AH37" s="24"/>
      <c r="AI37" s="24"/>
      <c r="AJ37" s="24"/>
      <c r="AK37" s="160"/>
      <c r="AL37" s="24"/>
      <c r="AM37" s="24"/>
      <c r="AN37" s="24"/>
      <c r="AO37" s="24"/>
      <c r="AP37" s="24"/>
      <c r="AQ37" s="161"/>
    </row>
    <row r="38" spans="1:43" x14ac:dyDescent="0.25">
      <c r="B38" s="108">
        <v>4</v>
      </c>
      <c r="C38" s="5" t="s">
        <v>229</v>
      </c>
      <c r="E38" s="219">
        <v>0</v>
      </c>
      <c r="F38" s="220">
        <v>0</v>
      </c>
      <c r="G38" s="220">
        <v>0</v>
      </c>
      <c r="H38" s="230">
        <v>0</v>
      </c>
      <c r="I38" s="219">
        <v>24</v>
      </c>
      <c r="J38" s="220">
        <v>42</v>
      </c>
      <c r="K38" s="221">
        <v>42</v>
      </c>
      <c r="L38" s="221">
        <v>20000</v>
      </c>
      <c r="M38" s="222">
        <v>200</v>
      </c>
      <c r="N38" s="221">
        <v>24</v>
      </c>
      <c r="O38" s="223">
        <v>109</v>
      </c>
      <c r="T38" s="301"/>
      <c r="U38" s="11">
        <v>128</v>
      </c>
      <c r="V38" s="141"/>
      <c r="W38" s="141"/>
      <c r="X38" s="141"/>
      <c r="Y38" s="141"/>
      <c r="AA38" s="303"/>
      <c r="AB38" s="140">
        <v>6800</v>
      </c>
      <c r="AC38" s="140">
        <v>64</v>
      </c>
      <c r="AD38" s="162"/>
      <c r="AE38" s="163"/>
      <c r="AF38" s="163"/>
      <c r="AG38" s="163"/>
      <c r="AH38" s="163"/>
      <c r="AI38" s="163"/>
      <c r="AJ38" s="163"/>
      <c r="AK38" s="162"/>
      <c r="AL38" s="163"/>
      <c r="AM38" s="163"/>
      <c r="AN38" s="163"/>
      <c r="AO38" s="163"/>
      <c r="AP38" s="163"/>
      <c r="AQ38" s="164"/>
    </row>
    <row r="39" spans="1:43" x14ac:dyDescent="0.25">
      <c r="B39" s="108">
        <v>5</v>
      </c>
      <c r="C39" s="5" t="s">
        <v>229</v>
      </c>
      <c r="E39" s="219">
        <v>0</v>
      </c>
      <c r="F39" s="220">
        <v>0</v>
      </c>
      <c r="G39" s="220">
        <v>0</v>
      </c>
      <c r="H39" s="230">
        <v>0</v>
      </c>
      <c r="I39" s="219">
        <v>24</v>
      </c>
      <c r="J39" s="220">
        <v>42</v>
      </c>
      <c r="K39" s="221">
        <v>42</v>
      </c>
      <c r="L39" s="221">
        <v>20000</v>
      </c>
      <c r="M39" s="112">
        <v>200</v>
      </c>
      <c r="N39" s="221">
        <v>24</v>
      </c>
      <c r="O39" s="223">
        <v>109</v>
      </c>
      <c r="T39" s="301"/>
      <c r="U39" s="11">
        <v>256</v>
      </c>
      <c r="V39" s="141"/>
      <c r="W39" s="141"/>
      <c r="X39" s="141"/>
      <c r="Y39" s="141"/>
      <c r="AA39" s="303">
        <v>7</v>
      </c>
      <c r="AB39" s="139">
        <v>110</v>
      </c>
      <c r="AC39" s="139">
        <v>16</v>
      </c>
      <c r="AD39" s="184"/>
      <c r="AE39" s="185"/>
      <c r="AF39" s="185"/>
      <c r="AG39" s="185"/>
      <c r="AH39" s="185"/>
      <c r="AI39" s="185"/>
      <c r="AJ39" s="185"/>
      <c r="AK39" s="184"/>
      <c r="AL39" s="185"/>
      <c r="AM39" s="185"/>
      <c r="AN39" s="185"/>
      <c r="AO39" s="185"/>
      <c r="AP39" s="185"/>
      <c r="AQ39" s="186"/>
    </row>
    <row r="40" spans="1:43" x14ac:dyDescent="0.25">
      <c r="B40" s="109">
        <v>7</v>
      </c>
      <c r="C40" s="33" t="s">
        <v>229</v>
      </c>
      <c r="D40" s="33"/>
      <c r="E40" s="224">
        <v>0</v>
      </c>
      <c r="F40" s="225">
        <v>0</v>
      </c>
      <c r="G40" s="225">
        <v>0</v>
      </c>
      <c r="H40" s="231">
        <v>0</v>
      </c>
      <c r="I40" s="224">
        <v>24</v>
      </c>
      <c r="J40" s="225">
        <v>42</v>
      </c>
      <c r="K40" s="226">
        <v>42</v>
      </c>
      <c r="L40" s="226">
        <v>20000</v>
      </c>
      <c r="M40" s="227">
        <v>200</v>
      </c>
      <c r="N40" s="226">
        <v>24</v>
      </c>
      <c r="O40" s="228">
        <v>109</v>
      </c>
      <c r="T40" s="301"/>
      <c r="U40" s="11">
        <v>512</v>
      </c>
      <c r="V40" s="141"/>
      <c r="W40" s="141"/>
      <c r="X40" s="141"/>
      <c r="Y40" s="141"/>
      <c r="AA40" s="303"/>
      <c r="AB40" s="138">
        <v>850</v>
      </c>
      <c r="AC40" s="138">
        <v>16</v>
      </c>
      <c r="AD40" s="187"/>
      <c r="AE40" s="188"/>
      <c r="AF40" s="188"/>
      <c r="AG40" s="188"/>
      <c r="AH40" s="188"/>
      <c r="AI40" s="188"/>
      <c r="AJ40" s="188"/>
      <c r="AK40" s="187"/>
      <c r="AL40" s="188"/>
      <c r="AM40" s="188"/>
      <c r="AN40" s="188"/>
      <c r="AO40" s="188"/>
      <c r="AP40" s="188"/>
      <c r="AQ40" s="189"/>
    </row>
    <row r="41" spans="1:43" ht="15" customHeight="1" x14ac:dyDescent="0.25">
      <c r="T41" s="301"/>
      <c r="U41" s="11">
        <v>1024</v>
      </c>
      <c r="V41" s="141"/>
      <c r="W41" s="141"/>
      <c r="X41" s="141"/>
      <c r="Y41" s="141"/>
      <c r="AA41" s="303"/>
      <c r="AB41" s="138">
        <v>6800</v>
      </c>
      <c r="AC41" s="138">
        <v>16</v>
      </c>
      <c r="AD41" s="187"/>
      <c r="AE41" s="188"/>
      <c r="AF41" s="188"/>
      <c r="AG41" s="188"/>
      <c r="AH41" s="188"/>
      <c r="AI41" s="188"/>
      <c r="AJ41" s="188"/>
      <c r="AK41" s="187"/>
      <c r="AL41" s="188"/>
      <c r="AM41" s="188"/>
      <c r="AN41" s="188"/>
      <c r="AO41" s="188"/>
      <c r="AP41" s="188"/>
      <c r="AQ41" s="189"/>
    </row>
    <row r="42" spans="1:43" x14ac:dyDescent="0.25">
      <c r="A42" s="157" t="s">
        <v>201</v>
      </c>
      <c r="B42" s="58"/>
      <c r="E42" s="25"/>
      <c r="F42" s="25"/>
      <c r="G42" s="25"/>
      <c r="H42" s="25"/>
      <c r="I42" s="25"/>
      <c r="J42" s="25"/>
      <c r="K42" s="25"/>
      <c r="L42" s="26"/>
      <c r="M42" s="26"/>
      <c r="N42" s="26"/>
      <c r="O42" s="26"/>
      <c r="T42" s="301"/>
      <c r="U42" s="11">
        <v>2048</v>
      </c>
      <c r="V42" s="141"/>
      <c r="W42" s="141"/>
      <c r="X42" s="141"/>
      <c r="Y42" s="141"/>
      <c r="AA42" s="303"/>
      <c r="AB42" s="138">
        <v>110</v>
      </c>
      <c r="AC42" s="138">
        <v>64</v>
      </c>
      <c r="AD42" s="187"/>
      <c r="AE42" s="188"/>
      <c r="AF42" s="188"/>
      <c r="AG42" s="188"/>
      <c r="AH42" s="188"/>
      <c r="AI42" s="188"/>
      <c r="AJ42" s="188"/>
      <c r="AK42" s="187"/>
      <c r="AL42" s="188"/>
      <c r="AM42" s="188"/>
      <c r="AN42" s="188"/>
      <c r="AO42" s="188"/>
      <c r="AP42" s="188"/>
      <c r="AQ42" s="189"/>
    </row>
    <row r="43" spans="1:43" x14ac:dyDescent="0.25">
      <c r="A43" s="58"/>
      <c r="B43" s="58"/>
      <c r="E43" s="25"/>
      <c r="F43" s="25"/>
      <c r="G43" s="25"/>
      <c r="H43" s="25"/>
      <c r="I43" s="25"/>
      <c r="J43" s="25"/>
      <c r="K43" s="25"/>
      <c r="L43" s="26"/>
      <c r="M43" s="26"/>
      <c r="N43" s="26"/>
      <c r="O43" s="26"/>
      <c r="T43" s="302"/>
      <c r="U43" s="11">
        <v>4096</v>
      </c>
      <c r="V43" s="141"/>
      <c r="W43" s="141"/>
      <c r="X43" s="141"/>
      <c r="Y43" s="141"/>
      <c r="AA43" s="303"/>
      <c r="AB43" s="138">
        <v>850</v>
      </c>
      <c r="AC43" s="138">
        <v>64</v>
      </c>
      <c r="AD43" s="187"/>
      <c r="AE43" s="188"/>
      <c r="AF43" s="188"/>
      <c r="AG43" s="188"/>
      <c r="AH43" s="188"/>
      <c r="AI43" s="188"/>
      <c r="AJ43" s="188"/>
      <c r="AK43" s="187"/>
      <c r="AL43" s="188"/>
      <c r="AM43" s="188"/>
      <c r="AN43" s="188"/>
      <c r="AO43" s="188"/>
      <c r="AP43" s="188"/>
      <c r="AQ43" s="189"/>
    </row>
    <row r="44" spans="1:43" ht="30" x14ac:dyDescent="0.25">
      <c r="A44" s="58"/>
      <c r="B44" s="119"/>
      <c r="C44" s="73" t="s">
        <v>173</v>
      </c>
      <c r="D44" s="42"/>
      <c r="E44" s="207" t="s">
        <v>219</v>
      </c>
      <c r="F44" s="73" t="s">
        <v>220</v>
      </c>
      <c r="G44" s="203" t="s">
        <v>221</v>
      </c>
      <c r="H44" s="203" t="s">
        <v>222</v>
      </c>
      <c r="I44" s="207" t="s">
        <v>223</v>
      </c>
      <c r="J44" s="203" t="s">
        <v>224</v>
      </c>
      <c r="K44" s="43" t="s">
        <v>225</v>
      </c>
      <c r="L44" s="203" t="s">
        <v>177</v>
      </c>
      <c r="M44" s="42" t="s">
        <v>207</v>
      </c>
      <c r="N44" s="43" t="s">
        <v>226</v>
      </c>
      <c r="O44" s="208" t="s">
        <v>227</v>
      </c>
      <c r="P44" s="16" t="s">
        <v>218</v>
      </c>
      <c r="Q44" s="206"/>
      <c r="T44" s="303">
        <v>7</v>
      </c>
      <c r="U44" s="11">
        <v>64</v>
      </c>
      <c r="V44" s="141"/>
      <c r="W44" s="141"/>
      <c r="X44" s="141"/>
      <c r="Y44" s="141"/>
      <c r="AA44" s="303"/>
      <c r="AB44" s="140">
        <v>6800</v>
      </c>
      <c r="AC44" s="140">
        <v>64</v>
      </c>
      <c r="AD44" s="190"/>
      <c r="AE44" s="191"/>
      <c r="AF44" s="191"/>
      <c r="AG44" s="191"/>
      <c r="AH44" s="191"/>
      <c r="AI44" s="191"/>
      <c r="AJ44" s="191"/>
      <c r="AK44" s="190"/>
      <c r="AL44" s="191"/>
      <c r="AM44" s="191"/>
      <c r="AN44" s="191"/>
      <c r="AO44" s="191"/>
      <c r="AP44" s="191"/>
      <c r="AQ44" s="192"/>
    </row>
    <row r="45" spans="1:43" x14ac:dyDescent="0.25">
      <c r="A45" s="58"/>
      <c r="B45" s="30"/>
      <c r="C45" s="5" t="s">
        <v>186</v>
      </c>
      <c r="E45" s="204">
        <f>VLOOKUP($D$4,$B$24:$E$30,4)</f>
        <v>4</v>
      </c>
      <c r="F45" s="110">
        <f>IF($D$6="Yes",VLOOKUP($D$4,$B$25:$O$30,5)/$D$12,VLOOKUP($D$4,$B$25:$O$30,5))</f>
        <v>6.0606060606060606</v>
      </c>
      <c r="G45" s="110">
        <f>IF($D$6="Yes",VLOOKUP($D$4,$B$25:$O$30,6)/$D$12,VLOOKUP($D$4,$B$25:$O$30,6))</f>
        <v>21.81818181818182</v>
      </c>
      <c r="H45" s="120">
        <f>IF($D$6="Yes",VLOOKUP($D$4,$B$25:$O$30,7)/$D$12,VLOOKUP($D$4,$B$25:$O$30,7))</f>
        <v>27.272727272727273</v>
      </c>
      <c r="I45" s="110">
        <f>IF($D$6="Yes",VLOOKUP($D$4,$B$25:$O$30,8)/$D$12,VLOOKUP($D$4,$B$25:$O$30,8))</f>
        <v>8.4848484848484844</v>
      </c>
      <c r="J45" s="110">
        <f>IF($D$6="Yes",VLOOKUP($D$4,$B$25:$O$30,9)/$D$12,VLOOKUP($D$4,$B$25:$O$30,9))</f>
        <v>11.212121212121213</v>
      </c>
      <c r="K45" s="110">
        <f>IF($D$6="Yes",VLOOKUP($D$4,$B$25:$O$30,10)/$D$12,VLOOKUP($D$4,$B$25:$O$30,10))</f>
        <v>12.121212121212121</v>
      </c>
      <c r="L45" s="110">
        <f>IF($D$6="Yes",VLOOKUP($D$4,$B$25:$O$30,11)/$D$12,VLOOKUP($D$4,$B$25:$O$30,11))</f>
        <v>23.030303030303031</v>
      </c>
      <c r="M45" s="110">
        <f>IF($D$6="Yes",VLOOKUP($D$4,$B$25:$O$30,12)/$D$12,VLOOKUP($D$4,$B$25:$O$30,12))</f>
        <v>13.333333333333334</v>
      </c>
      <c r="N45" s="110">
        <f>IF($D$6="Yes",VLOOKUP($D$4,$B$25:$O$30,13)/$D$12,VLOOKUP($D$4,$B$25:$O$30,13))</f>
        <v>12.121212121212121</v>
      </c>
      <c r="O45" s="110">
        <f>VLOOKUP($D$4,$B$25:$O$30,14)</f>
        <v>18</v>
      </c>
      <c r="P45" s="214">
        <f>SUM(I45:O45)+F45</f>
        <v>104.36363636363636</v>
      </c>
      <c r="Q45" s="99"/>
      <c r="T45" s="303"/>
      <c r="U45" s="11">
        <v>128</v>
      </c>
      <c r="V45" s="141"/>
      <c r="W45" s="141"/>
      <c r="X45" s="141"/>
      <c r="Y45" s="141"/>
      <c r="AA45" s="29"/>
      <c r="AB45" s="121"/>
      <c r="AC45" s="121"/>
      <c r="AD45" s="170"/>
      <c r="AE45" s="170"/>
      <c r="AF45" s="170"/>
      <c r="AG45" s="170"/>
      <c r="AH45" s="170"/>
      <c r="AI45" s="170"/>
      <c r="AJ45" s="170"/>
      <c r="AK45" s="170"/>
      <c r="AL45" s="170"/>
      <c r="AM45" s="170"/>
      <c r="AN45" s="170"/>
      <c r="AO45" s="170"/>
      <c r="AP45" s="170"/>
      <c r="AQ45" s="170"/>
    </row>
    <row r="46" spans="1:43" x14ac:dyDescent="0.25">
      <c r="A46" s="58"/>
      <c r="B46" s="30"/>
      <c r="C46" s="5" t="s">
        <v>230</v>
      </c>
      <c r="E46" s="219">
        <f>VLOOKUP($D$4,$B$34:$E$40,4)</f>
        <v>0</v>
      </c>
      <c r="F46" s="220">
        <f>IF($D$6="Yes",VLOOKUP($D$4,$B$35:$O$40,5)/$D$12,VLOOKUP($D$4,$B$35:$O$40,5))</f>
        <v>0</v>
      </c>
      <c r="G46" s="220">
        <f>IF($D$6="Yes",VLOOKUP($D$4,$B$35:$O$40,6)/$D$12,VLOOKUP($D$4,$B$35:$O$40,6))</f>
        <v>0</v>
      </c>
      <c r="H46" s="230">
        <f>IF($D$6="Yes",VLOOKUP($D$4,$B$35:$O$40,7)/$D$12,VLOOKUP($D$4,$B$35:$O$40,7))</f>
        <v>0</v>
      </c>
      <c r="I46" s="219">
        <f>IF($D$6="Yes",VLOOKUP($D$4,$B$35:$O$40,8)/$D$12,VLOOKUP($D$4,$B$35:$O$40,8))</f>
        <v>14.545454545454547</v>
      </c>
      <c r="J46" s="220">
        <f>IF($D$6="Yes",VLOOKUP($D$4,$B$35:$O$40,9)/$D$12,VLOOKUP($D$4,$B$35:$O$40,9))</f>
        <v>25.454545454545457</v>
      </c>
      <c r="K46" s="220">
        <f>IF($D$6="Yes",VLOOKUP($D$4,$B$35:$O$40,10)/$D$12,VLOOKUP($D$4,$B$35:$O$40,10))</f>
        <v>25.454545454545457</v>
      </c>
      <c r="L46" s="220">
        <f>IF($D$6="Yes",VLOOKUP($D$4,$B$35:$O$40,11)/$D$12,VLOOKUP($D$4,$B$35:$O$40,11))</f>
        <v>12121.212121212122</v>
      </c>
      <c r="M46" s="220">
        <f>IF($D$6="Yes",VLOOKUP($D$4,$B$35:$O$40,12)/$D$12,VLOOKUP($D$4,$B$35:$O$40,12))</f>
        <v>121.21212121212122</v>
      </c>
      <c r="N46" s="220">
        <f>IF($D$6="Yes",VLOOKUP($D$4,$B$35:$O$40,13)/$D$12,VLOOKUP($D$4,$B$35:$O$40,13))</f>
        <v>14.545454545454547</v>
      </c>
      <c r="O46" s="230">
        <f>IF($D$6="Yes",VLOOKUP($D$4,$B$35:$O$40,14)/$D$12,VLOOKUP($D$4,$B$35:$O$40,14))</f>
        <v>66.060606060606062</v>
      </c>
      <c r="P46" s="214"/>
      <c r="T46" s="303"/>
      <c r="U46" s="11">
        <v>256</v>
      </c>
      <c r="V46" s="141"/>
      <c r="W46" s="141"/>
      <c r="X46" s="141"/>
      <c r="Y46" s="141"/>
      <c r="AD46" s="24"/>
      <c r="AE46" s="24"/>
      <c r="AF46" s="24"/>
      <c r="AG46" s="24"/>
      <c r="AH46" s="24"/>
      <c r="AI46" s="24"/>
      <c r="AJ46" s="24"/>
      <c r="AK46" s="24"/>
      <c r="AL46" s="24"/>
      <c r="AM46" s="24"/>
      <c r="AN46" s="24"/>
      <c r="AO46" s="24"/>
      <c r="AP46" s="24"/>
      <c r="AQ46" s="24"/>
    </row>
    <row r="47" spans="1:43" x14ac:dyDescent="0.25">
      <c r="A47" s="58"/>
      <c r="B47" s="32"/>
      <c r="C47" s="33"/>
      <c r="D47" s="33"/>
      <c r="E47" s="45"/>
      <c r="F47" s="34"/>
      <c r="G47" s="34"/>
      <c r="H47" s="35"/>
      <c r="I47" s="45"/>
      <c r="J47" s="34"/>
      <c r="K47" s="34"/>
      <c r="L47" s="34"/>
      <c r="M47" s="232"/>
      <c r="N47" s="232"/>
      <c r="O47" s="233"/>
      <c r="P47" s="60"/>
      <c r="T47" s="303"/>
      <c r="U47" s="11"/>
      <c r="V47" s="141"/>
      <c r="W47" s="141"/>
      <c r="X47" s="141"/>
      <c r="Y47" s="141"/>
      <c r="AD47" s="24"/>
      <c r="AE47" s="24"/>
      <c r="AF47" s="24"/>
      <c r="AG47" s="24"/>
      <c r="AH47" s="24"/>
      <c r="AI47" s="24"/>
      <c r="AJ47" s="24"/>
      <c r="AK47" s="24"/>
      <c r="AL47" s="24"/>
      <c r="AM47" s="24"/>
      <c r="AN47" s="24"/>
      <c r="AO47" s="24"/>
      <c r="AP47" s="24"/>
      <c r="AQ47" s="24"/>
    </row>
    <row r="48" spans="1:43" x14ac:dyDescent="0.25">
      <c r="A48" s="58"/>
      <c r="B48" s="118"/>
      <c r="C48" s="29"/>
      <c r="D48" s="29"/>
      <c r="E48" s="113"/>
      <c r="F48" s="113"/>
      <c r="G48" s="113"/>
      <c r="H48" s="113"/>
      <c r="I48" s="113"/>
      <c r="J48" s="113"/>
      <c r="K48" s="113"/>
      <c r="L48" s="113"/>
      <c r="M48" s="26"/>
      <c r="N48" s="26"/>
      <c r="O48" s="26"/>
      <c r="T48" s="303"/>
      <c r="U48" s="11"/>
      <c r="V48" s="141"/>
      <c r="W48" s="141"/>
      <c r="X48" s="141"/>
      <c r="Y48" s="141"/>
      <c r="AD48" s="24"/>
      <c r="AE48" s="24"/>
      <c r="AF48" s="24"/>
      <c r="AG48" s="24"/>
      <c r="AH48" s="24"/>
      <c r="AI48" s="24"/>
      <c r="AJ48" s="24"/>
      <c r="AK48" s="24"/>
      <c r="AL48" s="24"/>
      <c r="AM48" s="24"/>
      <c r="AN48" s="24"/>
      <c r="AO48" s="24"/>
      <c r="AP48" s="24"/>
      <c r="AQ48" s="24"/>
    </row>
    <row r="49" spans="1:43" x14ac:dyDescent="0.25">
      <c r="A49" s="58"/>
      <c r="B49" s="58"/>
      <c r="E49" s="25"/>
      <c r="F49" s="25"/>
      <c r="G49" s="25"/>
      <c r="H49" s="25"/>
      <c r="I49" s="25"/>
      <c r="J49" s="25"/>
      <c r="K49" s="25"/>
      <c r="L49" s="25"/>
      <c r="M49" s="26"/>
      <c r="N49" s="26"/>
      <c r="O49" s="26"/>
      <c r="T49" s="303"/>
      <c r="U49" s="11">
        <v>512</v>
      </c>
      <c r="V49" s="141"/>
      <c r="W49" s="141"/>
      <c r="X49" s="141"/>
      <c r="Y49" s="141"/>
      <c r="AD49" s="24"/>
      <c r="AE49" s="24"/>
      <c r="AF49" s="24"/>
      <c r="AG49" s="24"/>
      <c r="AH49" s="24"/>
      <c r="AI49" s="24"/>
      <c r="AJ49" s="24"/>
      <c r="AK49" s="24"/>
      <c r="AL49" s="24"/>
      <c r="AM49" s="24"/>
      <c r="AN49" s="24"/>
      <c r="AO49" s="24"/>
      <c r="AP49" s="24"/>
      <c r="AQ49" s="24"/>
    </row>
    <row r="50" spans="1:43" x14ac:dyDescent="0.25">
      <c r="A50" s="58"/>
      <c r="B50" s="58"/>
      <c r="E50" s="25"/>
      <c r="F50" s="25"/>
      <c r="G50" s="25"/>
      <c r="H50" s="25"/>
      <c r="I50" s="25"/>
      <c r="J50" s="25"/>
      <c r="K50" s="25"/>
      <c r="L50" s="26"/>
      <c r="M50" s="26"/>
      <c r="N50" s="26"/>
      <c r="O50" s="26"/>
      <c r="T50" s="303"/>
      <c r="U50" s="11">
        <v>1024</v>
      </c>
      <c r="V50" s="141"/>
      <c r="W50" s="141"/>
      <c r="X50" s="141"/>
      <c r="Y50" s="141"/>
      <c r="AD50" s="24"/>
      <c r="AE50" s="24"/>
      <c r="AF50" s="24"/>
      <c r="AG50" s="24"/>
      <c r="AH50" s="24"/>
      <c r="AI50" s="24"/>
      <c r="AJ50" s="24"/>
      <c r="AK50" s="24"/>
      <c r="AL50" s="24"/>
      <c r="AM50" s="24"/>
      <c r="AN50" s="24"/>
      <c r="AO50" s="24"/>
      <c r="AP50" s="24"/>
      <c r="AQ50" s="24"/>
    </row>
    <row r="51" spans="1:43" x14ac:dyDescent="0.25">
      <c r="A51" s="59" t="s">
        <v>205</v>
      </c>
      <c r="B51" s="58"/>
      <c r="F51" s="25"/>
      <c r="G51" s="25"/>
      <c r="H51" s="25"/>
      <c r="I51" s="25"/>
      <c r="J51" s="25"/>
      <c r="K51" s="25"/>
      <c r="L51" s="26"/>
      <c r="M51" s="26"/>
      <c r="N51" s="26"/>
      <c r="O51" s="26"/>
      <c r="R51" s="27"/>
      <c r="S51" s="27"/>
      <c r="T51" s="303"/>
      <c r="U51" s="11">
        <v>2048</v>
      </c>
      <c r="V51" s="141"/>
      <c r="W51" s="141"/>
      <c r="X51" s="141"/>
      <c r="Y51" s="141"/>
      <c r="AD51" s="24"/>
      <c r="AE51" s="24"/>
      <c r="AF51" s="24"/>
      <c r="AG51" s="24"/>
      <c r="AH51" s="24"/>
      <c r="AI51" s="24"/>
      <c r="AJ51" s="24"/>
      <c r="AK51" s="24"/>
      <c r="AL51" s="24"/>
      <c r="AM51" s="24"/>
      <c r="AN51" s="24"/>
      <c r="AO51" s="24"/>
      <c r="AP51" s="24"/>
      <c r="AQ51" s="24"/>
    </row>
    <row r="52" spans="1:43" x14ac:dyDescent="0.25">
      <c r="A52" s="58"/>
      <c r="B52" s="58"/>
      <c r="E52" s="25"/>
      <c r="F52" s="25"/>
      <c r="G52" s="25"/>
      <c r="H52" s="25"/>
      <c r="I52" s="25"/>
      <c r="J52" s="25"/>
      <c r="K52" s="25"/>
      <c r="L52" s="26"/>
      <c r="M52" s="26"/>
      <c r="N52" s="26"/>
      <c r="O52" s="26"/>
      <c r="R52" s="27"/>
      <c r="S52" s="27"/>
      <c r="T52" s="303"/>
      <c r="U52" s="140">
        <v>4096</v>
      </c>
      <c r="V52" s="142"/>
      <c r="W52" s="142"/>
      <c r="X52" s="142"/>
      <c r="Y52" s="142"/>
      <c r="AD52" s="24"/>
      <c r="AE52" s="24"/>
      <c r="AF52" s="24"/>
      <c r="AG52" s="24"/>
      <c r="AH52" s="24"/>
      <c r="AI52" s="24"/>
      <c r="AJ52" s="24"/>
      <c r="AK52" s="24"/>
      <c r="AL52" s="24"/>
      <c r="AM52" s="24"/>
      <c r="AN52" s="24"/>
      <c r="AO52" s="24"/>
      <c r="AP52" s="24"/>
      <c r="AQ52" s="24"/>
    </row>
    <row r="53" spans="1:43" ht="30.75" thickBot="1" x14ac:dyDescent="0.3">
      <c r="A53" s="127"/>
      <c r="B53" s="127"/>
      <c r="C53" s="70"/>
      <c r="D53" s="94"/>
      <c r="E53" s="56" t="s">
        <v>174</v>
      </c>
      <c r="F53" s="207" t="s">
        <v>223</v>
      </c>
      <c r="G53" s="203" t="s">
        <v>224</v>
      </c>
      <c r="H53" s="43" t="s">
        <v>225</v>
      </c>
      <c r="I53" s="203" t="s">
        <v>177</v>
      </c>
      <c r="J53" s="42" t="s">
        <v>207</v>
      </c>
      <c r="K53" s="43" t="s">
        <v>226</v>
      </c>
      <c r="L53" s="208" t="s">
        <v>227</v>
      </c>
      <c r="M53" s="57" t="s">
        <v>211</v>
      </c>
      <c r="N53" s="22"/>
      <c r="O53" s="22"/>
      <c r="R53" s="27"/>
      <c r="S53" s="27"/>
    </row>
    <row r="54" spans="1:43" ht="15.75" thickBot="1" x14ac:dyDescent="0.3">
      <c r="A54" s="127"/>
      <c r="B54" s="127"/>
      <c r="D54" s="94"/>
      <c r="E54" s="235">
        <f>E45+F45+G45</f>
        <v>31.878787878787882</v>
      </c>
      <c r="F54" s="129">
        <f t="shared" ref="F54:L54" si="1">I45</f>
        <v>8.4848484848484844</v>
      </c>
      <c r="G54" s="129">
        <f t="shared" si="1"/>
        <v>11.212121212121213</v>
      </c>
      <c r="H54" s="129">
        <f t="shared" si="1"/>
        <v>12.121212121212121</v>
      </c>
      <c r="I54" s="129">
        <f t="shared" si="1"/>
        <v>23.030303030303031</v>
      </c>
      <c r="J54" s="129">
        <f t="shared" si="1"/>
        <v>13.333333333333334</v>
      </c>
      <c r="K54" s="129">
        <f t="shared" si="1"/>
        <v>12.121212121212121</v>
      </c>
      <c r="L54" s="130">
        <f t="shared" si="1"/>
        <v>18</v>
      </c>
      <c r="M54" s="143">
        <f>SUM(E54:L54)</f>
        <v>130.18181818181819</v>
      </c>
      <c r="N54" s="22"/>
      <c r="O54" s="22"/>
      <c r="R54" s="27"/>
      <c r="S54" s="27"/>
    </row>
    <row r="55" spans="1:43" x14ac:dyDescent="0.25">
      <c r="A55" s="58"/>
      <c r="B55" s="58"/>
      <c r="E55" s="25"/>
      <c r="F55" s="25"/>
      <c r="G55" s="25"/>
      <c r="H55" s="25"/>
      <c r="I55" s="25"/>
      <c r="J55" s="25"/>
      <c r="K55" s="25"/>
      <c r="L55" s="26"/>
      <c r="M55" s="26"/>
      <c r="N55" s="26"/>
      <c r="O55" s="26"/>
      <c r="R55" s="27"/>
      <c r="S55" s="27"/>
    </row>
    <row r="56" spans="1:43" x14ac:dyDescent="0.25">
      <c r="A56" s="59" t="s">
        <v>212</v>
      </c>
      <c r="B56" s="58"/>
      <c r="E56" s="21" t="s">
        <v>231</v>
      </c>
      <c r="F56" s="25"/>
      <c r="G56" s="25"/>
      <c r="H56" s="25"/>
      <c r="I56" s="25"/>
      <c r="J56" s="25"/>
      <c r="K56" s="25"/>
      <c r="L56" s="26"/>
      <c r="M56" s="26"/>
      <c r="N56" s="26"/>
      <c r="O56" s="26"/>
      <c r="R56" s="27"/>
      <c r="S56" s="27"/>
    </row>
    <row r="57" spans="1:43" x14ac:dyDescent="0.25">
      <c r="E57" s="22"/>
      <c r="F57" s="22"/>
      <c r="G57" s="22"/>
      <c r="H57" s="22"/>
      <c r="I57" s="22"/>
      <c r="J57" s="22"/>
      <c r="K57" s="22"/>
      <c r="L57" s="22"/>
      <c r="M57" s="22"/>
      <c r="N57" s="22"/>
      <c r="O57" s="22"/>
      <c r="R57" s="27"/>
      <c r="S57" s="27"/>
    </row>
    <row r="58" spans="1:43" ht="30.75" thickBot="1" x14ac:dyDescent="0.3">
      <c r="A58" s="127"/>
      <c r="B58" s="127"/>
      <c r="C58" s="70"/>
      <c r="D58" s="94"/>
      <c r="E58" s="56" t="s">
        <v>174</v>
      </c>
      <c r="F58" s="207" t="s">
        <v>223</v>
      </c>
      <c r="G58" s="203" t="s">
        <v>224</v>
      </c>
      <c r="H58" s="43" t="s">
        <v>225</v>
      </c>
      <c r="I58" s="203" t="s">
        <v>177</v>
      </c>
      <c r="J58" s="42" t="s">
        <v>207</v>
      </c>
      <c r="K58" s="43" t="s">
        <v>226</v>
      </c>
      <c r="L58" s="208" t="s">
        <v>227</v>
      </c>
      <c r="M58" s="57" t="s">
        <v>214</v>
      </c>
      <c r="N58" s="22"/>
      <c r="O58" s="22"/>
      <c r="R58" s="27"/>
      <c r="S58" s="27"/>
    </row>
    <row r="59" spans="1:43" ht="15.75" thickBot="1" x14ac:dyDescent="0.3">
      <c r="A59" s="127"/>
      <c r="B59" s="127"/>
      <c r="D59" s="94"/>
      <c r="E59" s="235">
        <f>E45+F45+H45</f>
        <v>37.333333333333336</v>
      </c>
      <c r="F59" s="129">
        <f>I45*MIN((2*(DCALC!$C$32+DCALC!$C$51+RXICALC!I46)/(1/DCALC!$C$30/1000)), 1)</f>
        <v>8.4848484848484844</v>
      </c>
      <c r="G59" s="129">
        <f>J45*MIN((2*(DCALC!$C$32+DCALC!$C$51+RXICALC!J46)/(1/DCALC!$C$30/1000)), 1)</f>
        <v>11.212121212121213</v>
      </c>
      <c r="H59" s="129">
        <f>K45*MIN((2*(DCALC!$C$32+DCALC!$C$51+RXICALC!K46)/(1/DCALC!$C$30/1000)), 1)</f>
        <v>12.121212121212121</v>
      </c>
      <c r="I59" s="129">
        <f>L45*MIN((2*(DCALC!$C$32+DCALC!$C$51+RXICALC!L46)/(1/DCALC!$C$30/1000)), 1)</f>
        <v>23.030303030303031</v>
      </c>
      <c r="J59" s="129">
        <f>M45*MIN((2*(DCALC!$C$32+DCALC!$C$51+RXICALC!M46)/(1/DCALC!$C$30/1000)), 1)</f>
        <v>13.333333333333334</v>
      </c>
      <c r="K59" s="129">
        <f>N45*MIN((2*(DCALC!$C$32+DCALC!$C$51+RXICALC!N46)/(1/DCALC!$C$30/1000)), 1)</f>
        <v>12.121212121212121</v>
      </c>
      <c r="L59" s="129">
        <f>O45*MIN((2*(DCALC!$C$32+DCALC!$C$51+RXICALC!O46)/(1/DCALC!$C$30/1000)), 1)</f>
        <v>18</v>
      </c>
      <c r="M59" s="143">
        <f>SUM(E59:L59)</f>
        <v>135.63636363636363</v>
      </c>
      <c r="N59" s="22"/>
      <c r="O59" s="22"/>
      <c r="R59" s="27"/>
      <c r="S59" s="27"/>
    </row>
    <row r="60" spans="1:43" x14ac:dyDescent="0.25">
      <c r="R60" s="27"/>
      <c r="S60" s="27"/>
    </row>
    <row r="61" spans="1:43" x14ac:dyDescent="0.25">
      <c r="R61" s="27"/>
      <c r="S61" s="27"/>
    </row>
    <row r="62" spans="1:43" x14ac:dyDescent="0.25">
      <c r="R62" s="27"/>
      <c r="S62" s="27"/>
    </row>
    <row r="63" spans="1:43" x14ac:dyDescent="0.25">
      <c r="R63" s="27"/>
      <c r="S63" s="27"/>
    </row>
    <row r="64" spans="1:43" x14ac:dyDescent="0.25">
      <c r="E64" s="236">
        <v>31.878787878787882</v>
      </c>
      <c r="F64" s="236">
        <v>8.4848484848484844</v>
      </c>
      <c r="G64" s="236">
        <v>11.212121212121213</v>
      </c>
      <c r="H64" s="236">
        <v>12.121212121212121</v>
      </c>
      <c r="I64" s="236">
        <v>20.606060606060606</v>
      </c>
      <c r="J64" s="236">
        <v>9.6969696969696972</v>
      </c>
      <c r="K64" s="236">
        <v>12.121212121212121</v>
      </c>
      <c r="L64" s="236">
        <v>18</v>
      </c>
      <c r="M64" s="236">
        <v>124.12121212121214</v>
      </c>
    </row>
    <row r="65" spans="1:19" s="5" customFormat="1" x14ac:dyDescent="0.25"/>
    <row r="66" spans="1:19" s="5" customFormat="1" x14ac:dyDescent="0.25">
      <c r="R66" s="27"/>
      <c r="S66" s="27"/>
    </row>
    <row r="67" spans="1:19" s="5" customFormat="1" x14ac:dyDescent="0.25">
      <c r="E67" s="236">
        <v>37.333333333333336</v>
      </c>
      <c r="F67" s="236">
        <v>8.4848484848484844</v>
      </c>
      <c r="G67" s="236">
        <v>11.212121212121213</v>
      </c>
      <c r="H67" s="236">
        <v>12.121212121212121</v>
      </c>
      <c r="I67" s="236">
        <v>20.606060606060606</v>
      </c>
      <c r="J67" s="236">
        <v>9.6969696969696972</v>
      </c>
      <c r="K67" s="236">
        <v>12.121212121212121</v>
      </c>
      <c r="L67" s="236">
        <v>18</v>
      </c>
      <c r="M67" s="236">
        <v>129.57575757575756</v>
      </c>
      <c r="R67" s="27"/>
      <c r="S67" s="27"/>
    </row>
    <row r="68" spans="1:19" s="5" customFormat="1" x14ac:dyDescent="0.25"/>
    <row r="69" spans="1:19" s="5" customFormat="1" x14ac:dyDescent="0.25"/>
    <row r="70" spans="1:19" s="5" customFormat="1" x14ac:dyDescent="0.25"/>
    <row r="72" spans="1:19" s="5" customFormat="1" x14ac:dyDescent="0.25">
      <c r="E72" s="24"/>
      <c r="F72" s="24"/>
      <c r="G72" s="24"/>
      <c r="H72" s="24"/>
      <c r="I72" s="24"/>
      <c r="J72" s="24"/>
      <c r="K72" s="24"/>
      <c r="L72" s="24"/>
      <c r="M72" s="24"/>
    </row>
    <row r="79" spans="1:19" x14ac:dyDescent="0.25">
      <c r="A79" s="28" t="s">
        <v>192</v>
      </c>
      <c r="B79" s="58"/>
      <c r="F79" s="25"/>
      <c r="G79" s="25"/>
      <c r="H79" s="25"/>
      <c r="I79" s="25"/>
      <c r="J79" s="25"/>
      <c r="K79" s="25"/>
      <c r="L79" s="25"/>
      <c r="M79" s="26"/>
      <c r="N79" s="112"/>
      <c r="P79" s="112"/>
    </row>
    <row r="80" spans="1:19" x14ac:dyDescent="0.25">
      <c r="A80" s="114"/>
      <c r="B80" s="58"/>
      <c r="F80" s="25"/>
      <c r="G80" s="25"/>
      <c r="H80" s="25"/>
      <c r="I80" s="25"/>
      <c r="J80" s="25"/>
      <c r="K80" s="25"/>
      <c r="L80" s="25"/>
      <c r="M80" s="26"/>
      <c r="N80" s="112"/>
      <c r="P80" s="112"/>
    </row>
    <row r="81" spans="1:16" ht="30" x14ac:dyDescent="0.25">
      <c r="A81" s="134"/>
      <c r="B81" s="16" t="s">
        <v>157</v>
      </c>
      <c r="C81" s="73" t="s">
        <v>173</v>
      </c>
      <c r="D81" s="147" t="s">
        <v>193</v>
      </c>
      <c r="E81" s="52"/>
      <c r="F81" s="145" t="s">
        <v>175</v>
      </c>
      <c r="G81" s="43" t="s">
        <v>176</v>
      </c>
      <c r="H81" s="43" t="s">
        <v>177</v>
      </c>
      <c r="I81" s="43" t="s">
        <v>178</v>
      </c>
      <c r="J81" s="43" t="s">
        <v>179</v>
      </c>
      <c r="K81" s="43" t="s">
        <v>180</v>
      </c>
      <c r="L81" s="144" t="s">
        <v>181</v>
      </c>
      <c r="M81" s="26"/>
      <c r="N81" s="299" t="s">
        <v>173</v>
      </c>
      <c r="O81" s="299"/>
      <c r="P81" s="152" t="s">
        <v>6</v>
      </c>
    </row>
    <row r="82" spans="1:16" x14ac:dyDescent="0.25">
      <c r="A82" s="134"/>
      <c r="B82" s="108">
        <v>1</v>
      </c>
      <c r="C82" s="272" t="s">
        <v>194</v>
      </c>
      <c r="D82" s="53" t="s">
        <v>195</v>
      </c>
      <c r="E82" s="53"/>
      <c r="F82" s="44">
        <f t="shared" ref="F82:L84" si="2">$P$82+F$35+F$36</f>
        <v>4</v>
      </c>
      <c r="G82" s="25">
        <f t="shared" si="2"/>
        <v>4</v>
      </c>
      <c r="H82" s="25">
        <f t="shared" si="2"/>
        <v>4</v>
      </c>
      <c r="I82" s="25">
        <f t="shared" si="2"/>
        <v>52</v>
      </c>
      <c r="J82" s="25">
        <f t="shared" si="2"/>
        <v>88</v>
      </c>
      <c r="K82" s="25">
        <f t="shared" si="2"/>
        <v>88</v>
      </c>
      <c r="L82" s="31">
        <f t="shared" si="2"/>
        <v>40004</v>
      </c>
      <c r="M82" s="26"/>
      <c r="N82" s="61" t="s">
        <v>189</v>
      </c>
      <c r="O82" s="29"/>
      <c r="P82" s="63">
        <v>4</v>
      </c>
    </row>
    <row r="83" spans="1:16" x14ac:dyDescent="0.25">
      <c r="A83" s="134"/>
      <c r="B83" s="108">
        <v>2</v>
      </c>
      <c r="C83" s="272"/>
      <c r="D83" s="53" t="s">
        <v>196</v>
      </c>
      <c r="E83" s="53"/>
      <c r="F83" s="44">
        <f t="shared" si="2"/>
        <v>4</v>
      </c>
      <c r="G83" s="25">
        <f t="shared" si="2"/>
        <v>4</v>
      </c>
      <c r="H83" s="25">
        <f t="shared" si="2"/>
        <v>4</v>
      </c>
      <c r="I83" s="25">
        <f t="shared" si="2"/>
        <v>52</v>
      </c>
      <c r="J83" s="25">
        <f t="shared" si="2"/>
        <v>88</v>
      </c>
      <c r="K83" s="25">
        <f t="shared" si="2"/>
        <v>88</v>
      </c>
      <c r="L83" s="31">
        <f t="shared" si="2"/>
        <v>40004</v>
      </c>
      <c r="M83" s="26"/>
      <c r="N83" s="62" t="s">
        <v>191</v>
      </c>
      <c r="O83" s="33"/>
      <c r="P83" s="64">
        <v>1.6</v>
      </c>
    </row>
    <row r="84" spans="1:16" x14ac:dyDescent="0.25">
      <c r="A84" s="134"/>
      <c r="B84" s="108">
        <v>3</v>
      </c>
      <c r="C84" s="272"/>
      <c r="D84" s="53" t="s">
        <v>196</v>
      </c>
      <c r="E84" s="53"/>
      <c r="F84" s="44">
        <f t="shared" si="2"/>
        <v>4</v>
      </c>
      <c r="G84" s="25">
        <f t="shared" si="2"/>
        <v>4</v>
      </c>
      <c r="H84" s="25">
        <f t="shared" si="2"/>
        <v>4</v>
      </c>
      <c r="I84" s="25">
        <f t="shared" si="2"/>
        <v>52</v>
      </c>
      <c r="J84" s="25">
        <f t="shared" si="2"/>
        <v>88</v>
      </c>
      <c r="K84" s="25">
        <f t="shared" si="2"/>
        <v>88</v>
      </c>
      <c r="L84" s="31">
        <f t="shared" si="2"/>
        <v>40004</v>
      </c>
      <c r="M84" s="26"/>
      <c r="N84" s="112"/>
      <c r="P84" s="112"/>
    </row>
    <row r="85" spans="1:16" x14ac:dyDescent="0.25">
      <c r="A85" s="134"/>
      <c r="B85" s="108">
        <v>4</v>
      </c>
      <c r="C85" s="272"/>
      <c r="D85" s="53" t="s">
        <v>197</v>
      </c>
      <c r="E85" s="53"/>
      <c r="F85" s="44">
        <f>$P$83+F35+F36</f>
        <v>1.6</v>
      </c>
      <c r="G85" s="25">
        <f>$P$83+G$35+G$36</f>
        <v>1.6</v>
      </c>
      <c r="H85" s="25">
        <f>$P$83+H35+H36</f>
        <v>1.6</v>
      </c>
      <c r="I85" s="25">
        <f>$P$83+I35+I36</f>
        <v>49.6</v>
      </c>
      <c r="J85" s="25">
        <f>$P$83+J35+J36</f>
        <v>85.6</v>
      </c>
      <c r="K85" s="25">
        <f>$P$83+K35+K36</f>
        <v>85.6</v>
      </c>
      <c r="L85" s="31">
        <f>$P$83+L35+L36</f>
        <v>40001.599999999999</v>
      </c>
      <c r="M85" s="26"/>
      <c r="N85" s="26"/>
      <c r="O85" s="26"/>
    </row>
    <row r="86" spans="1:16" x14ac:dyDescent="0.25">
      <c r="A86" s="134"/>
      <c r="B86" s="108">
        <v>5</v>
      </c>
      <c r="C86" s="272"/>
      <c r="D86" s="53" t="s">
        <v>196</v>
      </c>
      <c r="E86" s="53"/>
      <c r="F86" s="44">
        <f t="shared" ref="F86:L86" si="3">$P$82+F$35+F$36</f>
        <v>4</v>
      </c>
      <c r="G86" s="25">
        <f t="shared" si="3"/>
        <v>4</v>
      </c>
      <c r="H86" s="25">
        <f t="shared" si="3"/>
        <v>4</v>
      </c>
      <c r="I86" s="25">
        <f t="shared" si="3"/>
        <v>52</v>
      </c>
      <c r="J86" s="25">
        <f t="shared" si="3"/>
        <v>88</v>
      </c>
      <c r="K86" s="25">
        <f t="shared" si="3"/>
        <v>88</v>
      </c>
      <c r="L86" s="31">
        <f t="shared" si="3"/>
        <v>40004</v>
      </c>
      <c r="M86" s="26"/>
      <c r="N86" s="26"/>
      <c r="O86" s="26"/>
    </row>
    <row r="87" spans="1:16" x14ac:dyDescent="0.25">
      <c r="A87" s="134"/>
      <c r="B87" s="109">
        <v>7</v>
      </c>
      <c r="C87" s="298"/>
      <c r="D87" s="60" t="s">
        <v>197</v>
      </c>
      <c r="E87" s="60"/>
      <c r="F87" s="45">
        <f t="shared" ref="F87:L87" si="4">$P$83+F$35+F$36</f>
        <v>1.6</v>
      </c>
      <c r="G87" s="34">
        <f t="shared" si="4"/>
        <v>1.6</v>
      </c>
      <c r="H87" s="34">
        <f t="shared" si="4"/>
        <v>1.6</v>
      </c>
      <c r="I87" s="34">
        <f t="shared" si="4"/>
        <v>49.6</v>
      </c>
      <c r="J87" s="34">
        <f t="shared" si="4"/>
        <v>85.6</v>
      </c>
      <c r="K87" s="34">
        <f t="shared" si="4"/>
        <v>85.6</v>
      </c>
      <c r="L87" s="35">
        <f t="shared" si="4"/>
        <v>40001.599999999999</v>
      </c>
      <c r="M87" s="26"/>
      <c r="N87" s="26"/>
      <c r="O87" s="26"/>
    </row>
    <row r="88" spans="1:16" x14ac:dyDescent="0.25">
      <c r="A88" s="133"/>
      <c r="B88" s="70"/>
      <c r="C88" s="23"/>
      <c r="F88" s="25"/>
      <c r="G88" s="25"/>
      <c r="H88" s="25"/>
      <c r="I88" s="25"/>
      <c r="J88" s="25"/>
      <c r="K88" s="25"/>
      <c r="L88" s="25"/>
      <c r="M88" s="26"/>
      <c r="N88" s="26"/>
      <c r="O88" s="26"/>
    </row>
    <row r="89" spans="1:16" x14ac:dyDescent="0.25">
      <c r="A89" s="28" t="s">
        <v>198</v>
      </c>
      <c r="B89" s="70"/>
      <c r="C89" s="23"/>
      <c r="F89" s="25"/>
      <c r="G89" s="25"/>
      <c r="H89" s="25"/>
      <c r="I89" s="25"/>
      <c r="J89" s="25"/>
      <c r="K89" s="25"/>
      <c r="L89" s="25"/>
      <c r="M89" s="26"/>
      <c r="N89" s="26"/>
      <c r="O89" s="26"/>
    </row>
    <row r="90" spans="1:16" x14ac:dyDescent="0.25">
      <c r="A90" s="133"/>
      <c r="B90" s="193"/>
      <c r="C90" s="194"/>
      <c r="D90" s="33"/>
      <c r="E90" s="33"/>
      <c r="F90" s="34"/>
      <c r="G90" s="34"/>
      <c r="H90" s="34"/>
      <c r="I90" s="34"/>
      <c r="J90" s="34"/>
      <c r="K90" s="34"/>
      <c r="L90" s="34"/>
      <c r="M90" s="26"/>
      <c r="N90" s="26"/>
      <c r="O90" s="26"/>
    </row>
    <row r="91" spans="1:16" ht="30" x14ac:dyDescent="0.25">
      <c r="A91" s="134"/>
      <c r="B91" s="16" t="s">
        <v>157</v>
      </c>
      <c r="C91" s="73" t="s">
        <v>173</v>
      </c>
      <c r="D91" s="147" t="s">
        <v>193</v>
      </c>
      <c r="E91" s="52"/>
      <c r="F91" s="145" t="s">
        <v>175</v>
      </c>
      <c r="G91" s="43" t="s">
        <v>176</v>
      </c>
      <c r="H91" s="43" t="s">
        <v>177</v>
      </c>
      <c r="I91" s="43" t="s">
        <v>178</v>
      </c>
      <c r="J91" s="43" t="s">
        <v>179</v>
      </c>
      <c r="K91" s="43" t="s">
        <v>180</v>
      </c>
      <c r="L91" s="144" t="s">
        <v>181</v>
      </c>
      <c r="M91" s="26"/>
      <c r="N91" s="112"/>
      <c r="P91" s="112"/>
    </row>
    <row r="92" spans="1:16" x14ac:dyDescent="0.25">
      <c r="A92" s="134"/>
      <c r="B92" s="109" t="s">
        <v>199</v>
      </c>
      <c r="C92" s="33" t="s">
        <v>200</v>
      </c>
      <c r="D92" s="60" t="s">
        <v>195</v>
      </c>
      <c r="E92" s="60"/>
      <c r="F92" s="45">
        <f t="shared" ref="F92:L92" si="5">F36+F35</f>
        <v>0</v>
      </c>
      <c r="G92" s="34">
        <f t="shared" si="5"/>
        <v>0</v>
      </c>
      <c r="H92" s="34">
        <f t="shared" si="5"/>
        <v>0</v>
      </c>
      <c r="I92" s="34">
        <f t="shared" si="5"/>
        <v>48</v>
      </c>
      <c r="J92" s="34">
        <f t="shared" si="5"/>
        <v>84</v>
      </c>
      <c r="K92" s="34">
        <f t="shared" si="5"/>
        <v>84</v>
      </c>
      <c r="L92" s="35">
        <f t="shared" si="5"/>
        <v>40000</v>
      </c>
      <c r="M92" s="26"/>
      <c r="N92" s="26"/>
      <c r="O92" s="26"/>
    </row>
  </sheetData>
  <mergeCells count="31">
    <mergeCell ref="C82:C87"/>
    <mergeCell ref="T44:T52"/>
    <mergeCell ref="E23:H23"/>
    <mergeCell ref="I23:O23"/>
    <mergeCell ref="T9:T15"/>
    <mergeCell ref="P23:P24"/>
    <mergeCell ref="N81:O81"/>
    <mergeCell ref="AA9:AA14"/>
    <mergeCell ref="AA15:AA20"/>
    <mergeCell ref="T16:T22"/>
    <mergeCell ref="AA21:AA26"/>
    <mergeCell ref="T23:T29"/>
    <mergeCell ref="AA27:AA32"/>
    <mergeCell ref="T30:T36"/>
    <mergeCell ref="AA33:AA38"/>
    <mergeCell ref="T37:T43"/>
    <mergeCell ref="AA39:AA44"/>
    <mergeCell ref="AC6:AC8"/>
    <mergeCell ref="AD6:AJ6"/>
    <mergeCell ref="AK6:AQ6"/>
    <mergeCell ref="V7:V8"/>
    <mergeCell ref="W7:W8"/>
    <mergeCell ref="X7:X8"/>
    <mergeCell ref="Y7:Y8"/>
    <mergeCell ref="AD7:AQ7"/>
    <mergeCell ref="AB6:AB8"/>
    <mergeCell ref="T6:T8"/>
    <mergeCell ref="U6:U8"/>
    <mergeCell ref="V6:W6"/>
    <mergeCell ref="X6:Y6"/>
    <mergeCell ref="AA6:AA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
  <sheetViews>
    <sheetView zoomScale="75" zoomScaleNormal="75" workbookViewId="0">
      <selection activeCell="L4" sqref="L4"/>
    </sheetView>
  </sheetViews>
  <sheetFormatPr defaultColWidth="8.85546875" defaultRowHeight="15" x14ac:dyDescent="0.25"/>
  <cols>
    <col min="1" max="1" width="2.7109375" customWidth="1"/>
    <col min="3" max="3" width="2.7109375" customWidth="1"/>
    <col min="5" max="5" width="2.7109375" customWidth="1"/>
    <col min="6" max="6" width="10.7109375" customWidth="1"/>
    <col min="7" max="7" width="2.7109375" customWidth="1"/>
    <col min="9" max="9" width="2.7109375" customWidth="1"/>
    <col min="11" max="11" width="2.7109375" customWidth="1"/>
    <col min="13" max="13" width="2.7109375" customWidth="1"/>
  </cols>
  <sheetData>
    <row r="1" spans="1:14" ht="18.75" x14ac:dyDescent="0.3">
      <c r="A1" s="6" t="s">
        <v>232</v>
      </c>
    </row>
    <row r="3" spans="1:14" s="10" customFormat="1" ht="30" x14ac:dyDescent="0.25">
      <c r="B3" s="20" t="s">
        <v>10</v>
      </c>
      <c r="D3" s="20" t="s">
        <v>233</v>
      </c>
      <c r="F3" s="20" t="s">
        <v>19</v>
      </c>
      <c r="H3" s="20" t="s">
        <v>23</v>
      </c>
      <c r="I3" s="20"/>
      <c r="J3" s="20" t="s">
        <v>155</v>
      </c>
      <c r="L3" s="20" t="s">
        <v>234</v>
      </c>
      <c r="N3" s="20" t="s">
        <v>235</v>
      </c>
    </row>
    <row r="4" spans="1:14" x14ac:dyDescent="0.25">
      <c r="B4">
        <v>1</v>
      </c>
      <c r="D4">
        <v>110</v>
      </c>
      <c r="F4">
        <v>64</v>
      </c>
      <c r="H4">
        <v>16</v>
      </c>
      <c r="J4" s="124" t="s">
        <v>39</v>
      </c>
      <c r="L4" s="202" t="s">
        <v>53</v>
      </c>
      <c r="N4" s="202" t="s">
        <v>236</v>
      </c>
    </row>
    <row r="5" spans="1:14" x14ac:dyDescent="0.25">
      <c r="B5">
        <v>2</v>
      </c>
      <c r="D5">
        <v>850</v>
      </c>
      <c r="F5">
        <v>128</v>
      </c>
      <c r="H5">
        <v>64</v>
      </c>
      <c r="J5" s="124" t="s">
        <v>237</v>
      </c>
      <c r="L5" s="202"/>
      <c r="N5" s="202" t="s">
        <v>238</v>
      </c>
    </row>
    <row r="6" spans="1:14" x14ac:dyDescent="0.25">
      <c r="B6">
        <v>3</v>
      </c>
      <c r="D6">
        <v>6800</v>
      </c>
      <c r="F6">
        <v>256</v>
      </c>
    </row>
    <row r="7" spans="1:14" x14ac:dyDescent="0.25">
      <c r="B7">
        <v>4</v>
      </c>
      <c r="F7">
        <v>512</v>
      </c>
    </row>
    <row r="8" spans="1:14" x14ac:dyDescent="0.25">
      <c r="B8">
        <v>5</v>
      </c>
      <c r="F8">
        <v>1024</v>
      </c>
    </row>
    <row r="9" spans="1:14" x14ac:dyDescent="0.25">
      <c r="B9">
        <v>7</v>
      </c>
      <c r="F9">
        <v>2048</v>
      </c>
    </row>
    <row r="10" spans="1:14" x14ac:dyDescent="0.25">
      <c r="F10">
        <v>4096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workbookViewId="0">
      <selection activeCell="F27" sqref="F27"/>
    </sheetView>
  </sheetViews>
  <sheetFormatPr defaultColWidth="8.85546875" defaultRowHeight="15" x14ac:dyDescent="0.25"/>
  <cols>
    <col min="3" max="3" width="10.7109375" bestFit="1" customWidth="1"/>
    <col min="6" max="6" width="66.85546875" customWidth="1"/>
  </cols>
  <sheetData>
    <row r="1" spans="1:6" x14ac:dyDescent="0.25">
      <c r="A1" t="s">
        <v>239</v>
      </c>
      <c r="C1">
        <f>D18</f>
        <v>3</v>
      </c>
    </row>
    <row r="5" spans="1:6" x14ac:dyDescent="0.25">
      <c r="B5" t="s">
        <v>240</v>
      </c>
      <c r="D5">
        <v>1</v>
      </c>
      <c r="F5" t="s">
        <v>241</v>
      </c>
    </row>
    <row r="9" spans="1:6" x14ac:dyDescent="0.25">
      <c r="C9" s="263">
        <v>42307</v>
      </c>
      <c r="D9">
        <v>2</v>
      </c>
      <c r="F9" s="2" t="s">
        <v>242</v>
      </c>
    </row>
    <row r="10" spans="1:6" x14ac:dyDescent="0.25">
      <c r="F10" t="s">
        <v>243</v>
      </c>
    </row>
    <row r="11" spans="1:6" x14ac:dyDescent="0.25">
      <c r="F11" t="s">
        <v>244</v>
      </c>
    </row>
    <row r="12" spans="1:6" x14ac:dyDescent="0.25">
      <c r="F12" s="2" t="s">
        <v>245</v>
      </c>
    </row>
    <row r="13" spans="1:6" x14ac:dyDescent="0.25">
      <c r="F13" t="s">
        <v>246</v>
      </c>
    </row>
    <row r="14" spans="1:6" x14ac:dyDescent="0.25">
      <c r="F14" t="s">
        <v>247</v>
      </c>
    </row>
    <row r="15" spans="1:6" x14ac:dyDescent="0.25">
      <c r="F15" t="s">
        <v>248</v>
      </c>
    </row>
    <row r="16" spans="1:6" x14ac:dyDescent="0.25">
      <c r="F16" t="s">
        <v>249</v>
      </c>
    </row>
    <row r="18" spans="3:6" x14ac:dyDescent="0.25">
      <c r="C18" s="263">
        <v>42319</v>
      </c>
      <c r="D18">
        <v>3</v>
      </c>
      <c r="F18" t="s">
        <v>250</v>
      </c>
    </row>
    <row r="20" spans="3:6" x14ac:dyDescent="0.25">
      <c r="F20" t="s">
        <v>251</v>
      </c>
    </row>
    <row r="22" spans="3:6" x14ac:dyDescent="0.25">
      <c r="F22" t="s">
        <v>252</v>
      </c>
    </row>
    <row r="23" spans="3:6" x14ac:dyDescent="0.25">
      <c r="F23" t="s">
        <v>253</v>
      </c>
    </row>
    <row r="25" spans="3:6" x14ac:dyDescent="0.25">
      <c r="F25" t="s">
        <v>254</v>
      </c>
    </row>
    <row r="26" spans="3:6" x14ac:dyDescent="0.25">
      <c r="F26" t="s">
        <v>255</v>
      </c>
    </row>
    <row r="28" spans="3:6" ht="75" x14ac:dyDescent="0.25">
      <c r="F28" s="264" t="s">
        <v>256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TWR Exchange</vt:lpstr>
      <vt:lpstr>DCALC</vt:lpstr>
      <vt:lpstr>TXICALC</vt:lpstr>
      <vt:lpstr>RXICALC</vt:lpstr>
      <vt:lpstr>DVAL</vt:lpstr>
      <vt:lpstr>Ver Details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gogrady</dc:creator>
  <cp:keywords/>
  <dc:description/>
  <cp:lastModifiedBy>Hedgecock, Will</cp:lastModifiedBy>
  <cp:revision/>
  <dcterms:created xsi:type="dcterms:W3CDTF">2014-12-03T10:10:20Z</dcterms:created>
  <dcterms:modified xsi:type="dcterms:W3CDTF">2023-11-13T02:51:29Z</dcterms:modified>
  <cp:category/>
  <cp:contentStatus/>
</cp:coreProperties>
</file>