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theme/themeOverride1.xml" ContentType="application/vnd.openxmlformats-officedocument.themeOverride+xml"/>
  <Override PartName="/xl/drawings/drawing3.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theme/themeOverride2.xml" ContentType="application/vnd.openxmlformats-officedocument.themeOverrid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14370" yWindow="-18" windowWidth="14430" windowHeight="12828" tabRatio="888" activeTab="1"/>
  </bookViews>
  <sheets>
    <sheet name="README" sheetId="45" r:id="rId1"/>
    <sheet name="BLE - Peripheral" sheetId="10" r:id="rId2"/>
    <sheet name="BLE - Central" sheetId="33" r:id="rId3"/>
    <sheet name="Input arguments" sheetId="6" state="hidden" r:id="rId4"/>
    <sheet name="0V_None" sheetId="26" state="hidden" r:id="rId5"/>
    <sheet name="3V_LegacyAdvertisement" sheetId="11" state="hidden" r:id="rId6"/>
    <sheet name="1p8V_LegacyAdvertisement" sheetId="12" state="hidden" r:id="rId7"/>
    <sheet name="3p6V_LegacyAdvertisement" sheetId="13" state="hidden" r:id="rId8"/>
    <sheet name="1p8V_Connected" sheetId="23" state="hidden" r:id="rId9"/>
    <sheet name="3p6V_Connected" sheetId="24" state="hidden" r:id="rId10"/>
    <sheet name="3V_LongRangeS8Advertisement" sheetId="19" state="hidden" r:id="rId11"/>
    <sheet name="1p8V_LongRangeS8Advertisement" sheetId="20" state="hidden" r:id="rId12"/>
    <sheet name="3p6V_LongRangeS8Advertisement" sheetId="21" state="hidden" r:id="rId13"/>
    <sheet name="3V_LongRangeS2Advertisement" sheetId="16" state="hidden" r:id="rId14"/>
    <sheet name="1p8V_LongRangeS2Advertisement" sheetId="17" state="hidden" r:id="rId15"/>
    <sheet name="3p6V_LongRangeS2Advertisement" sheetId="18" state="hidden" r:id="rId16"/>
    <sheet name="3V_1M_ExtendedAdvertisement" sheetId="27" state="hidden" r:id="rId17"/>
    <sheet name="1p8V_1M_ExtendedAdvertisement" sheetId="28" state="hidden" r:id="rId18"/>
    <sheet name="3p6V_1M_ExtendedAdvertisement" sheetId="29" state="hidden" r:id="rId19"/>
    <sheet name="3V_2M_ExtendedAdvertisement" sheetId="30" state="hidden" r:id="rId20"/>
    <sheet name="1p8V_2M_ExtendedAdvertisement" sheetId="31" state="hidden" r:id="rId21"/>
    <sheet name="3p6V_2M_ExtendedAdvertisement" sheetId="32" state="hidden" r:id="rId22"/>
    <sheet name="3V_Connected" sheetId="22" state="hidden" r:id="rId23"/>
    <sheet name="3V_Scanning" sheetId="34" state="hidden" r:id="rId24"/>
    <sheet name="3p6V_Scanning" sheetId="38" state="hidden" r:id="rId25"/>
    <sheet name="1p8V_Scanning" sheetId="37" state="hidden" r:id="rId26"/>
    <sheet name="3V_ConnectedCentral" sheetId="39" state="hidden" r:id="rId27"/>
    <sheet name="1p8V_ConnectedCentral" sheetId="40" state="hidden" r:id="rId28"/>
    <sheet name="3p6V_ConnectedCentral" sheetId="41" state="hidden" r:id="rId29"/>
    <sheet name="3p6V_ScanResponse" sheetId="43" state="hidden" r:id="rId30"/>
    <sheet name="3V_ScanResponse" sheetId="42" state="hidden" r:id="rId31"/>
    <sheet name="1p8V_ScanResponse" sheetId="44" state="hidden" r:id="rId32"/>
    <sheet name="Notes" sheetId="14" r:id="rId33"/>
    <sheet name="DataSourceSelection - Periph" sheetId="25" state="hidden" r:id="rId34"/>
    <sheet name="DataForDisplay - Peripheral" sheetId="15" state="hidden" r:id="rId35"/>
    <sheet name="DataForDisplay - Central" sheetId="35" state="hidden" r:id="rId36"/>
    <sheet name="DataSourceSelection - Central" sheetId="36" state="hidden" r:id="rId37"/>
    <sheet name="Guide lines to update" sheetId="46" state="hidden" r:id="rId38"/>
  </sheets>
  <calcPr calcId="145621"/>
  <fileRecoveryPr repairLoad="1"/>
</workbook>
</file>

<file path=xl/calcChain.xml><?xml version="1.0" encoding="utf-8"?>
<calcChain xmlns="http://schemas.openxmlformats.org/spreadsheetml/2006/main">
  <c r="D17" i="42" l="1"/>
  <c r="D16" i="42"/>
  <c r="D10" i="22"/>
  <c r="C18" i="25"/>
  <c r="D14" i="16"/>
  <c r="D8" i="16"/>
  <c r="D8" i="11"/>
  <c r="D8" i="19"/>
  <c r="R16" i="33" l="1"/>
  <c r="K16" i="33"/>
  <c r="D16" i="33"/>
  <c r="D22" i="44" l="1"/>
  <c r="E22" i="44" s="1"/>
  <c r="D21" i="44"/>
  <c r="E21" i="44" s="1"/>
  <c r="D20" i="44"/>
  <c r="D19" i="44"/>
  <c r="D17" i="44"/>
  <c r="E17" i="44" s="1"/>
  <c r="D16" i="44"/>
  <c r="D15" i="44"/>
  <c r="E15" i="44" s="1"/>
  <c r="D14" i="44"/>
  <c r="E14" i="44" s="1"/>
  <c r="D13" i="44"/>
  <c r="E13" i="44" s="1"/>
  <c r="D11" i="44"/>
  <c r="D10" i="44"/>
  <c r="D9" i="44"/>
  <c r="E9" i="44" s="1"/>
  <c r="D7" i="44"/>
  <c r="D6" i="44"/>
  <c r="E6" i="44" s="1"/>
  <c r="E7" i="44"/>
  <c r="B25" i="44"/>
  <c r="B24" i="44"/>
  <c r="B23" i="44"/>
  <c r="C22" i="44"/>
  <c r="B22" i="44"/>
  <c r="C21" i="44"/>
  <c r="B21" i="44"/>
  <c r="E20" i="44"/>
  <c r="C20" i="44"/>
  <c r="B20" i="44"/>
  <c r="E19" i="44"/>
  <c r="C19" i="44"/>
  <c r="B19" i="44"/>
  <c r="B18" i="44"/>
  <c r="C17" i="44"/>
  <c r="B17" i="44"/>
  <c r="B16" i="44"/>
  <c r="C15" i="44"/>
  <c r="B15" i="44"/>
  <c r="C14" i="44"/>
  <c r="B14" i="44"/>
  <c r="C13" i="44"/>
  <c r="B13" i="44"/>
  <c r="B12" i="44"/>
  <c r="E11" i="44"/>
  <c r="C11" i="44"/>
  <c r="B11" i="44"/>
  <c r="E10" i="44"/>
  <c r="C10" i="44"/>
  <c r="B10" i="44"/>
  <c r="C9" i="44"/>
  <c r="B9" i="44"/>
  <c r="B8" i="44"/>
  <c r="C7" i="44"/>
  <c r="B7" i="44"/>
  <c r="C6" i="44"/>
  <c r="B6" i="44"/>
  <c r="B25" i="43"/>
  <c r="B24" i="43"/>
  <c r="B23" i="43"/>
  <c r="D22" i="43"/>
  <c r="C22" i="43"/>
  <c r="B22" i="43"/>
  <c r="D21" i="43"/>
  <c r="C21" i="43"/>
  <c r="B21" i="43"/>
  <c r="D20" i="43"/>
  <c r="C20" i="43"/>
  <c r="B20" i="43"/>
  <c r="D19" i="43"/>
  <c r="C19" i="43"/>
  <c r="E19" i="43" s="1"/>
  <c r="B19" i="43"/>
  <c r="B18" i="43"/>
  <c r="D17" i="43"/>
  <c r="E17" i="43" s="1"/>
  <c r="C17" i="43"/>
  <c r="B17" i="43"/>
  <c r="D16" i="43"/>
  <c r="B16" i="43"/>
  <c r="D15" i="43"/>
  <c r="E15" i="43" s="1"/>
  <c r="C15" i="43"/>
  <c r="B15" i="43"/>
  <c r="D14" i="43"/>
  <c r="C14" i="43"/>
  <c r="B14" i="43"/>
  <c r="D13" i="43"/>
  <c r="C13" i="43"/>
  <c r="B13" i="43"/>
  <c r="B12" i="43"/>
  <c r="D11" i="43"/>
  <c r="C11" i="43"/>
  <c r="E11" i="43" s="1"/>
  <c r="B11" i="43"/>
  <c r="D10" i="43"/>
  <c r="C10" i="43"/>
  <c r="E10" i="43" s="1"/>
  <c r="B10" i="43"/>
  <c r="D9" i="43"/>
  <c r="C9" i="43"/>
  <c r="B9" i="43"/>
  <c r="B8" i="43"/>
  <c r="D7" i="43"/>
  <c r="E7" i="43" s="1"/>
  <c r="C7" i="43"/>
  <c r="B7" i="43"/>
  <c r="D6" i="43"/>
  <c r="C6" i="43"/>
  <c r="B6" i="43"/>
  <c r="E20" i="43"/>
  <c r="E21" i="43"/>
  <c r="E22" i="43"/>
  <c r="E14" i="43"/>
  <c r="E13" i="43"/>
  <c r="E9" i="43"/>
  <c r="E6" i="43"/>
  <c r="Z23" i="33"/>
  <c r="Y23" i="33" s="1"/>
  <c r="X19" i="33"/>
  <c r="AC19" i="33"/>
  <c r="AC23" i="33" s="1"/>
  <c r="X20" i="33"/>
  <c r="AC20" i="33"/>
  <c r="X21" i="33"/>
  <c r="AC21" i="33"/>
  <c r="AC22" i="33"/>
  <c r="Z23" i="10"/>
  <c r="Y23" i="10" s="1"/>
  <c r="M128" i="15" l="1"/>
  <c r="M127" i="15"/>
  <c r="K127" i="15"/>
  <c r="M126" i="15"/>
  <c r="N91" i="15"/>
  <c r="M91" i="15"/>
  <c r="L91" i="15"/>
  <c r="M85" i="15"/>
  <c r="M84" i="15"/>
  <c r="K84" i="15"/>
  <c r="M83" i="15"/>
  <c r="N48" i="15"/>
  <c r="M48" i="15"/>
  <c r="L48" i="15"/>
  <c r="M41" i="15"/>
  <c r="K41" i="15"/>
  <c r="M42" i="15"/>
  <c r="M40" i="15"/>
  <c r="A110" i="15"/>
  <c r="A111" i="15"/>
  <c r="A24" i="15"/>
  <c r="A25" i="15"/>
  <c r="A67" i="15"/>
  <c r="A68" i="15"/>
  <c r="C16" i="42"/>
  <c r="E17" i="42"/>
  <c r="C16" i="44" l="1"/>
  <c r="E16" i="44" s="1"/>
  <c r="C16" i="43"/>
  <c r="E16" i="43" s="1"/>
  <c r="E16" i="42"/>
  <c r="D21" i="42" l="1"/>
  <c r="D20" i="42"/>
  <c r="D19" i="42"/>
  <c r="D15" i="42"/>
  <c r="D14" i="42"/>
  <c r="D13" i="42"/>
  <c r="D11" i="42"/>
  <c r="D10" i="42"/>
  <c r="D9" i="42"/>
  <c r="D7" i="42"/>
  <c r="D6" i="42"/>
  <c r="C21" i="42"/>
  <c r="C20" i="42"/>
  <c r="C19" i="42"/>
  <c r="C15" i="42"/>
  <c r="C14" i="42"/>
  <c r="C13" i="42"/>
  <c r="C11" i="42"/>
  <c r="C10" i="42"/>
  <c r="C9" i="42"/>
  <c r="C7" i="42"/>
  <c r="C6" i="42"/>
  <c r="B21" i="42"/>
  <c r="B20" i="42"/>
  <c r="B19" i="42"/>
  <c r="B18" i="42"/>
  <c r="B15" i="42"/>
  <c r="B14" i="42"/>
  <c r="B13" i="42"/>
  <c r="B12" i="42"/>
  <c r="B11" i="42"/>
  <c r="B10" i="42"/>
  <c r="B9" i="42"/>
  <c r="B8" i="42"/>
  <c r="B7" i="42"/>
  <c r="B6" i="42"/>
  <c r="E21" i="42" l="1"/>
  <c r="E20" i="42"/>
  <c r="E19" i="42"/>
  <c r="E15" i="42"/>
  <c r="E14" i="42"/>
  <c r="E13" i="42"/>
  <c r="E11" i="42"/>
  <c r="E10" i="42"/>
  <c r="E9" i="42"/>
  <c r="E7" i="42"/>
  <c r="E6" i="42"/>
  <c r="B11" i="25"/>
  <c r="D9" i="34" l="1"/>
  <c r="D11" i="41"/>
  <c r="C11" i="41"/>
  <c r="B11" i="41"/>
  <c r="D10" i="41"/>
  <c r="B10" i="41"/>
  <c r="D9" i="41"/>
  <c r="C9" i="41"/>
  <c r="B9" i="41"/>
  <c r="B8" i="41"/>
  <c r="D7" i="41"/>
  <c r="C7" i="41"/>
  <c r="E7" i="41" s="1"/>
  <c r="B7" i="41"/>
  <c r="D6" i="41"/>
  <c r="C6" i="41"/>
  <c r="B6" i="41"/>
  <c r="E11" i="41"/>
  <c r="E9" i="41"/>
  <c r="D11" i="40"/>
  <c r="C11" i="40"/>
  <c r="E11" i="40" s="1"/>
  <c r="B11" i="40"/>
  <c r="D10" i="40"/>
  <c r="B10" i="40"/>
  <c r="D9" i="40"/>
  <c r="C9" i="40"/>
  <c r="B9" i="40"/>
  <c r="B8" i="40"/>
  <c r="D7" i="40"/>
  <c r="C7" i="40"/>
  <c r="E7" i="40" s="1"/>
  <c r="B7" i="40"/>
  <c r="D6" i="40"/>
  <c r="C6" i="40"/>
  <c r="B6" i="40"/>
  <c r="E9" i="40"/>
  <c r="E6" i="40"/>
  <c r="B8" i="36"/>
  <c r="D8" i="39"/>
  <c r="D8" i="41" s="1"/>
  <c r="C8" i="39"/>
  <c r="C8" i="41" s="1"/>
  <c r="B35" i="39"/>
  <c r="B34" i="39"/>
  <c r="C10" i="39" s="1"/>
  <c r="C10" i="41" s="1"/>
  <c r="E10" i="41" s="1"/>
  <c r="E11" i="39"/>
  <c r="E9" i="39"/>
  <c r="E7" i="39"/>
  <c r="E6" i="39"/>
  <c r="F12" i="33"/>
  <c r="F11" i="10"/>
  <c r="E8" i="41" l="1"/>
  <c r="C8" i="40"/>
  <c r="D8" i="40"/>
  <c r="C10" i="40"/>
  <c r="C23" i="41"/>
  <c r="E6" i="41"/>
  <c r="E24" i="41" s="1"/>
  <c r="E25" i="41" s="1"/>
  <c r="C27" i="41" s="1"/>
  <c r="C28" i="41" s="1"/>
  <c r="C29" i="41" s="1"/>
  <c r="E10" i="39"/>
  <c r="E8" i="39"/>
  <c r="C23" i="39"/>
  <c r="D11" i="38"/>
  <c r="E11" i="38" s="1"/>
  <c r="D10" i="38"/>
  <c r="D9" i="38"/>
  <c r="D8" i="38"/>
  <c r="D6" i="38"/>
  <c r="C11" i="38"/>
  <c r="B11" i="38"/>
  <c r="E10" i="38"/>
  <c r="C10" i="38"/>
  <c r="B10" i="38"/>
  <c r="B9" i="38"/>
  <c r="E8" i="38"/>
  <c r="C8" i="38"/>
  <c r="B8" i="38"/>
  <c r="B7" i="38"/>
  <c r="E6" i="38"/>
  <c r="C6" i="38"/>
  <c r="B6" i="38"/>
  <c r="D17" i="32"/>
  <c r="D16" i="32"/>
  <c r="D15" i="32"/>
  <c r="D13" i="32"/>
  <c r="D11" i="32"/>
  <c r="D9" i="32"/>
  <c r="D7" i="32"/>
  <c r="D6" i="32"/>
  <c r="D17" i="29"/>
  <c r="D16" i="29"/>
  <c r="D15" i="29"/>
  <c r="D13" i="29"/>
  <c r="D11" i="29"/>
  <c r="D9" i="29"/>
  <c r="D7" i="29"/>
  <c r="D6" i="29"/>
  <c r="D17" i="18"/>
  <c r="D16" i="18"/>
  <c r="D15" i="18"/>
  <c r="D13" i="18"/>
  <c r="D11" i="18"/>
  <c r="D9" i="18"/>
  <c r="D7" i="18"/>
  <c r="D6" i="18"/>
  <c r="D17" i="21"/>
  <c r="D16" i="21"/>
  <c r="D15" i="21"/>
  <c r="D13" i="21"/>
  <c r="D11" i="21"/>
  <c r="D9" i="21"/>
  <c r="D7" i="21"/>
  <c r="D6" i="21"/>
  <c r="D11" i="24"/>
  <c r="D9" i="24"/>
  <c r="D8" i="24"/>
  <c r="D7" i="24"/>
  <c r="D6" i="24"/>
  <c r="D19" i="13"/>
  <c r="D18" i="13"/>
  <c r="D17" i="13"/>
  <c r="D15" i="13"/>
  <c r="D14" i="13"/>
  <c r="D13" i="13"/>
  <c r="D11" i="13"/>
  <c r="D10" i="13"/>
  <c r="D9" i="13"/>
  <c r="D7" i="13"/>
  <c r="D6" i="13"/>
  <c r="D11" i="37"/>
  <c r="E11" i="37" s="1"/>
  <c r="D10" i="37"/>
  <c r="D9" i="37"/>
  <c r="D8" i="37"/>
  <c r="D6" i="37"/>
  <c r="D17" i="31"/>
  <c r="D16" i="31"/>
  <c r="D15" i="31"/>
  <c r="D13" i="31"/>
  <c r="D11" i="31"/>
  <c r="D9" i="31"/>
  <c r="D7" i="31"/>
  <c r="D6" i="31"/>
  <c r="D17" i="28"/>
  <c r="D16" i="28"/>
  <c r="D15" i="28"/>
  <c r="D13" i="28"/>
  <c r="D11" i="28"/>
  <c r="D9" i="28"/>
  <c r="D7" i="28"/>
  <c r="D6" i="28"/>
  <c r="D17" i="17"/>
  <c r="D16" i="17"/>
  <c r="D15" i="17"/>
  <c r="D13" i="17"/>
  <c r="D11" i="17"/>
  <c r="D9" i="17"/>
  <c r="D7" i="17"/>
  <c r="D6" i="17"/>
  <c r="D17" i="20"/>
  <c r="D16" i="20"/>
  <c r="D15" i="20"/>
  <c r="D13" i="20"/>
  <c r="D11" i="20"/>
  <c r="D9" i="20"/>
  <c r="D7" i="20"/>
  <c r="D6" i="20"/>
  <c r="D11" i="23"/>
  <c r="D9" i="23"/>
  <c r="D8" i="23"/>
  <c r="D7" i="23"/>
  <c r="D6" i="23"/>
  <c r="D19" i="12"/>
  <c r="D18" i="12"/>
  <c r="D17" i="12"/>
  <c r="D15" i="12"/>
  <c r="D14" i="12"/>
  <c r="D13" i="12"/>
  <c r="D11" i="12"/>
  <c r="D10" i="12"/>
  <c r="D9" i="12"/>
  <c r="D7" i="12"/>
  <c r="D6" i="12"/>
  <c r="C11" i="37"/>
  <c r="B11" i="37"/>
  <c r="C10" i="37"/>
  <c r="B10" i="37"/>
  <c r="B9" i="37"/>
  <c r="C8" i="37"/>
  <c r="E8" i="37" s="1"/>
  <c r="B8" i="37"/>
  <c r="B7" i="37"/>
  <c r="C6" i="37"/>
  <c r="E6" i="37" s="1"/>
  <c r="B6" i="37"/>
  <c r="C33" i="34"/>
  <c r="F10" i="33"/>
  <c r="C23" i="40" l="1"/>
  <c r="E8" i="40"/>
  <c r="E10" i="40"/>
  <c r="E24" i="39"/>
  <c r="E25" i="39" s="1"/>
  <c r="E10" i="37"/>
  <c r="E24" i="40" l="1"/>
  <c r="E25" i="40" s="1"/>
  <c r="C27" i="40" s="1"/>
  <c r="C28" i="40" s="1"/>
  <c r="C29" i="40" s="1"/>
  <c r="C27" i="39"/>
  <c r="C28" i="39" s="1"/>
  <c r="C29" i="39" s="1"/>
  <c r="C26" i="36"/>
  <c r="C21" i="36"/>
  <c r="C17" i="36"/>
  <c r="C16" i="36"/>
  <c r="B6" i="36"/>
  <c r="B7" i="36"/>
  <c r="B9" i="36"/>
  <c r="B10" i="36"/>
  <c r="B11" i="36"/>
  <c r="B5" i="36"/>
  <c r="F4" i="36"/>
  <c r="E4" i="36"/>
  <c r="D4" i="36"/>
  <c r="C27" i="36" s="1"/>
  <c r="A97" i="35"/>
  <c r="A96" i="35"/>
  <c r="A95" i="35"/>
  <c r="A94" i="35"/>
  <c r="A93" i="35"/>
  <c r="A92" i="35"/>
  <c r="A91" i="35"/>
  <c r="A90" i="35"/>
  <c r="A89" i="35"/>
  <c r="A88" i="35"/>
  <c r="A87" i="35"/>
  <c r="A86" i="35"/>
  <c r="A85" i="35"/>
  <c r="A84" i="35"/>
  <c r="A60" i="35"/>
  <c r="A59" i="35"/>
  <c r="A58" i="35"/>
  <c r="A57" i="35"/>
  <c r="A56" i="35"/>
  <c r="A55" i="35"/>
  <c r="A54" i="35"/>
  <c r="A53" i="35"/>
  <c r="A52" i="35"/>
  <c r="A51" i="35"/>
  <c r="A50" i="35"/>
  <c r="A49" i="35"/>
  <c r="A48" i="35"/>
  <c r="A47" i="35"/>
  <c r="A23" i="35"/>
  <c r="A22" i="35"/>
  <c r="A21" i="35"/>
  <c r="A20" i="35"/>
  <c r="A19" i="35"/>
  <c r="A18" i="35"/>
  <c r="A17" i="35"/>
  <c r="A16" i="35"/>
  <c r="A15" i="35"/>
  <c r="A14" i="35"/>
  <c r="A13" i="35"/>
  <c r="A12" i="35"/>
  <c r="A11" i="35"/>
  <c r="A10" i="35"/>
  <c r="M111" i="35"/>
  <c r="M110" i="35" s="1"/>
  <c r="N79" i="35"/>
  <c r="M79" i="35"/>
  <c r="L79" i="35"/>
  <c r="M74" i="35"/>
  <c r="M73" i="35" s="1"/>
  <c r="N42" i="35"/>
  <c r="M42" i="35"/>
  <c r="L42" i="35"/>
  <c r="M37" i="35"/>
  <c r="M36" i="35" s="1"/>
  <c r="N5" i="35"/>
  <c r="M5" i="35"/>
  <c r="L5" i="35"/>
  <c r="C7" i="34"/>
  <c r="E6" i="34"/>
  <c r="D9" i="33"/>
  <c r="C9" i="34" s="1"/>
  <c r="Q45" i="33"/>
  <c r="J45" i="33"/>
  <c r="C45" i="33"/>
  <c r="C22" i="36" l="1"/>
  <c r="C7" i="38"/>
  <c r="C7" i="37"/>
  <c r="C37" i="34"/>
  <c r="C38" i="34" s="1"/>
  <c r="C9" i="37"/>
  <c r="E9" i="37" s="1"/>
  <c r="C9" i="38"/>
  <c r="E9" i="38" s="1"/>
  <c r="C23" i="36"/>
  <c r="C28" i="36"/>
  <c r="C18" i="36"/>
  <c r="E9" i="34"/>
  <c r="C23" i="34"/>
  <c r="E8" i="34"/>
  <c r="R16" i="10"/>
  <c r="D16" i="10"/>
  <c r="K16" i="10"/>
  <c r="D14" i="19"/>
  <c r="C45" i="30"/>
  <c r="C46" i="30"/>
  <c r="C41" i="30"/>
  <c r="C42" i="30"/>
  <c r="C43" i="30"/>
  <c r="C44" i="30"/>
  <c r="D6" i="30"/>
  <c r="D7" i="30"/>
  <c r="D9" i="30"/>
  <c r="D11" i="30"/>
  <c r="C7" i="30"/>
  <c r="C7" i="31" s="1"/>
  <c r="C8" i="30"/>
  <c r="C8" i="31" s="1"/>
  <c r="C9" i="30"/>
  <c r="C10" i="30"/>
  <c r="C11" i="30"/>
  <c r="C11" i="31" s="1"/>
  <c r="C12" i="30"/>
  <c r="C6" i="30"/>
  <c r="C6" i="32"/>
  <c r="C33" i="30"/>
  <c r="C34" i="30"/>
  <c r="C35" i="30"/>
  <c r="C36" i="30"/>
  <c r="C37" i="30"/>
  <c r="C38" i="30"/>
  <c r="B34" i="30"/>
  <c r="B35" i="30"/>
  <c r="B36" i="30"/>
  <c r="B37" i="30"/>
  <c r="B38" i="30"/>
  <c r="B33" i="30"/>
  <c r="B10" i="25"/>
  <c r="B9" i="25"/>
  <c r="C14" i="30"/>
  <c r="C17" i="32"/>
  <c r="B17" i="32"/>
  <c r="C16" i="32"/>
  <c r="E16" i="32" s="1"/>
  <c r="B16" i="32"/>
  <c r="E15" i="32"/>
  <c r="C15" i="32"/>
  <c r="B15" i="32"/>
  <c r="B14" i="32"/>
  <c r="B13" i="32"/>
  <c r="B12" i="32"/>
  <c r="B11" i="32"/>
  <c r="B10" i="32"/>
  <c r="E9" i="32"/>
  <c r="C9" i="32"/>
  <c r="B9" i="32"/>
  <c r="C8" i="32"/>
  <c r="B8" i="32"/>
  <c r="C7" i="32"/>
  <c r="B7" i="32"/>
  <c r="B6" i="32"/>
  <c r="C17" i="31"/>
  <c r="E17" i="31" s="1"/>
  <c r="B17" i="31"/>
  <c r="C16" i="31"/>
  <c r="B16" i="31"/>
  <c r="C15" i="31"/>
  <c r="E15" i="31" s="1"/>
  <c r="B15" i="31"/>
  <c r="B14" i="31"/>
  <c r="B13" i="31"/>
  <c r="B12" i="31"/>
  <c r="B11" i="31"/>
  <c r="B10" i="31"/>
  <c r="C9" i="31"/>
  <c r="E9" i="31" s="1"/>
  <c r="B9" i="31"/>
  <c r="B8" i="31"/>
  <c r="B7" i="31"/>
  <c r="B6" i="31"/>
  <c r="E17" i="30"/>
  <c r="E16" i="30"/>
  <c r="E15" i="30"/>
  <c r="D14" i="30"/>
  <c r="D13" i="30"/>
  <c r="C13" i="30"/>
  <c r="C13" i="32" s="1"/>
  <c r="C12" i="31"/>
  <c r="C11" i="32"/>
  <c r="E9" i="30"/>
  <c r="E7" i="30"/>
  <c r="C19" i="36"/>
  <c r="C29" i="36"/>
  <c r="C24" i="36"/>
  <c r="D14" i="20" l="1"/>
  <c r="D14" i="21"/>
  <c r="D14" i="32"/>
  <c r="D14" i="31"/>
  <c r="D7" i="34"/>
  <c r="D7" i="37" s="1"/>
  <c r="E7" i="37" s="1"/>
  <c r="E24" i="37" s="1"/>
  <c r="C23" i="37"/>
  <c r="C23" i="38"/>
  <c r="E6" i="32"/>
  <c r="E7" i="32"/>
  <c r="C13" i="31"/>
  <c r="E13" i="31" s="1"/>
  <c r="E11" i="30"/>
  <c r="C6" i="31"/>
  <c r="E6" i="31" s="1"/>
  <c r="E6" i="30"/>
  <c r="C23" i="30"/>
  <c r="E17" i="32"/>
  <c r="E16" i="31"/>
  <c r="E14" i="30"/>
  <c r="E11" i="32"/>
  <c r="E13" i="32"/>
  <c r="E11" i="31"/>
  <c r="E7" i="31"/>
  <c r="C10" i="32"/>
  <c r="C12" i="32"/>
  <c r="C14" i="32"/>
  <c r="C10" i="31"/>
  <c r="C14" i="31"/>
  <c r="E13" i="30"/>
  <c r="C14" i="27"/>
  <c r="C14" i="28" s="1"/>
  <c r="D14" i="27"/>
  <c r="D11" i="27"/>
  <c r="D13" i="27"/>
  <c r="D8" i="27"/>
  <c r="C17" i="29"/>
  <c r="E17" i="29" s="1"/>
  <c r="B17" i="29"/>
  <c r="C16" i="29"/>
  <c r="B16" i="29"/>
  <c r="C15" i="29"/>
  <c r="E15" i="29" s="1"/>
  <c r="B15" i="29"/>
  <c r="B14" i="29"/>
  <c r="B13" i="29"/>
  <c r="B12" i="29"/>
  <c r="C11" i="29"/>
  <c r="B11" i="29"/>
  <c r="B10" i="29"/>
  <c r="C9" i="29"/>
  <c r="B9" i="29"/>
  <c r="C8" i="29"/>
  <c r="B8" i="29"/>
  <c r="C7" i="29"/>
  <c r="E7" i="29" s="1"/>
  <c r="B7" i="29"/>
  <c r="C6" i="29"/>
  <c r="E6" i="29" s="1"/>
  <c r="B6" i="29"/>
  <c r="C17" i="28"/>
  <c r="B17" i="28"/>
  <c r="C16" i="28"/>
  <c r="B16" i="28"/>
  <c r="C15" i="28"/>
  <c r="B15" i="28"/>
  <c r="B14" i="28"/>
  <c r="B13" i="28"/>
  <c r="B12" i="28"/>
  <c r="B11" i="28"/>
  <c r="B10" i="28"/>
  <c r="C9" i="28"/>
  <c r="B9" i="28"/>
  <c r="C8" i="28"/>
  <c r="B8" i="28"/>
  <c r="C7" i="28"/>
  <c r="B7" i="28"/>
  <c r="C6" i="28"/>
  <c r="B6" i="28"/>
  <c r="E17" i="27"/>
  <c r="E16" i="27"/>
  <c r="E15" i="27"/>
  <c r="C13" i="27"/>
  <c r="C12" i="27"/>
  <c r="C12" i="28" s="1"/>
  <c r="C11" i="27"/>
  <c r="C11" i="28" s="1"/>
  <c r="C10" i="27"/>
  <c r="C10" i="28" s="1"/>
  <c r="E9" i="27"/>
  <c r="E7" i="27"/>
  <c r="E6" i="27"/>
  <c r="E26" i="33"/>
  <c r="T29" i="33"/>
  <c r="E28" i="33"/>
  <c r="K35" i="33"/>
  <c r="S31" i="33"/>
  <c r="S24" i="33"/>
  <c r="C41" i="33"/>
  <c r="Q20" i="33"/>
  <c r="M21" i="33"/>
  <c r="Q41" i="33"/>
  <c r="J32" i="33"/>
  <c r="T19" i="33"/>
  <c r="J41" i="33"/>
  <c r="D29" i="33"/>
  <c r="M31" i="33"/>
  <c r="C30" i="33"/>
  <c r="S25" i="33"/>
  <c r="R30" i="33"/>
  <c r="C40" i="33"/>
  <c r="J27" i="33"/>
  <c r="E22" i="33"/>
  <c r="C24" i="33"/>
  <c r="M26" i="33"/>
  <c r="Q22" i="33"/>
  <c r="M29" i="33"/>
  <c r="D26" i="33"/>
  <c r="T30" i="33"/>
  <c r="L28" i="33"/>
  <c r="C31" i="33"/>
  <c r="D22" i="33"/>
  <c r="F32" i="33"/>
  <c r="L22" i="33"/>
  <c r="Q25" i="33"/>
  <c r="K28" i="33"/>
  <c r="E24" i="33"/>
  <c r="C37" i="33"/>
  <c r="J24" i="33"/>
  <c r="J23" i="33"/>
  <c r="K30" i="33"/>
  <c r="K23" i="33"/>
  <c r="J19" i="33"/>
  <c r="S29" i="33"/>
  <c r="R27" i="33"/>
  <c r="F25" i="33"/>
  <c r="S26" i="33"/>
  <c r="L20" i="33"/>
  <c r="K27" i="33"/>
  <c r="E31" i="33"/>
  <c r="T31" i="33"/>
  <c r="F28" i="33"/>
  <c r="D21" i="33"/>
  <c r="L26" i="33"/>
  <c r="L30" i="33"/>
  <c r="C22" i="33"/>
  <c r="R40" i="33"/>
  <c r="J36" i="33"/>
  <c r="C20" i="33"/>
  <c r="R23" i="33"/>
  <c r="J35" i="33"/>
  <c r="Q23" i="33"/>
  <c r="C36" i="33"/>
  <c r="F19" i="33"/>
  <c r="S27" i="33"/>
  <c r="T22" i="33"/>
  <c r="D31" i="33"/>
  <c r="L27" i="33"/>
  <c r="F27" i="33"/>
  <c r="S22" i="33"/>
  <c r="K32" i="33"/>
  <c r="E27" i="33"/>
  <c r="T23" i="33"/>
  <c r="K24" i="33"/>
  <c r="J25" i="33"/>
  <c r="T28" i="33"/>
  <c r="Q30" i="33"/>
  <c r="R21" i="33"/>
  <c r="R24" i="33"/>
  <c r="C21" i="33"/>
  <c r="Q24" i="33"/>
  <c r="C19" i="33"/>
  <c r="D32" i="33"/>
  <c r="T24" i="33"/>
  <c r="R22" i="33"/>
  <c r="M22" i="33"/>
  <c r="L25" i="33"/>
  <c r="F31" i="33"/>
  <c r="K19" i="33"/>
  <c r="D35" i="33"/>
  <c r="C26" i="33"/>
  <c r="S20" i="33"/>
  <c r="L21" i="33"/>
  <c r="R28" i="33"/>
  <c r="K20" i="33"/>
  <c r="Q27" i="33"/>
  <c r="E23" i="33"/>
  <c r="M28" i="33"/>
  <c r="T27" i="33"/>
  <c r="T20" i="33"/>
  <c r="K22" i="33"/>
  <c r="J22" i="33"/>
  <c r="C28" i="33"/>
  <c r="D20" i="33"/>
  <c r="Q26" i="33"/>
  <c r="M25" i="33"/>
  <c r="F22" i="33"/>
  <c r="K26" i="33"/>
  <c r="M20" i="33"/>
  <c r="F29" i="33"/>
  <c r="R29" i="33"/>
  <c r="J39" i="33"/>
  <c r="R26" i="33"/>
  <c r="J20" i="33"/>
  <c r="T25" i="33"/>
  <c r="Q40" i="33"/>
  <c r="R35" i="33"/>
  <c r="C27" i="33"/>
  <c r="D19" i="33"/>
  <c r="F24" i="33"/>
  <c r="L23" i="33"/>
  <c r="S28" i="33"/>
  <c r="T26" i="33"/>
  <c r="E21" i="33"/>
  <c r="D25" i="33"/>
  <c r="E20" i="33"/>
  <c r="E29" i="33"/>
  <c r="E32" i="33"/>
  <c r="S21" i="33"/>
  <c r="R32" i="33"/>
  <c r="L31" i="33"/>
  <c r="D28" i="33"/>
  <c r="T36" i="33"/>
  <c r="Q21" i="33"/>
  <c r="Q35" i="33"/>
  <c r="Q37" i="33"/>
  <c r="F23" i="33"/>
  <c r="M23" i="33"/>
  <c r="R20" i="33"/>
  <c r="L32" i="33"/>
  <c r="J21" i="33"/>
  <c r="J31" i="33"/>
  <c r="T21" i="33"/>
  <c r="D24" i="33"/>
  <c r="Q29" i="33"/>
  <c r="S30" i="33"/>
  <c r="Q19" i="33"/>
  <c r="M36" i="33"/>
  <c r="L24" i="33"/>
  <c r="R19" i="33"/>
  <c r="E30" i="33"/>
  <c r="M19" i="33"/>
  <c r="K29" i="33"/>
  <c r="C29" i="33"/>
  <c r="F26" i="33"/>
  <c r="M32" i="33"/>
  <c r="M27" i="33"/>
  <c r="R31" i="33"/>
  <c r="C35" i="33"/>
  <c r="J40" i="33"/>
  <c r="S23" i="33"/>
  <c r="Q28" i="33"/>
  <c r="E19" i="33"/>
  <c r="M24" i="33"/>
  <c r="S32" i="33"/>
  <c r="D23" i="33"/>
  <c r="L19" i="33"/>
  <c r="Q31" i="33"/>
  <c r="F21" i="33"/>
  <c r="C32" i="33"/>
  <c r="Q39" i="33"/>
  <c r="Q36" i="33"/>
  <c r="T32" i="33"/>
  <c r="E25" i="33"/>
  <c r="J30" i="33"/>
  <c r="C23" i="33"/>
  <c r="J29" i="33"/>
  <c r="S19" i="33"/>
  <c r="M30" i="33"/>
  <c r="K25" i="33"/>
  <c r="K31" i="33"/>
  <c r="D30" i="33"/>
  <c r="D27" i="33"/>
  <c r="K21" i="33"/>
  <c r="R25" i="33"/>
  <c r="Q32" i="33"/>
  <c r="J26" i="33"/>
  <c r="C25" i="33"/>
  <c r="F30" i="33"/>
  <c r="J28" i="33"/>
  <c r="C39" i="33"/>
  <c r="L29" i="33"/>
  <c r="J37" i="33"/>
  <c r="E14" i="31" l="1"/>
  <c r="D8" i="29"/>
  <c r="E8" i="29" s="1"/>
  <c r="D8" i="28"/>
  <c r="E8" i="28" s="1"/>
  <c r="D14" i="28"/>
  <c r="E14" i="28" s="1"/>
  <c r="D14" i="29"/>
  <c r="E7" i="34"/>
  <c r="D7" i="38"/>
  <c r="E7" i="38" s="1"/>
  <c r="E24" i="38" s="1"/>
  <c r="E25" i="38" s="1"/>
  <c r="C27" i="38" s="1"/>
  <c r="C28" i="38" s="1"/>
  <c r="C29" i="38" s="1"/>
  <c r="E25" i="37"/>
  <c r="C27" i="37" s="1"/>
  <c r="C28" i="37" s="1"/>
  <c r="C29" i="37" s="1"/>
  <c r="D8" i="30"/>
  <c r="C23" i="31"/>
  <c r="E14" i="32"/>
  <c r="C23" i="32"/>
  <c r="E16" i="28"/>
  <c r="E17" i="28"/>
  <c r="E15" i="28"/>
  <c r="E14" i="27"/>
  <c r="C14" i="29"/>
  <c r="E16" i="29"/>
  <c r="E11" i="28"/>
  <c r="E11" i="29"/>
  <c r="E13" i="27"/>
  <c r="E9" i="29"/>
  <c r="E9" i="28"/>
  <c r="E11" i="27"/>
  <c r="E6" i="28"/>
  <c r="E7" i="28"/>
  <c r="C23" i="28"/>
  <c r="C23" i="27"/>
  <c r="D10" i="27"/>
  <c r="C13" i="29"/>
  <c r="E13" i="29" s="1"/>
  <c r="C13" i="28"/>
  <c r="E13" i="28" s="1"/>
  <c r="C10" i="29"/>
  <c r="C12" i="29"/>
  <c r="E8" i="27"/>
  <c r="D12" i="27"/>
  <c r="F20" i="33"/>
  <c r="M37" i="33"/>
  <c r="T37" i="33"/>
  <c r="E14" i="29" l="1"/>
  <c r="D8" i="32"/>
  <c r="E8" i="32" s="1"/>
  <c r="D8" i="31"/>
  <c r="E8" i="31" s="1"/>
  <c r="D10" i="30"/>
  <c r="D10" i="29"/>
  <c r="E10" i="29" s="1"/>
  <c r="D10" i="28"/>
  <c r="E10" i="28" s="1"/>
  <c r="D12" i="29"/>
  <c r="E12" i="29" s="1"/>
  <c r="D12" i="28"/>
  <c r="E12" i="28" s="1"/>
  <c r="E24" i="34"/>
  <c r="E8" i="30"/>
  <c r="E12" i="27"/>
  <c r="D12" i="30"/>
  <c r="C23" i="29"/>
  <c r="E10" i="27"/>
  <c r="B34" i="22"/>
  <c r="C8" i="22" s="1"/>
  <c r="C14" i="19"/>
  <c r="C14" i="20" s="1"/>
  <c r="C23" i="20" s="1"/>
  <c r="C14" i="16"/>
  <c r="C23" i="16" s="1"/>
  <c r="X21" i="10"/>
  <c r="X20" i="10"/>
  <c r="X19" i="10"/>
  <c r="AC21" i="10"/>
  <c r="C11" i="19"/>
  <c r="C10" i="19"/>
  <c r="E11" i="19"/>
  <c r="C13" i="19"/>
  <c r="C13" i="20" s="1"/>
  <c r="C12" i="19"/>
  <c r="C12" i="21" s="1"/>
  <c r="E17" i="19"/>
  <c r="E16" i="19"/>
  <c r="E15" i="19"/>
  <c r="C10" i="20"/>
  <c r="E9" i="19"/>
  <c r="E7" i="19"/>
  <c r="E6" i="19"/>
  <c r="B7" i="21"/>
  <c r="B8" i="21"/>
  <c r="B9" i="21"/>
  <c r="B10" i="21"/>
  <c r="B11" i="21"/>
  <c r="B12" i="21"/>
  <c r="B13" i="21"/>
  <c r="B14" i="21"/>
  <c r="B15" i="21"/>
  <c r="B16" i="21"/>
  <c r="B17" i="21"/>
  <c r="B6" i="21"/>
  <c r="C7" i="21"/>
  <c r="C8" i="21"/>
  <c r="C9" i="21"/>
  <c r="E9" i="21" s="1"/>
  <c r="C10" i="21"/>
  <c r="C15" i="21"/>
  <c r="C16" i="21"/>
  <c r="C17" i="21"/>
  <c r="B7" i="20"/>
  <c r="B8" i="20"/>
  <c r="B9" i="20"/>
  <c r="B10" i="20"/>
  <c r="B11" i="20"/>
  <c r="B12" i="20"/>
  <c r="B13" i="20"/>
  <c r="B14" i="20"/>
  <c r="B15" i="20"/>
  <c r="B16" i="20"/>
  <c r="B17" i="20"/>
  <c r="B6" i="20"/>
  <c r="B7" i="18"/>
  <c r="B8" i="18"/>
  <c r="B9" i="18"/>
  <c r="B10" i="18"/>
  <c r="B11" i="18"/>
  <c r="B12" i="18"/>
  <c r="B13" i="18"/>
  <c r="B14" i="18"/>
  <c r="B15" i="18"/>
  <c r="B16" i="18"/>
  <c r="B17" i="18"/>
  <c r="B6" i="18"/>
  <c r="B7" i="17"/>
  <c r="B8" i="17"/>
  <c r="B9" i="17"/>
  <c r="B10" i="17"/>
  <c r="B11" i="17"/>
  <c r="B12" i="17"/>
  <c r="B13" i="17"/>
  <c r="B14" i="17"/>
  <c r="B15" i="17"/>
  <c r="B16" i="17"/>
  <c r="B17" i="17"/>
  <c r="B6" i="17"/>
  <c r="B7" i="24"/>
  <c r="B8" i="24"/>
  <c r="B9" i="24"/>
  <c r="B10" i="24"/>
  <c r="B11" i="24"/>
  <c r="B6" i="24"/>
  <c r="B7" i="23"/>
  <c r="B8" i="23"/>
  <c r="B9" i="23"/>
  <c r="B10" i="23"/>
  <c r="B11" i="23"/>
  <c r="B6" i="23"/>
  <c r="B7" i="13"/>
  <c r="B8" i="13"/>
  <c r="B9" i="13"/>
  <c r="B10" i="13"/>
  <c r="B11" i="13"/>
  <c r="B12" i="13"/>
  <c r="B13" i="13"/>
  <c r="B14" i="13"/>
  <c r="B15" i="13"/>
  <c r="B16" i="13"/>
  <c r="B17" i="13"/>
  <c r="B18" i="13"/>
  <c r="B19" i="13"/>
  <c r="B6" i="13"/>
  <c r="B7" i="12"/>
  <c r="B8" i="12"/>
  <c r="B9" i="12"/>
  <c r="B10" i="12"/>
  <c r="B11" i="12"/>
  <c r="B12" i="12"/>
  <c r="B13" i="12"/>
  <c r="B14" i="12"/>
  <c r="B15" i="12"/>
  <c r="B16" i="12"/>
  <c r="B17" i="12"/>
  <c r="B18" i="12"/>
  <c r="B19" i="12"/>
  <c r="B6" i="12"/>
  <c r="C12" i="16"/>
  <c r="C10" i="16"/>
  <c r="C11" i="16"/>
  <c r="C13" i="16"/>
  <c r="A97" i="15"/>
  <c r="A98" i="15"/>
  <c r="A99" i="15"/>
  <c r="A100" i="15"/>
  <c r="A101" i="15"/>
  <c r="A102" i="15"/>
  <c r="A103" i="15"/>
  <c r="A104" i="15"/>
  <c r="A105" i="15"/>
  <c r="A106" i="15"/>
  <c r="A107" i="15"/>
  <c r="A108" i="15"/>
  <c r="A109" i="15"/>
  <c r="A96" i="15"/>
  <c r="A66" i="15"/>
  <c r="A59" i="15"/>
  <c r="A60" i="15"/>
  <c r="A61" i="15"/>
  <c r="A62" i="15"/>
  <c r="A63" i="15"/>
  <c r="A64" i="15"/>
  <c r="A65" i="15"/>
  <c r="C17" i="25"/>
  <c r="C19" i="25" s="1"/>
  <c r="C27" i="25"/>
  <c r="C29" i="25" s="1"/>
  <c r="C22" i="25"/>
  <c r="C24" i="25" s="1"/>
  <c r="B12" i="25"/>
  <c r="B6" i="25"/>
  <c r="B7" i="25"/>
  <c r="B8" i="25"/>
  <c r="B5" i="25"/>
  <c r="F4" i="25"/>
  <c r="D4" i="25"/>
  <c r="E4" i="25"/>
  <c r="C11" i="24"/>
  <c r="C9" i="24"/>
  <c r="E9" i="24" s="1"/>
  <c r="C7" i="24"/>
  <c r="E7" i="24" s="1"/>
  <c r="C6" i="24"/>
  <c r="C11" i="23"/>
  <c r="C9" i="23"/>
  <c r="C7" i="23"/>
  <c r="E7" i="23" s="1"/>
  <c r="C6" i="23"/>
  <c r="E6" i="23" s="1"/>
  <c r="B35" i="22"/>
  <c r="E11" i="22"/>
  <c r="C10" i="22"/>
  <c r="C10" i="23" s="1"/>
  <c r="E9" i="22"/>
  <c r="E7" i="22"/>
  <c r="E6" i="22"/>
  <c r="C6" i="21"/>
  <c r="C17" i="20"/>
  <c r="C15" i="20"/>
  <c r="C9" i="20"/>
  <c r="E9" i="20" s="1"/>
  <c r="C7" i="20"/>
  <c r="C6" i="20"/>
  <c r="E6" i="20" s="1"/>
  <c r="F36" i="33"/>
  <c r="R39" i="33"/>
  <c r="K39" i="33"/>
  <c r="AA20" i="33" l="1"/>
  <c r="AA21" i="33"/>
  <c r="D10" i="24"/>
  <c r="D10" i="23"/>
  <c r="E10" i="23" s="1"/>
  <c r="D12" i="32"/>
  <c r="E12" i="32" s="1"/>
  <c r="D12" i="31"/>
  <c r="E12" i="31" s="1"/>
  <c r="D12" i="19"/>
  <c r="E12" i="19" s="1"/>
  <c r="D8" i="21"/>
  <c r="E8" i="21" s="1"/>
  <c r="D8" i="20"/>
  <c r="E10" i="30"/>
  <c r="D10" i="32"/>
  <c r="E10" i="32" s="1"/>
  <c r="D10" i="31"/>
  <c r="E10" i="31" s="1"/>
  <c r="D12" i="16"/>
  <c r="D8" i="18"/>
  <c r="D8" i="17"/>
  <c r="D14" i="18"/>
  <c r="D14" i="17"/>
  <c r="E25" i="34"/>
  <c r="E24" i="27"/>
  <c r="E25" i="27" s="1"/>
  <c r="C27" i="27" s="1"/>
  <c r="C28" i="27" s="1"/>
  <c r="C29" i="27" s="1"/>
  <c r="E12" i="30"/>
  <c r="C14" i="21"/>
  <c r="C23" i="21" s="1"/>
  <c r="C23" i="19"/>
  <c r="E24" i="29"/>
  <c r="E25" i="29" s="1"/>
  <c r="C27" i="29" s="1"/>
  <c r="C28" i="29" s="1"/>
  <c r="C29" i="29" s="1"/>
  <c r="E24" i="28"/>
  <c r="E25" i="28" s="1"/>
  <c r="C27" i="28" s="1"/>
  <c r="C28" i="28" s="1"/>
  <c r="C29" i="28" s="1"/>
  <c r="E9" i="23"/>
  <c r="E14" i="19"/>
  <c r="E14" i="20"/>
  <c r="C11" i="20"/>
  <c r="C13" i="21"/>
  <c r="E13" i="21"/>
  <c r="D10" i="19"/>
  <c r="E13" i="19"/>
  <c r="E7" i="20"/>
  <c r="E6" i="21"/>
  <c r="C11" i="21"/>
  <c r="E11" i="21" s="1"/>
  <c r="E15" i="20"/>
  <c r="E15" i="21"/>
  <c r="E8" i="19"/>
  <c r="E17" i="20"/>
  <c r="D10" i="16"/>
  <c r="C28" i="25"/>
  <c r="C23" i="25"/>
  <c r="C20" i="26"/>
  <c r="E7" i="21"/>
  <c r="E11" i="20"/>
  <c r="C12" i="20"/>
  <c r="C8" i="20"/>
  <c r="E13" i="20"/>
  <c r="E17" i="21"/>
  <c r="E11" i="24"/>
  <c r="E11" i="23"/>
  <c r="E8" i="22"/>
  <c r="C8" i="24"/>
  <c r="C8" i="23"/>
  <c r="C23" i="23" s="1"/>
  <c r="C10" i="24"/>
  <c r="E6" i="24"/>
  <c r="E10" i="22"/>
  <c r="C16" i="20"/>
  <c r="Q45" i="10"/>
  <c r="J45" i="10"/>
  <c r="C45" i="10"/>
  <c r="AC19" i="10"/>
  <c r="C17" i="18"/>
  <c r="C15" i="18"/>
  <c r="E15" i="18" s="1"/>
  <c r="C14" i="18"/>
  <c r="C23" i="18" s="1"/>
  <c r="C13" i="18"/>
  <c r="C11" i="18"/>
  <c r="C10" i="18"/>
  <c r="C9" i="18"/>
  <c r="C7" i="18"/>
  <c r="C6" i="18"/>
  <c r="C17" i="17"/>
  <c r="C15" i="17"/>
  <c r="C14" i="17"/>
  <c r="C23" i="17" s="1"/>
  <c r="C13" i="17"/>
  <c r="C11" i="17"/>
  <c r="E11" i="17" s="1"/>
  <c r="C10" i="17"/>
  <c r="C9" i="17"/>
  <c r="E9" i="17" s="1"/>
  <c r="C7" i="17"/>
  <c r="C6" i="17"/>
  <c r="E6" i="17" s="1"/>
  <c r="E17" i="16"/>
  <c r="E15" i="16"/>
  <c r="E14" i="16"/>
  <c r="E13" i="16"/>
  <c r="E11" i="16"/>
  <c r="E9" i="16"/>
  <c r="E7" i="16"/>
  <c r="E6" i="16"/>
  <c r="K40" i="33"/>
  <c r="C30" i="25"/>
  <c r="C20" i="25"/>
  <c r="C25" i="25"/>
  <c r="F37" i="33"/>
  <c r="E24" i="31" l="1"/>
  <c r="E25" i="31" s="1"/>
  <c r="C27" i="31" s="1"/>
  <c r="C28" i="31" s="1"/>
  <c r="C29" i="31" s="1"/>
  <c r="E24" i="32"/>
  <c r="E25" i="32" s="1"/>
  <c r="C27" i="32" s="1"/>
  <c r="C28" i="32" s="1"/>
  <c r="C29" i="32" s="1"/>
  <c r="E14" i="21"/>
  <c r="E10" i="24"/>
  <c r="E10" i="16"/>
  <c r="D10" i="18"/>
  <c r="E10" i="18" s="1"/>
  <c r="D10" i="17"/>
  <c r="E10" i="17" s="1"/>
  <c r="D12" i="21"/>
  <c r="E12" i="21" s="1"/>
  <c r="D12" i="20"/>
  <c r="E12" i="20" s="1"/>
  <c r="E24" i="30"/>
  <c r="E25" i="30" s="1"/>
  <c r="C27" i="30" s="1"/>
  <c r="C28" i="30" s="1"/>
  <c r="C29" i="30" s="1"/>
  <c r="D12" i="18"/>
  <c r="D12" i="17"/>
  <c r="E10" i="19"/>
  <c r="D10" i="21"/>
  <c r="E10" i="21" s="1"/>
  <c r="D10" i="20"/>
  <c r="E10" i="20" s="1"/>
  <c r="C27" i="34"/>
  <c r="E24" i="19"/>
  <c r="E25" i="19" s="1"/>
  <c r="C27" i="19" s="1"/>
  <c r="C28" i="19" s="1"/>
  <c r="C29" i="19" s="1"/>
  <c r="E8" i="24"/>
  <c r="C23" i="24"/>
  <c r="E14" i="17"/>
  <c r="E15" i="17"/>
  <c r="E7" i="18"/>
  <c r="E7" i="17"/>
  <c r="E13" i="17"/>
  <c r="E9" i="18"/>
  <c r="E21" i="26"/>
  <c r="E22" i="26" s="1"/>
  <c r="E8" i="20"/>
  <c r="E14" i="18"/>
  <c r="E6" i="18"/>
  <c r="E17" i="17"/>
  <c r="E13" i="18"/>
  <c r="E17" i="18"/>
  <c r="E11" i="18"/>
  <c r="E8" i="23"/>
  <c r="E24" i="23" s="1"/>
  <c r="E25" i="23" s="1"/>
  <c r="C27" i="23" s="1"/>
  <c r="C28" i="23" s="1"/>
  <c r="C29" i="23" s="1"/>
  <c r="E16" i="21"/>
  <c r="E16" i="20"/>
  <c r="E8" i="16"/>
  <c r="C12" i="18"/>
  <c r="C8" i="17"/>
  <c r="C8" i="18"/>
  <c r="C8" i="11"/>
  <c r="A54" i="15"/>
  <c r="A55" i="15"/>
  <c r="A56" i="15"/>
  <c r="A57" i="15"/>
  <c r="A58" i="15"/>
  <c r="A53" i="15"/>
  <c r="N5" i="15"/>
  <c r="M5" i="15"/>
  <c r="L5" i="15"/>
  <c r="A11" i="15"/>
  <c r="A12" i="15"/>
  <c r="A13" i="15"/>
  <c r="A14" i="15"/>
  <c r="A15" i="15"/>
  <c r="A16" i="15"/>
  <c r="A17" i="15"/>
  <c r="A18" i="15"/>
  <c r="A19" i="15"/>
  <c r="A20" i="15"/>
  <c r="A21" i="15"/>
  <c r="A22" i="15"/>
  <c r="A23" i="15"/>
  <c r="A10" i="15"/>
  <c r="E22" i="10"/>
  <c r="R21" i="10"/>
  <c r="Q36" i="10"/>
  <c r="C35" i="10"/>
  <c r="Q20" i="10"/>
  <c r="C34" i="10"/>
  <c r="J23" i="10"/>
  <c r="J19" i="10"/>
  <c r="L20" i="10"/>
  <c r="T33" i="10"/>
  <c r="R19" i="10"/>
  <c r="K22" i="10"/>
  <c r="E20" i="10"/>
  <c r="D19" i="10"/>
  <c r="F34" i="10"/>
  <c r="L22" i="10"/>
  <c r="Q41" i="10"/>
  <c r="C24" i="10"/>
  <c r="J35" i="10"/>
  <c r="E33" i="10"/>
  <c r="K33" i="10"/>
  <c r="Q39" i="10"/>
  <c r="M24" i="10"/>
  <c r="J37" i="10"/>
  <c r="L23" i="10"/>
  <c r="T22" i="10"/>
  <c r="Q21" i="10"/>
  <c r="K34" i="10"/>
  <c r="C33" i="10"/>
  <c r="C22" i="10"/>
  <c r="S33" i="10"/>
  <c r="J22" i="10"/>
  <c r="F33" i="10"/>
  <c r="L33" i="10"/>
  <c r="Q40" i="10"/>
  <c r="T34" i="10"/>
  <c r="K41" i="33"/>
  <c r="R34" i="10"/>
  <c r="S22" i="10"/>
  <c r="K23" i="10"/>
  <c r="C36" i="10"/>
  <c r="E19" i="10"/>
  <c r="R41" i="33"/>
  <c r="T21" i="10"/>
  <c r="M34" i="10"/>
  <c r="M23" i="10"/>
  <c r="J21" i="10"/>
  <c r="C20" i="10"/>
  <c r="L24" i="10"/>
  <c r="R20" i="10"/>
  <c r="T20" i="10"/>
  <c r="Q37" i="10"/>
  <c r="J41" i="10"/>
  <c r="K24" i="10"/>
  <c r="Q22" i="10"/>
  <c r="S23" i="10"/>
  <c r="J33" i="10"/>
  <c r="J34" i="10"/>
  <c r="J20" i="10"/>
  <c r="Q23" i="10"/>
  <c r="S34" i="10"/>
  <c r="L34" i="10"/>
  <c r="J24" i="10"/>
  <c r="M33" i="10"/>
  <c r="T19" i="10"/>
  <c r="D20" i="10"/>
  <c r="M20" i="10"/>
  <c r="S20" i="10"/>
  <c r="T23" i="10"/>
  <c r="R33" i="10"/>
  <c r="C19" i="10"/>
  <c r="E23" i="10"/>
  <c r="J36" i="10"/>
  <c r="K19" i="10"/>
  <c r="L19" i="10"/>
  <c r="M19" i="10"/>
  <c r="D34" i="10"/>
  <c r="M22" i="10"/>
  <c r="Q33" i="10"/>
  <c r="C40" i="10"/>
  <c r="Q24" i="10"/>
  <c r="D39" i="33"/>
  <c r="R23" i="10"/>
  <c r="T24" i="10"/>
  <c r="C37" i="10"/>
  <c r="J39" i="10"/>
  <c r="C41" i="10"/>
  <c r="Q35" i="10"/>
  <c r="S19" i="10"/>
  <c r="D33" i="10"/>
  <c r="C23" i="10"/>
  <c r="R24" i="10"/>
  <c r="Q34" i="10"/>
  <c r="C21" i="10"/>
  <c r="C39" i="10"/>
  <c r="D23" i="10"/>
  <c r="Q19" i="10"/>
  <c r="S24" i="10"/>
  <c r="E34" i="10"/>
  <c r="E24" i="10"/>
  <c r="K20" i="10"/>
  <c r="D22" i="10"/>
  <c r="J40" i="10"/>
  <c r="R22" i="10"/>
  <c r="D24" i="10"/>
  <c r="E24" i="24" l="1"/>
  <c r="AA19" i="33"/>
  <c r="E110" i="15"/>
  <c r="D110" i="15"/>
  <c r="M123" i="15" s="1"/>
  <c r="M122" i="15" s="1"/>
  <c r="B110" i="15"/>
  <c r="K123" i="15" s="1"/>
  <c r="D111" i="15"/>
  <c r="M125" i="15" s="1"/>
  <c r="M124" i="15" s="1"/>
  <c r="C111" i="15"/>
  <c r="E111" i="15"/>
  <c r="C110" i="15"/>
  <c r="B111" i="15"/>
  <c r="K125" i="15" s="1"/>
  <c r="C24" i="15"/>
  <c r="E25" i="15"/>
  <c r="E24" i="15"/>
  <c r="D25" i="15"/>
  <c r="M39" i="15" s="1"/>
  <c r="M38" i="15" s="1"/>
  <c r="B25" i="15"/>
  <c r="K39" i="15" s="1"/>
  <c r="B24" i="15"/>
  <c r="K37" i="15" s="1"/>
  <c r="C25" i="15"/>
  <c r="D24" i="15"/>
  <c r="M37" i="15" s="1"/>
  <c r="C67" i="15"/>
  <c r="E68" i="15"/>
  <c r="D68" i="15"/>
  <c r="M82" i="15" s="1"/>
  <c r="M81" i="15" s="1"/>
  <c r="B68" i="15"/>
  <c r="K82" i="15" s="1"/>
  <c r="E67" i="15"/>
  <c r="D67" i="15"/>
  <c r="M80" i="15" s="1"/>
  <c r="M79" i="15" s="1"/>
  <c r="C68" i="15"/>
  <c r="B67" i="15"/>
  <c r="K80" i="15" s="1"/>
  <c r="C8" i="42"/>
  <c r="C28" i="34"/>
  <c r="E59" i="35"/>
  <c r="B54" i="35"/>
  <c r="C49" i="35"/>
  <c r="B57" i="35"/>
  <c r="C48" i="35"/>
  <c r="B96" i="35"/>
  <c r="D88" i="35"/>
  <c r="M91" i="35" s="1"/>
  <c r="M90" i="35" s="1"/>
  <c r="D87" i="35"/>
  <c r="M89" i="35" s="1"/>
  <c r="M88" i="35" s="1"/>
  <c r="B18" i="35"/>
  <c r="B13" i="35"/>
  <c r="K15" i="35" s="1"/>
  <c r="C23" i="35"/>
  <c r="E52" i="35"/>
  <c r="E51" i="35"/>
  <c r="B59" i="35"/>
  <c r="C53" i="35"/>
  <c r="D49" i="35"/>
  <c r="M50" i="35" s="1"/>
  <c r="M49" i="35" s="1"/>
  <c r="C57" i="35"/>
  <c r="E91" i="35"/>
  <c r="D86" i="35"/>
  <c r="C84" i="35"/>
  <c r="L83" i="35" s="1"/>
  <c r="L84" i="35" s="1"/>
  <c r="E85" i="35"/>
  <c r="D89" i="35"/>
  <c r="M93" i="35" s="1"/>
  <c r="M92" i="35" s="1"/>
  <c r="E89" i="35"/>
  <c r="B93" i="35"/>
  <c r="D93" i="35"/>
  <c r="D19" i="35"/>
  <c r="E19" i="35"/>
  <c r="E12" i="35"/>
  <c r="D17" i="35"/>
  <c r="B19" i="35"/>
  <c r="B17" i="35"/>
  <c r="E20" i="35"/>
  <c r="C51" i="35"/>
  <c r="B52" i="35"/>
  <c r="K56" i="35" s="1"/>
  <c r="B47" i="35"/>
  <c r="K46" i="35" s="1"/>
  <c r="B50" i="35"/>
  <c r="K52" i="35" s="1"/>
  <c r="D50" i="35"/>
  <c r="M52" i="35" s="1"/>
  <c r="M51" i="35" s="1"/>
  <c r="D55" i="35"/>
  <c r="C88" i="35"/>
  <c r="D91" i="35"/>
  <c r="D11" i="35"/>
  <c r="M11" i="35" s="1"/>
  <c r="M10" i="35" s="1"/>
  <c r="D15" i="35"/>
  <c r="M19" i="35" s="1"/>
  <c r="M18" i="35" s="1"/>
  <c r="C17" i="35"/>
  <c r="C54" i="35"/>
  <c r="D54" i="35"/>
  <c r="B53" i="35"/>
  <c r="B49" i="35"/>
  <c r="K50" i="35" s="1"/>
  <c r="D56" i="35"/>
  <c r="E50" i="35"/>
  <c r="E49" i="35"/>
  <c r="C59" i="35"/>
  <c r="C95" i="35"/>
  <c r="E87" i="35"/>
  <c r="D85" i="35"/>
  <c r="M85" i="35" s="1"/>
  <c r="M84" i="35" s="1"/>
  <c r="B87" i="35"/>
  <c r="K89" i="35" s="1"/>
  <c r="B88" i="35"/>
  <c r="K91" i="35" s="1"/>
  <c r="B91" i="35"/>
  <c r="C91" i="35"/>
  <c r="C93" i="35"/>
  <c r="D95" i="35"/>
  <c r="D21" i="35"/>
  <c r="E21" i="35"/>
  <c r="B15" i="35"/>
  <c r="K19" i="35" s="1"/>
  <c r="D10" i="35"/>
  <c r="M9" i="35" s="1"/>
  <c r="M8" i="35" s="1"/>
  <c r="E18" i="35"/>
  <c r="E22" i="35"/>
  <c r="E14" i="35"/>
  <c r="B58" i="35"/>
  <c r="E57" i="35"/>
  <c r="B56" i="35"/>
  <c r="C56" i="35"/>
  <c r="C50" i="35"/>
  <c r="D58" i="35"/>
  <c r="D53" i="35"/>
  <c r="D47" i="35"/>
  <c r="M46" i="35" s="1"/>
  <c r="M45" i="35" s="1"/>
  <c r="C97" i="35"/>
  <c r="D90" i="35"/>
  <c r="E86" i="35"/>
  <c r="C89" i="35"/>
  <c r="E92" i="35"/>
  <c r="E94" i="35"/>
  <c r="B86" i="35"/>
  <c r="K87" i="35" s="1"/>
  <c r="D97" i="35"/>
  <c r="B10" i="35"/>
  <c r="K9" i="35" s="1"/>
  <c r="E23" i="35"/>
  <c r="E16" i="35"/>
  <c r="B14" i="35"/>
  <c r="K17" i="35" s="1"/>
  <c r="E11" i="35"/>
  <c r="D20" i="35"/>
  <c r="C13" i="35"/>
  <c r="C58" i="35"/>
  <c r="B92" i="35"/>
  <c r="B89" i="35"/>
  <c r="K93" i="35" s="1"/>
  <c r="C96" i="35"/>
  <c r="D92" i="35"/>
  <c r="D94" i="35"/>
  <c r="E96" i="35"/>
  <c r="C87" i="35"/>
  <c r="C11" i="35"/>
  <c r="C18" i="35"/>
  <c r="C15" i="35"/>
  <c r="C20" i="35"/>
  <c r="D22" i="35"/>
  <c r="B21" i="35"/>
  <c r="B11" i="35"/>
  <c r="K11" i="35" s="1"/>
  <c r="B51" i="35"/>
  <c r="K54" i="35" s="1"/>
  <c r="C60" i="35"/>
  <c r="E56" i="35"/>
  <c r="C55" i="35"/>
  <c r="E55" i="35"/>
  <c r="B85" i="35"/>
  <c r="K85" i="35" s="1"/>
  <c r="E93" i="35"/>
  <c r="E90" i="35"/>
  <c r="B95" i="35"/>
  <c r="C94" i="35"/>
  <c r="D96" i="35"/>
  <c r="B90" i="35"/>
  <c r="B16" i="35"/>
  <c r="D12" i="35"/>
  <c r="B20" i="35"/>
  <c r="D18" i="35"/>
  <c r="C22" i="35"/>
  <c r="B23" i="35"/>
  <c r="C16" i="35"/>
  <c r="B55" i="35"/>
  <c r="D48" i="35"/>
  <c r="M48" i="35" s="1"/>
  <c r="M47" i="35" s="1"/>
  <c r="E58" i="35"/>
  <c r="E48" i="35"/>
  <c r="D57" i="35"/>
  <c r="C90" i="35"/>
  <c r="E95" i="35"/>
  <c r="C92" i="35"/>
  <c r="B97" i="35"/>
  <c r="C19" i="35"/>
  <c r="E13" i="35"/>
  <c r="C12" i="35"/>
  <c r="B22" i="35"/>
  <c r="E10" i="35"/>
  <c r="D14" i="35"/>
  <c r="M17" i="35" s="1"/>
  <c r="M16" i="35" s="1"/>
  <c r="B12" i="35"/>
  <c r="K13" i="35" s="1"/>
  <c r="D23" i="35"/>
  <c r="E54" i="35"/>
  <c r="B60" i="35"/>
  <c r="D52" i="35"/>
  <c r="M56" i="35" s="1"/>
  <c r="M55" i="35" s="1"/>
  <c r="C47" i="35"/>
  <c r="L46" i="35" s="1"/>
  <c r="L47" i="35" s="1"/>
  <c r="E60" i="35"/>
  <c r="C52" i="35"/>
  <c r="D59" i="35"/>
  <c r="B84" i="35"/>
  <c r="K83" i="35" s="1"/>
  <c r="E97" i="35"/>
  <c r="B94" i="35"/>
  <c r="E84" i="35"/>
  <c r="N83" i="35" s="1"/>
  <c r="N84" i="35" s="1"/>
  <c r="E88" i="35"/>
  <c r="C86" i="35"/>
  <c r="C21" i="35"/>
  <c r="D16" i="35"/>
  <c r="C10" i="35"/>
  <c r="L9" i="35" s="1"/>
  <c r="L10" i="35" s="1"/>
  <c r="C14" i="35"/>
  <c r="E15" i="35"/>
  <c r="E17" i="35"/>
  <c r="D60" i="35"/>
  <c r="E47" i="35"/>
  <c r="N46" i="35" s="1"/>
  <c r="N47" i="35" s="1"/>
  <c r="B48" i="35"/>
  <c r="K48" i="35" s="1"/>
  <c r="D51" i="35"/>
  <c r="M54" i="35" s="1"/>
  <c r="M53" i="35" s="1"/>
  <c r="E53" i="35"/>
  <c r="C85" i="35"/>
  <c r="D84" i="35"/>
  <c r="M83" i="35" s="1"/>
  <c r="M82" i="35" s="1"/>
  <c r="D13" i="35"/>
  <c r="M15" i="35" s="1"/>
  <c r="M14" i="35" s="1"/>
  <c r="E24" i="21"/>
  <c r="E25" i="21" s="1"/>
  <c r="C27" i="21" s="1"/>
  <c r="C28" i="21" s="1"/>
  <c r="C29" i="21" s="1"/>
  <c r="E24" i="20"/>
  <c r="E25" i="20" s="1"/>
  <c r="C27" i="20" s="1"/>
  <c r="C28" i="20" s="1"/>
  <c r="C29" i="20" s="1"/>
  <c r="E25" i="24"/>
  <c r="C27" i="24" s="1"/>
  <c r="C28" i="24" s="1"/>
  <c r="C29" i="24" s="1"/>
  <c r="B96" i="15"/>
  <c r="K95" i="15" s="1"/>
  <c r="B99" i="15"/>
  <c r="K101" i="15" s="1"/>
  <c r="B98" i="15"/>
  <c r="K99" i="15" s="1"/>
  <c r="B100" i="15"/>
  <c r="K103" i="15" s="1"/>
  <c r="B97" i="15"/>
  <c r="K97" i="15" s="1"/>
  <c r="B101" i="15"/>
  <c r="K105" i="15" s="1"/>
  <c r="C96" i="15"/>
  <c r="L95" i="15" s="1"/>
  <c r="L96" i="15" s="1"/>
  <c r="D96" i="15"/>
  <c r="M95" i="15" s="1"/>
  <c r="M94" i="15" s="1"/>
  <c r="C99" i="15"/>
  <c r="D101" i="15"/>
  <c r="M105" i="15" s="1"/>
  <c r="M104" i="15" s="1"/>
  <c r="C100" i="15"/>
  <c r="D97" i="15"/>
  <c r="M97" i="15" s="1"/>
  <c r="M96" i="15" s="1"/>
  <c r="C97" i="15"/>
  <c r="C98" i="15"/>
  <c r="D99" i="15"/>
  <c r="M101" i="15" s="1"/>
  <c r="M100" i="15" s="1"/>
  <c r="D100" i="15"/>
  <c r="M103" i="15" s="1"/>
  <c r="M102" i="15" s="1"/>
  <c r="C101" i="15"/>
  <c r="E101" i="15"/>
  <c r="E100" i="15"/>
  <c r="E99" i="15"/>
  <c r="E96" i="15"/>
  <c r="N95" i="15" s="1"/>
  <c r="N96" i="15" s="1"/>
  <c r="E97" i="15"/>
  <c r="B56" i="15"/>
  <c r="K58" i="15" s="1"/>
  <c r="B57" i="15"/>
  <c r="K60" i="15" s="1"/>
  <c r="B55" i="15"/>
  <c r="K56" i="15" s="1"/>
  <c r="B58" i="15"/>
  <c r="K62" i="15" s="1"/>
  <c r="B54" i="15"/>
  <c r="K54" i="15" s="1"/>
  <c r="B53" i="15"/>
  <c r="K52" i="15" s="1"/>
  <c r="B12" i="15"/>
  <c r="K13" i="15" s="1"/>
  <c r="B13" i="15"/>
  <c r="K15" i="15" s="1"/>
  <c r="B14" i="15"/>
  <c r="K17" i="15" s="1"/>
  <c r="B11" i="15"/>
  <c r="K11" i="15" s="1"/>
  <c r="B15" i="15"/>
  <c r="K19" i="15" s="1"/>
  <c r="B10" i="15"/>
  <c r="K9" i="15" s="1"/>
  <c r="C12" i="17"/>
  <c r="E8" i="17"/>
  <c r="E8" i="18"/>
  <c r="C16" i="18"/>
  <c r="E16" i="18" s="1"/>
  <c r="C16" i="17"/>
  <c r="E16" i="17" s="1"/>
  <c r="E16" i="16"/>
  <c r="E12" i="18"/>
  <c r="E12" i="16"/>
  <c r="E24" i="16" s="1"/>
  <c r="K21" i="10"/>
  <c r="D40" i="33"/>
  <c r="S21" i="10"/>
  <c r="C8" i="44" l="1"/>
  <c r="C8" i="43"/>
  <c r="AA24" i="33"/>
  <c r="AA25" i="33" s="1"/>
  <c r="AA26" i="33" s="1"/>
  <c r="N97" i="15"/>
  <c r="N98" i="15" s="1"/>
  <c r="L97" i="15"/>
  <c r="L98" i="15" s="1"/>
  <c r="M36" i="15"/>
  <c r="D8" i="42"/>
  <c r="E8" i="42" s="1"/>
  <c r="D8" i="13"/>
  <c r="D8" i="12"/>
  <c r="C29" i="34"/>
  <c r="L11" i="35"/>
  <c r="L12" i="35" s="1"/>
  <c r="M13" i="35"/>
  <c r="M12" i="35" s="1"/>
  <c r="M87" i="35"/>
  <c r="M86" i="35" s="1"/>
  <c r="N85" i="35"/>
  <c r="N86" i="35" s="1"/>
  <c r="L48" i="35"/>
  <c r="L49" i="35" s="1"/>
  <c r="L85" i="35"/>
  <c r="L86" i="35" s="1"/>
  <c r="N48" i="35"/>
  <c r="N49" i="35" s="1"/>
  <c r="E25" i="16"/>
  <c r="E24" i="18"/>
  <c r="E25" i="18" s="1"/>
  <c r="C27" i="18" s="1"/>
  <c r="C28" i="18" s="1"/>
  <c r="C29" i="18" s="1"/>
  <c r="E98" i="15"/>
  <c r="D98" i="15"/>
  <c r="M99" i="15" s="1"/>
  <c r="M98" i="15" s="1"/>
  <c r="E12" i="17"/>
  <c r="E24" i="17" s="1"/>
  <c r="E25" i="17" s="1"/>
  <c r="C27" i="17" s="1"/>
  <c r="C28" i="17" s="1"/>
  <c r="C29" i="17" s="1"/>
  <c r="M21" i="10"/>
  <c r="D41" i="33"/>
  <c r="L21" i="10"/>
  <c r="D21" i="10"/>
  <c r="D8" i="44" l="1"/>
  <c r="D8" i="43"/>
  <c r="E8" i="43" s="1"/>
  <c r="N99" i="15"/>
  <c r="L99" i="15"/>
  <c r="L50" i="35"/>
  <c r="L51" i="35" s="1"/>
  <c r="N50" i="35"/>
  <c r="N51" i="35" s="1"/>
  <c r="L13" i="35"/>
  <c r="N87" i="35"/>
  <c r="L87" i="35"/>
  <c r="C27" i="16"/>
  <c r="E21" i="10"/>
  <c r="E8" i="44" l="1"/>
  <c r="L100" i="15"/>
  <c r="L101" i="15"/>
  <c r="N100" i="15"/>
  <c r="N101" i="15"/>
  <c r="L52" i="35"/>
  <c r="L53" i="35" s="1"/>
  <c r="N52" i="35"/>
  <c r="N53" i="35" s="1"/>
  <c r="L14" i="35"/>
  <c r="L15" i="35"/>
  <c r="L88" i="35"/>
  <c r="L89" i="35"/>
  <c r="N88" i="35"/>
  <c r="N89" i="35"/>
  <c r="C28" i="16"/>
  <c r="D12" i="11"/>
  <c r="C12" i="11"/>
  <c r="C19" i="13"/>
  <c r="C18" i="13"/>
  <c r="C17" i="13"/>
  <c r="C15" i="13"/>
  <c r="C14" i="13"/>
  <c r="C13" i="13"/>
  <c r="C11" i="13"/>
  <c r="C10" i="13"/>
  <c r="C9" i="13"/>
  <c r="C7" i="13"/>
  <c r="C6" i="13"/>
  <c r="C7" i="12"/>
  <c r="C9" i="12"/>
  <c r="C10" i="12"/>
  <c r="C11" i="12"/>
  <c r="C13" i="12"/>
  <c r="C14" i="12"/>
  <c r="C15" i="12"/>
  <c r="C17" i="12"/>
  <c r="C18" i="12"/>
  <c r="C19" i="12"/>
  <c r="C6" i="12"/>
  <c r="N102" i="15" l="1"/>
  <c r="N103" i="15"/>
  <c r="L102" i="15"/>
  <c r="L103" i="15"/>
  <c r="D12" i="42"/>
  <c r="D12" i="13"/>
  <c r="D12" i="12"/>
  <c r="C12" i="42"/>
  <c r="L54" i="35"/>
  <c r="L55" i="35" s="1"/>
  <c r="N54" i="35"/>
  <c r="N56" i="35" s="1"/>
  <c r="N57" i="35" s="1"/>
  <c r="L16" i="35"/>
  <c r="L17" i="35"/>
  <c r="L90" i="35"/>
  <c r="L91" i="35"/>
  <c r="N90" i="35"/>
  <c r="N91" i="35"/>
  <c r="C29" i="16"/>
  <c r="C12" i="12"/>
  <c r="D16" i="11"/>
  <c r="C16" i="11"/>
  <c r="C18" i="42" s="1"/>
  <c r="C8" i="13"/>
  <c r="C12" i="13"/>
  <c r="C8" i="12"/>
  <c r="C12" i="44" l="1"/>
  <c r="C12" i="43"/>
  <c r="C23" i="42"/>
  <c r="C18" i="44"/>
  <c r="C18" i="43"/>
  <c r="C23" i="11"/>
  <c r="D12" i="44"/>
  <c r="D12" i="43"/>
  <c r="L104" i="15"/>
  <c r="L105" i="15"/>
  <c r="L106" i="15" s="1"/>
  <c r="N104" i="15"/>
  <c r="N105" i="15"/>
  <c r="N106" i="15" s="1"/>
  <c r="E12" i="42"/>
  <c r="D18" i="42"/>
  <c r="E18" i="42" s="1"/>
  <c r="D16" i="13"/>
  <c r="D16" i="12"/>
  <c r="L56" i="35"/>
  <c r="L57" i="35" s="1"/>
  <c r="N55" i="35"/>
  <c r="L18" i="35"/>
  <c r="L19" i="35"/>
  <c r="L20" i="35" s="1"/>
  <c r="L92" i="35"/>
  <c r="L93" i="35"/>
  <c r="L94" i="35" s="1"/>
  <c r="N92" i="35"/>
  <c r="N93" i="35"/>
  <c r="N94" i="35" s="1"/>
  <c r="C16" i="12"/>
  <c r="C23" i="12" s="1"/>
  <c r="C16" i="13"/>
  <c r="C23" i="13" s="1"/>
  <c r="D53" i="15"/>
  <c r="M52" i="15" s="1"/>
  <c r="M51" i="15" s="1"/>
  <c r="C54" i="15"/>
  <c r="D54" i="15"/>
  <c r="M54" i="15" s="1"/>
  <c r="M53" i="15" s="1"/>
  <c r="C55" i="15"/>
  <c r="D55" i="15"/>
  <c r="M56" i="15" s="1"/>
  <c r="M55" i="15" s="1"/>
  <c r="C56" i="15"/>
  <c r="D56" i="15"/>
  <c r="M58" i="15" s="1"/>
  <c r="M57" i="15" s="1"/>
  <c r="C57" i="15"/>
  <c r="D57" i="15"/>
  <c r="M60" i="15" s="1"/>
  <c r="M59" i="15" s="1"/>
  <c r="C58" i="15"/>
  <c r="D58" i="15"/>
  <c r="M62" i="15" s="1"/>
  <c r="M61" i="15" s="1"/>
  <c r="E6" i="12"/>
  <c r="E7" i="12"/>
  <c r="E8" i="12"/>
  <c r="E9" i="12"/>
  <c r="E10" i="12"/>
  <c r="E11" i="12"/>
  <c r="E12" i="12"/>
  <c r="E13" i="12"/>
  <c r="E14" i="12"/>
  <c r="E15" i="12"/>
  <c r="E17" i="12"/>
  <c r="E18" i="12"/>
  <c r="E19" i="12"/>
  <c r="D15" i="15"/>
  <c r="M19" i="15" s="1"/>
  <c r="M18" i="15" s="1"/>
  <c r="D14" i="15"/>
  <c r="M17" i="15" s="1"/>
  <c r="M16" i="15" s="1"/>
  <c r="D13" i="15"/>
  <c r="M15" i="15" s="1"/>
  <c r="M14" i="15" s="1"/>
  <c r="D12" i="15"/>
  <c r="M13" i="15" s="1"/>
  <c r="M12" i="15" s="1"/>
  <c r="D11" i="15"/>
  <c r="M11" i="15" s="1"/>
  <c r="M10" i="15" s="1"/>
  <c r="D10" i="15"/>
  <c r="M9" i="15" s="1"/>
  <c r="M8" i="15" s="1"/>
  <c r="C15" i="15"/>
  <c r="C14" i="15"/>
  <c r="C13" i="15"/>
  <c r="C12" i="15"/>
  <c r="C11" i="15"/>
  <c r="E19" i="13"/>
  <c r="E18" i="13"/>
  <c r="E17" i="13"/>
  <c r="E15" i="13"/>
  <c r="E14" i="13"/>
  <c r="E13" i="13"/>
  <c r="E12" i="13"/>
  <c r="E11" i="13"/>
  <c r="E10" i="13"/>
  <c r="E9" i="13"/>
  <c r="E8" i="13"/>
  <c r="E7" i="13"/>
  <c r="E6" i="13"/>
  <c r="E19" i="11"/>
  <c r="E18" i="11"/>
  <c r="E17" i="11"/>
  <c r="E16" i="11"/>
  <c r="E15" i="11"/>
  <c r="E14" i="11"/>
  <c r="E13" i="11"/>
  <c r="E12" i="11"/>
  <c r="E11" i="11"/>
  <c r="E10" i="11"/>
  <c r="E9" i="11"/>
  <c r="E8" i="11"/>
  <c r="E7" i="11"/>
  <c r="E6" i="11"/>
  <c r="AC22" i="10"/>
  <c r="AC20" i="10"/>
  <c r="F22" i="10"/>
  <c r="F21" i="10"/>
  <c r="K35" i="10"/>
  <c r="M36" i="10"/>
  <c r="F23" i="10"/>
  <c r="F20" i="10"/>
  <c r="F19" i="10"/>
  <c r="F24" i="10"/>
  <c r="E12" i="43" l="1"/>
  <c r="AC23" i="10"/>
  <c r="E12" i="44"/>
  <c r="E24" i="42"/>
  <c r="E25" i="42" s="1"/>
  <c r="C27" i="42" s="1"/>
  <c r="C23" i="43"/>
  <c r="C23" i="44"/>
  <c r="D18" i="43"/>
  <c r="E18" i="43" s="1"/>
  <c r="E24" i="43" s="1"/>
  <c r="E25" i="43" s="1"/>
  <c r="C27" i="43" s="1"/>
  <c r="C28" i="43" s="1"/>
  <c r="C29" i="43" s="1"/>
  <c r="D18" i="44"/>
  <c r="E18" i="44" s="1"/>
  <c r="N9" i="35"/>
  <c r="N10" i="35" s="1"/>
  <c r="E24" i="11"/>
  <c r="E25" i="11" s="1"/>
  <c r="C53" i="15"/>
  <c r="L52" i="15" s="1"/>
  <c r="L53" i="15" s="1"/>
  <c r="E16" i="12"/>
  <c r="E24" i="12" s="1"/>
  <c r="E25" i="12" s="1"/>
  <c r="C27" i="12" s="1"/>
  <c r="C28" i="12" s="1"/>
  <c r="C29" i="12" s="1"/>
  <c r="E16" i="13"/>
  <c r="E24" i="13" s="1"/>
  <c r="E25" i="13" s="1"/>
  <c r="C27" i="13" s="1"/>
  <c r="C28" i="13" s="1"/>
  <c r="C29" i="13" s="1"/>
  <c r="C10" i="15"/>
  <c r="L9" i="15" s="1"/>
  <c r="L10" i="15" s="1"/>
  <c r="E57" i="15"/>
  <c r="E56" i="15"/>
  <c r="E55" i="15"/>
  <c r="E58" i="15"/>
  <c r="E54" i="15"/>
  <c r="E11" i="15"/>
  <c r="E10" i="15"/>
  <c r="N9" i="15" s="1"/>
  <c r="N10" i="15" s="1"/>
  <c r="E13" i="15"/>
  <c r="E15" i="15"/>
  <c r="E14" i="15"/>
  <c r="E12" i="15"/>
  <c r="M37" i="10"/>
  <c r="E24" i="44" l="1"/>
  <c r="E25" i="44" s="1"/>
  <c r="C27" i="44" s="1"/>
  <c r="C28" i="44" s="1"/>
  <c r="C29" i="44" s="1"/>
  <c r="L54" i="15"/>
  <c r="N11" i="35"/>
  <c r="N12" i="35" s="1"/>
  <c r="C27" i="11"/>
  <c r="E53" i="15"/>
  <c r="N52" i="15" s="1"/>
  <c r="N53" i="15" s="1"/>
  <c r="L11" i="15"/>
  <c r="L12" i="15" s="1"/>
  <c r="N11" i="15"/>
  <c r="N12" i="15" s="1"/>
  <c r="K39" i="10"/>
  <c r="L55" i="15" l="1"/>
  <c r="L56" i="15"/>
  <c r="N54" i="15"/>
  <c r="AA20" i="10"/>
  <c r="C28" i="42"/>
  <c r="N13" i="35"/>
  <c r="AA27" i="33"/>
  <c r="C28" i="11"/>
  <c r="L13" i="15"/>
  <c r="L15" i="15" s="1"/>
  <c r="N13" i="15"/>
  <c r="K40" i="10"/>
  <c r="N55" i="15" l="1"/>
  <c r="N56" i="15"/>
  <c r="L57" i="15"/>
  <c r="L58" i="15"/>
  <c r="C29" i="42"/>
  <c r="N14" i="35"/>
  <c r="N15" i="35"/>
  <c r="C29" i="11"/>
  <c r="L14" i="15"/>
  <c r="L16" i="15"/>
  <c r="L17" i="15"/>
  <c r="N14" i="15"/>
  <c r="N15" i="15"/>
  <c r="K41" i="10"/>
  <c r="N57" i="15" l="1"/>
  <c r="N58" i="15"/>
  <c r="L59" i="15"/>
  <c r="L60" i="15"/>
  <c r="N16" i="35"/>
  <c r="N17" i="35"/>
  <c r="L18" i="15"/>
  <c r="L19" i="15"/>
  <c r="N16" i="15"/>
  <c r="N17" i="15"/>
  <c r="L61" i="15" l="1"/>
  <c r="L62" i="15"/>
  <c r="L63" i="15" s="1"/>
  <c r="N59" i="15"/>
  <c r="N60" i="15"/>
  <c r="N18" i="35"/>
  <c r="N19" i="35"/>
  <c r="N20" i="35" s="1"/>
  <c r="L20" i="15"/>
  <c r="N19" i="15"/>
  <c r="N18" i="15"/>
  <c r="N61" i="15" l="1"/>
  <c r="N62" i="15"/>
  <c r="N63" i="15" s="1"/>
  <c r="N20" i="15"/>
  <c r="C26" i="10"/>
  <c r="K23" i="35" l="1"/>
  <c r="B17" i="15"/>
  <c r="K23" i="15" s="1"/>
  <c r="C28" i="10"/>
  <c r="Q26" i="10"/>
  <c r="C30" i="10"/>
  <c r="K27" i="35" l="1"/>
  <c r="K97" i="35"/>
  <c r="K31" i="35"/>
  <c r="B21" i="15"/>
  <c r="K31" i="15" s="1"/>
  <c r="B103" i="15"/>
  <c r="K109" i="15" s="1"/>
  <c r="B19" i="15"/>
  <c r="K27" i="15" s="1"/>
  <c r="Q32" i="10"/>
  <c r="J26" i="10"/>
  <c r="Q31" i="10"/>
  <c r="K30" i="10"/>
  <c r="J29" i="10"/>
  <c r="J32" i="10"/>
  <c r="Q30" i="10"/>
  <c r="C32" i="10"/>
  <c r="Q25" i="10"/>
  <c r="J28" i="10"/>
  <c r="R30" i="10"/>
  <c r="J27" i="10"/>
  <c r="C25" i="10"/>
  <c r="J30" i="10"/>
  <c r="Q29" i="10"/>
  <c r="C29" i="10"/>
  <c r="J31" i="10"/>
  <c r="C27" i="10"/>
  <c r="Q27" i="10"/>
  <c r="D30" i="10"/>
  <c r="Q28" i="10"/>
  <c r="J25" i="10"/>
  <c r="C31" i="10"/>
  <c r="K68" i="35" l="1"/>
  <c r="K72" i="35"/>
  <c r="K101" i="35"/>
  <c r="K33" i="35"/>
  <c r="K70" i="35"/>
  <c r="K62" i="35"/>
  <c r="K60" i="35"/>
  <c r="K107" i="35"/>
  <c r="K95" i="35"/>
  <c r="K25" i="35"/>
  <c r="K99" i="35"/>
  <c r="K103" i="35"/>
  <c r="K29" i="35"/>
  <c r="K64" i="35"/>
  <c r="K58" i="35"/>
  <c r="K105" i="35"/>
  <c r="K35" i="35"/>
  <c r="K21" i="35"/>
  <c r="K109" i="35"/>
  <c r="K66" i="35"/>
  <c r="B105" i="15"/>
  <c r="K113" i="15" s="1"/>
  <c r="B22" i="15"/>
  <c r="K33" i="15" s="1"/>
  <c r="B23" i="15"/>
  <c r="K35" i="15" s="1"/>
  <c r="B107" i="15"/>
  <c r="K117" i="15" s="1"/>
  <c r="B66" i="15"/>
  <c r="K78" i="15" s="1"/>
  <c r="B109" i="15"/>
  <c r="K121" i="15" s="1"/>
  <c r="B61" i="15"/>
  <c r="K68" i="15" s="1"/>
  <c r="B63" i="15"/>
  <c r="K72" i="15" s="1"/>
  <c r="B108" i="15"/>
  <c r="K119" i="15" s="1"/>
  <c r="B64" i="15"/>
  <c r="K74" i="15" s="1"/>
  <c r="B102" i="15"/>
  <c r="K107" i="15" s="1"/>
  <c r="B104" i="15"/>
  <c r="K111" i="15" s="1"/>
  <c r="B18" i="15"/>
  <c r="K25" i="15" s="1"/>
  <c r="B59" i="15"/>
  <c r="K64" i="15" s="1"/>
  <c r="B20" i="15"/>
  <c r="K29" i="15" s="1"/>
  <c r="B16" i="15"/>
  <c r="K21" i="15" s="1"/>
  <c r="B106" i="15"/>
  <c r="K115" i="15" s="1"/>
  <c r="B60" i="15"/>
  <c r="K66" i="15" s="1"/>
  <c r="B62" i="15"/>
  <c r="K70" i="15" s="1"/>
  <c r="B65" i="15"/>
  <c r="K76" i="15" s="1"/>
  <c r="C64" i="15"/>
  <c r="C107" i="15"/>
  <c r="C21" i="15"/>
  <c r="R31" i="10"/>
  <c r="K31" i="10"/>
  <c r="D31" i="10"/>
  <c r="C65" i="15" l="1"/>
  <c r="C22" i="15"/>
  <c r="C108" i="15"/>
  <c r="L32" i="10"/>
  <c r="S32" i="10"/>
  <c r="E32" i="10"/>
  <c r="D66" i="15" l="1"/>
  <c r="M78" i="15" s="1"/>
  <c r="M77" i="15" s="1"/>
  <c r="M109" i="35"/>
  <c r="M108" i="35" s="1"/>
  <c r="M72" i="35"/>
  <c r="M71" i="35" s="1"/>
  <c r="M35" i="35"/>
  <c r="M34" i="35" s="1"/>
  <c r="D23" i="15"/>
  <c r="M35" i="15" s="1"/>
  <c r="M34" i="15" s="1"/>
  <c r="D109" i="15"/>
  <c r="M121" i="15" s="1"/>
  <c r="M120" i="15" s="1"/>
  <c r="D25" i="10"/>
  <c r="R25" i="10"/>
  <c r="K25" i="10"/>
  <c r="L95" i="35" l="1"/>
  <c r="L96" i="35" s="1"/>
  <c r="L58" i="35"/>
  <c r="L59" i="35" s="1"/>
  <c r="L21" i="35"/>
  <c r="L22" i="35" s="1"/>
  <c r="C16" i="15"/>
  <c r="L21" i="15" s="1"/>
  <c r="L22" i="15" s="1"/>
  <c r="C102" i="15"/>
  <c r="L107" i="15" s="1"/>
  <c r="L108" i="15" s="1"/>
  <c r="C59" i="15"/>
  <c r="L64" i="15" s="1"/>
  <c r="L65" i="15" s="1"/>
  <c r="S26" i="10"/>
  <c r="L26" i="10"/>
  <c r="E26" i="10"/>
  <c r="M97" i="35" l="1"/>
  <c r="M96" i="35" s="1"/>
  <c r="M23" i="35"/>
  <c r="M22" i="35" s="1"/>
  <c r="M60" i="35"/>
  <c r="M59" i="35" s="1"/>
  <c r="D60" i="15"/>
  <c r="M66" i="15" s="1"/>
  <c r="M65" i="15" s="1"/>
  <c r="D17" i="15"/>
  <c r="M23" i="15" s="1"/>
  <c r="M22" i="15" s="1"/>
  <c r="D103" i="15"/>
  <c r="M109" i="15" s="1"/>
  <c r="M108" i="15" s="1"/>
  <c r="D26" i="10"/>
  <c r="R26" i="10"/>
  <c r="K26" i="10"/>
  <c r="L23" i="35" l="1"/>
  <c r="L24" i="35" s="1"/>
  <c r="L97" i="35"/>
  <c r="L98" i="35" s="1"/>
  <c r="L60" i="35"/>
  <c r="L61" i="35" s="1"/>
  <c r="C60" i="15"/>
  <c r="L66" i="15" s="1"/>
  <c r="L67" i="15" s="1"/>
  <c r="C17" i="15"/>
  <c r="L23" i="15" s="1"/>
  <c r="L24" i="15" s="1"/>
  <c r="C103" i="15"/>
  <c r="L109" i="15" s="1"/>
  <c r="L110" i="15" s="1"/>
  <c r="R28" i="10"/>
  <c r="D28" i="10"/>
  <c r="K28" i="10"/>
  <c r="C19" i="15" l="1"/>
  <c r="C62" i="15"/>
  <c r="C105" i="15"/>
  <c r="L25" i="10"/>
  <c r="S25" i="10"/>
  <c r="E25" i="10"/>
  <c r="M95" i="35" l="1"/>
  <c r="M94" i="35" s="1"/>
  <c r="M58" i="35"/>
  <c r="M57" i="35" s="1"/>
  <c r="M21" i="35"/>
  <c r="M20" i="35" s="1"/>
  <c r="D102" i="15"/>
  <c r="M107" i="15" s="1"/>
  <c r="M106" i="15" s="1"/>
  <c r="D59" i="15"/>
  <c r="M64" i="15" s="1"/>
  <c r="M63" i="15" s="1"/>
  <c r="D16" i="15"/>
  <c r="M21" i="15" s="1"/>
  <c r="M20" i="15" s="1"/>
  <c r="R29" i="10"/>
  <c r="D29" i="10"/>
  <c r="K29" i="10"/>
  <c r="C106" i="15" l="1"/>
  <c r="C20" i="15"/>
  <c r="C63" i="15"/>
  <c r="F26" i="10"/>
  <c r="T26" i="10"/>
  <c r="M26" i="10"/>
  <c r="E103" i="15" l="1"/>
  <c r="E60" i="15"/>
  <c r="E17" i="15"/>
  <c r="F28" i="10"/>
  <c r="M28" i="10"/>
  <c r="T28" i="10"/>
  <c r="E105" i="15" l="1"/>
  <c r="E62" i="15"/>
  <c r="E19" i="15"/>
  <c r="M25" i="10"/>
  <c r="T25" i="10"/>
  <c r="F25" i="10"/>
  <c r="N58" i="35" l="1"/>
  <c r="N21" i="35"/>
  <c r="N95" i="35"/>
  <c r="E59" i="15"/>
  <c r="N64" i="15" s="1"/>
  <c r="E16" i="15"/>
  <c r="N21" i="15" s="1"/>
  <c r="E102" i="15"/>
  <c r="N107" i="15" s="1"/>
  <c r="D32" i="10"/>
  <c r="R32" i="10"/>
  <c r="K32" i="10"/>
  <c r="N108" i="15" l="1"/>
  <c r="N109" i="15"/>
  <c r="N110" i="15" s="1"/>
  <c r="N65" i="15"/>
  <c r="N66" i="15"/>
  <c r="N67" i="15" s="1"/>
  <c r="N96" i="35"/>
  <c r="N97" i="35"/>
  <c r="N98" i="35" s="1"/>
  <c r="N22" i="35"/>
  <c r="N23" i="35"/>
  <c r="N24" i="35" s="1"/>
  <c r="N59" i="35"/>
  <c r="N60" i="35"/>
  <c r="N61" i="35" s="1"/>
  <c r="C66" i="15"/>
  <c r="C23" i="15"/>
  <c r="C109" i="15"/>
  <c r="N22" i="15"/>
  <c r="N23" i="15"/>
  <c r="N24" i="15" s="1"/>
  <c r="F30" i="10"/>
  <c r="M30" i="10"/>
  <c r="T30" i="10"/>
  <c r="E64" i="15" l="1"/>
  <c r="E107" i="15"/>
  <c r="E21" i="15"/>
  <c r="S31" i="10"/>
  <c r="E31" i="10"/>
  <c r="L31" i="10"/>
  <c r="M70" i="35" l="1"/>
  <c r="M69" i="35" s="1"/>
  <c r="M33" i="35"/>
  <c r="M32" i="35" s="1"/>
  <c r="M107" i="35"/>
  <c r="M106" i="35" s="1"/>
  <c r="D22" i="15"/>
  <c r="M33" i="15" s="1"/>
  <c r="M32" i="15" s="1"/>
  <c r="D65" i="15"/>
  <c r="M76" i="15" s="1"/>
  <c r="M75" i="15" s="1"/>
  <c r="D108" i="15"/>
  <c r="M119" i="15" s="1"/>
  <c r="M118" i="15" s="1"/>
  <c r="E27" i="10"/>
  <c r="L27" i="10"/>
  <c r="S27" i="10"/>
  <c r="M62" i="35" l="1"/>
  <c r="M61" i="35" s="1"/>
  <c r="M99" i="35"/>
  <c r="M98" i="35" s="1"/>
  <c r="M25" i="35"/>
  <c r="M24" i="35" s="1"/>
  <c r="D104" i="15"/>
  <c r="M111" i="15" s="1"/>
  <c r="M110" i="15" s="1"/>
  <c r="D61" i="15"/>
  <c r="M68" i="15" s="1"/>
  <c r="M67" i="15" s="1"/>
  <c r="D18" i="15"/>
  <c r="M25" i="15" s="1"/>
  <c r="M24" i="15" s="1"/>
  <c r="T32" i="10"/>
  <c r="F32" i="10"/>
  <c r="M32" i="10"/>
  <c r="E66" i="15" l="1"/>
  <c r="E23" i="15"/>
  <c r="E109" i="15"/>
  <c r="T27" i="10"/>
  <c r="F27" i="10"/>
  <c r="M27" i="10"/>
  <c r="N62" i="35" l="1"/>
  <c r="N25" i="35"/>
  <c r="N99" i="35"/>
  <c r="E18" i="15"/>
  <c r="N25" i="15" s="1"/>
  <c r="E104" i="15"/>
  <c r="N111" i="15" s="1"/>
  <c r="E61" i="15"/>
  <c r="N68" i="15" s="1"/>
  <c r="F31" i="10"/>
  <c r="M31" i="10"/>
  <c r="T31" i="10"/>
  <c r="N112" i="15" l="1"/>
  <c r="N113" i="15"/>
  <c r="N114" i="15" s="1"/>
  <c r="N69" i="15"/>
  <c r="N70" i="15"/>
  <c r="N71" i="15" s="1"/>
  <c r="N100" i="35"/>
  <c r="N101" i="35"/>
  <c r="N102" i="35" s="1"/>
  <c r="N26" i="35"/>
  <c r="N27" i="35"/>
  <c r="N28" i="35" s="1"/>
  <c r="N63" i="35"/>
  <c r="N64" i="35"/>
  <c r="N65" i="35" s="1"/>
  <c r="E22" i="15"/>
  <c r="E108" i="15"/>
  <c r="E65" i="15"/>
  <c r="N26" i="15"/>
  <c r="N27" i="15"/>
  <c r="N28" i="15" s="1"/>
  <c r="R27" i="10"/>
  <c r="D27" i="10"/>
  <c r="K27" i="10"/>
  <c r="L99" i="35" l="1"/>
  <c r="L25" i="35"/>
  <c r="L62" i="35"/>
  <c r="C104" i="15"/>
  <c r="L111" i="15" s="1"/>
  <c r="C61" i="15"/>
  <c r="L68" i="15" s="1"/>
  <c r="C18" i="15"/>
  <c r="L25" i="15" s="1"/>
  <c r="C23" i="22"/>
  <c r="S28" i="10"/>
  <c r="R35" i="10"/>
  <c r="E28" i="10"/>
  <c r="D35" i="10"/>
  <c r="L28" i="10"/>
  <c r="L112" i="15" l="1"/>
  <c r="L113" i="15"/>
  <c r="L69" i="15"/>
  <c r="L70" i="15"/>
  <c r="M64" i="35"/>
  <c r="M63" i="35" s="1"/>
  <c r="M101" i="35"/>
  <c r="M100" i="35" s="1"/>
  <c r="M27" i="35"/>
  <c r="M26" i="35" s="1"/>
  <c r="L63" i="35"/>
  <c r="L64" i="35"/>
  <c r="L26" i="35"/>
  <c r="L27" i="35"/>
  <c r="L100" i="35"/>
  <c r="L101" i="35"/>
  <c r="D19" i="15"/>
  <c r="M27" i="15" s="1"/>
  <c r="M26" i="15" s="1"/>
  <c r="D62" i="15"/>
  <c r="M70" i="15" s="1"/>
  <c r="M69" i="15" s="1"/>
  <c r="D105" i="15"/>
  <c r="M113" i="15" s="1"/>
  <c r="M112" i="15" s="1"/>
  <c r="L26" i="15"/>
  <c r="L27" i="15"/>
  <c r="L29" i="10"/>
  <c r="E29" i="10"/>
  <c r="S29" i="10"/>
  <c r="L114" i="15" l="1"/>
  <c r="L115" i="15"/>
  <c r="L71" i="15"/>
  <c r="L72" i="15"/>
  <c r="M103" i="35"/>
  <c r="M102" i="35" s="1"/>
  <c r="M66" i="35"/>
  <c r="M65" i="35" s="1"/>
  <c r="M29" i="35"/>
  <c r="M28" i="35" s="1"/>
  <c r="L28" i="35"/>
  <c r="L29" i="35"/>
  <c r="L65" i="35"/>
  <c r="L66" i="35"/>
  <c r="L102" i="35"/>
  <c r="L103" i="35"/>
  <c r="D106" i="15"/>
  <c r="M115" i="15" s="1"/>
  <c r="M114" i="15" s="1"/>
  <c r="D63" i="15"/>
  <c r="M72" i="15" s="1"/>
  <c r="M71" i="15" s="1"/>
  <c r="D20" i="15"/>
  <c r="M29" i="15" s="1"/>
  <c r="M28" i="15" s="1"/>
  <c r="L28" i="15"/>
  <c r="L29" i="15"/>
  <c r="L30" i="10"/>
  <c r="E30" i="10"/>
  <c r="S30" i="10"/>
  <c r="L116" i="15" l="1"/>
  <c r="L117" i="15"/>
  <c r="L73" i="15"/>
  <c r="L74" i="15"/>
  <c r="M31" i="35"/>
  <c r="M30" i="35" s="1"/>
  <c r="M105" i="35"/>
  <c r="M104" i="35" s="1"/>
  <c r="M68" i="35"/>
  <c r="M67" i="35" s="1"/>
  <c r="L30" i="35"/>
  <c r="L31" i="35"/>
  <c r="L67" i="35"/>
  <c r="L68" i="35"/>
  <c r="L104" i="35"/>
  <c r="L105" i="35"/>
  <c r="D21" i="15"/>
  <c r="M31" i="15" s="1"/>
  <c r="M30" i="15" s="1"/>
  <c r="D107" i="15"/>
  <c r="M117" i="15" s="1"/>
  <c r="M116" i="15" s="1"/>
  <c r="D64" i="15"/>
  <c r="M74" i="15" s="1"/>
  <c r="M73" i="15" s="1"/>
  <c r="L30" i="15"/>
  <c r="L31" i="15"/>
  <c r="F29" i="10"/>
  <c r="M29" i="10"/>
  <c r="T29" i="10"/>
  <c r="L118" i="15" l="1"/>
  <c r="L119" i="15"/>
  <c r="L75" i="15"/>
  <c r="L76" i="15"/>
  <c r="N66" i="35"/>
  <c r="N103" i="35"/>
  <c r="N29" i="35"/>
  <c r="L32" i="35"/>
  <c r="L33" i="35"/>
  <c r="L69" i="35"/>
  <c r="L70" i="35"/>
  <c r="L106" i="35"/>
  <c r="L107" i="35"/>
  <c r="E63" i="15"/>
  <c r="N72" i="15" s="1"/>
  <c r="E106" i="15"/>
  <c r="N115" i="15" s="1"/>
  <c r="E20" i="15"/>
  <c r="N29" i="15" s="1"/>
  <c r="E24" i="22"/>
  <c r="L32" i="15"/>
  <c r="L33" i="15"/>
  <c r="L35" i="15" s="1"/>
  <c r="L37" i="15" s="1"/>
  <c r="L39" i="15" s="1"/>
  <c r="L41" i="15" s="1"/>
  <c r="T36" i="10"/>
  <c r="F36" i="10"/>
  <c r="N116" i="15" l="1"/>
  <c r="N117" i="15"/>
  <c r="L120" i="15"/>
  <c r="L121" i="15"/>
  <c r="N73" i="15"/>
  <c r="N74" i="15"/>
  <c r="L77" i="15"/>
  <c r="L78" i="15"/>
  <c r="L42" i="15"/>
  <c r="L40" i="15"/>
  <c r="L38" i="15"/>
  <c r="L34" i="35"/>
  <c r="L35" i="35"/>
  <c r="N30" i="35"/>
  <c r="N31" i="35"/>
  <c r="L71" i="35"/>
  <c r="L72" i="35"/>
  <c r="N104" i="35"/>
  <c r="N105" i="35"/>
  <c r="L108" i="35"/>
  <c r="L109" i="35"/>
  <c r="N67" i="35"/>
  <c r="N68" i="35"/>
  <c r="E25" i="22"/>
  <c r="N30" i="15"/>
  <c r="N31" i="15"/>
  <c r="L34" i="15"/>
  <c r="F37" i="10"/>
  <c r="T37" i="10"/>
  <c r="L122" i="15" l="1"/>
  <c r="L123" i="15"/>
  <c r="N118" i="15"/>
  <c r="N119" i="15"/>
  <c r="L79" i="15"/>
  <c r="L80" i="15"/>
  <c r="N75" i="15"/>
  <c r="N76" i="15"/>
  <c r="N106" i="35"/>
  <c r="N107" i="35"/>
  <c r="L74" i="35"/>
  <c r="L73" i="35"/>
  <c r="N69" i="35"/>
  <c r="N70" i="35"/>
  <c r="N32" i="35"/>
  <c r="N33" i="35"/>
  <c r="L111" i="35"/>
  <c r="L110" i="35"/>
  <c r="L37" i="35"/>
  <c r="L36" i="35"/>
  <c r="L36" i="15"/>
  <c r="C27" i="22"/>
  <c r="N32" i="15"/>
  <c r="N33" i="15"/>
  <c r="D39" i="10"/>
  <c r="R39" i="10"/>
  <c r="N120" i="15" l="1"/>
  <c r="N121" i="15"/>
  <c r="L125" i="15"/>
  <c r="L124" i="15"/>
  <c r="L82" i="15"/>
  <c r="L81" i="15"/>
  <c r="N77" i="15"/>
  <c r="N78" i="15"/>
  <c r="N34" i="35"/>
  <c r="N35" i="35"/>
  <c r="N36" i="35" s="1"/>
  <c r="N37" i="35" s="1"/>
  <c r="N71" i="35"/>
  <c r="N72" i="35"/>
  <c r="N73" i="35" s="1"/>
  <c r="N74" i="35" s="1"/>
  <c r="N108" i="35"/>
  <c r="N109" i="35"/>
  <c r="N110" i="35" s="1"/>
  <c r="N111" i="35" s="1"/>
  <c r="AA21" i="10"/>
  <c r="AA19" i="10"/>
  <c r="N34" i="15"/>
  <c r="N35" i="15"/>
  <c r="N37" i="15" s="1"/>
  <c r="C28" i="22"/>
  <c r="R40" i="10"/>
  <c r="D40" i="10"/>
  <c r="AA24" i="10" l="1"/>
  <c r="AA25" i="10" s="1"/>
  <c r="AA26" i="10" s="1"/>
  <c r="AA27" i="10" s="1"/>
  <c r="L126" i="15"/>
  <c r="L127" i="15"/>
  <c r="L128" i="15" s="1"/>
  <c r="N122" i="15"/>
  <c r="N123" i="15"/>
  <c r="L84" i="15"/>
  <c r="L85" i="15" s="1"/>
  <c r="L83" i="15"/>
  <c r="N79" i="15"/>
  <c r="N80" i="15"/>
  <c r="N38" i="15"/>
  <c r="N39" i="15"/>
  <c r="N41" i="15" s="1"/>
  <c r="N36" i="15"/>
  <c r="C29" i="22"/>
  <c r="R41" i="10"/>
  <c r="D41" i="10"/>
  <c r="N124" i="15" l="1"/>
  <c r="N125" i="15"/>
  <c r="N81" i="15"/>
  <c r="N82" i="15"/>
  <c r="N40" i="15"/>
  <c r="N42" i="15"/>
  <c r="N127" i="15" l="1"/>
  <c r="N128" i="15" s="1"/>
  <c r="N126" i="15"/>
  <c r="N84" i="15"/>
  <c r="N85" i="15" s="1"/>
  <c r="N83" i="15"/>
</calcChain>
</file>

<file path=xl/sharedStrings.xml><?xml version="1.0" encoding="utf-8"?>
<sst xmlns="http://schemas.openxmlformats.org/spreadsheetml/2006/main" count="800" uniqueCount="204">
  <si>
    <t>Supply Voltage</t>
  </si>
  <si>
    <t>Hardware</t>
  </si>
  <si>
    <t>Software</t>
  </si>
  <si>
    <t>State</t>
  </si>
  <si>
    <t xml:space="preserve">Preparation for Recieve </t>
  </si>
  <si>
    <t>Recieve (RX)</t>
  </si>
  <si>
    <t>RX to TX transition</t>
  </si>
  <si>
    <t>Transmit (TX)</t>
  </si>
  <si>
    <t>Connection Interval [ms]</t>
  </si>
  <si>
    <t>TX to RX transition</t>
  </si>
  <si>
    <t>Advertising Interval [ms]</t>
  </si>
  <si>
    <t>Shutdown</t>
  </si>
  <si>
    <t>Battery capacity [mAh]</t>
  </si>
  <si>
    <t>Wake Up &amp; Pre-processing</t>
  </si>
  <si>
    <t>Radio Preparation</t>
  </si>
  <si>
    <t>Wake Up &amp; Pre-Processing</t>
  </si>
  <si>
    <t>Post-Processing</t>
  </si>
  <si>
    <t>Standby Current [uA]</t>
  </si>
  <si>
    <t>Hours</t>
  </si>
  <si>
    <t>Minutes</t>
  </si>
  <si>
    <t>Battery Life</t>
  </si>
  <si>
    <t>Days</t>
  </si>
  <si>
    <t>Years</t>
  </si>
  <si>
    <r>
      <t>Time 
[</t>
    </r>
    <r>
      <rPr>
        <sz val="10"/>
        <rFont val="Calibri"/>
        <family val="2"/>
      </rPr>
      <t>µ</t>
    </r>
    <r>
      <rPr>
        <sz val="10"/>
        <rFont val="Arial"/>
        <family val="2"/>
      </rPr>
      <t>s]</t>
    </r>
  </si>
  <si>
    <t>Time
[µs]</t>
  </si>
  <si>
    <t>Current [mA]</t>
  </si>
  <si>
    <t>Custom Application</t>
  </si>
  <si>
    <t>Avg. Current</t>
  </si>
  <si>
    <t>Unit</t>
  </si>
  <si>
    <t>Mode</t>
  </si>
  <si>
    <t>Average current</t>
  </si>
  <si>
    <t>%</t>
  </si>
  <si>
    <t>Average current draw during connection:</t>
  </si>
  <si>
    <t>Expected battery life:</t>
  </si>
  <si>
    <t>use case calculator - per day</t>
  </si>
  <si>
    <t>Combined activities</t>
  </si>
  <si>
    <t>Time * Current</t>
  </si>
  <si>
    <t>Average Current draw during advertising event [uA]</t>
  </si>
  <si>
    <t>uA</t>
  </si>
  <si>
    <t>LAUNCHXL-CC2640R2</t>
  </si>
  <si>
    <t>Bluetooth low energy consumption</t>
  </si>
  <si>
    <t>RF Configuration</t>
  </si>
  <si>
    <t>Total time of connection event [us]</t>
  </si>
  <si>
    <t>Total time * current [us*mA]</t>
  </si>
  <si>
    <t>Output Power [dBm]</t>
  </si>
  <si>
    <t>Connection data length [#bytes]</t>
  </si>
  <si>
    <t>Revision</t>
  </si>
  <si>
    <t>Date</t>
  </si>
  <si>
    <t>Voltage</t>
  </si>
  <si>
    <t>RF config</t>
  </si>
  <si>
    <t>Pout_diff</t>
  </si>
  <si>
    <t>Pout_SE</t>
  </si>
  <si>
    <t>Diff.</t>
  </si>
  <si>
    <t>S.E.</t>
  </si>
  <si>
    <t>Avg. current draw when advertising:</t>
  </si>
  <si>
    <t>Average Current draw during connection event [uA]</t>
  </si>
  <si>
    <t>Total time of advertising event [us]</t>
  </si>
  <si>
    <t>Known limits</t>
  </si>
  <si>
    <t>*</t>
  </si>
  <si>
    <t>Only cells colored light blue updates the calculations</t>
  </si>
  <si>
    <t>OutputPower</t>
  </si>
  <si>
    <t>Transmit (TX) - TxPower [dBm]</t>
  </si>
  <si>
    <t>Avg Current [mA]</t>
  </si>
  <si>
    <t>Crystal used</t>
  </si>
  <si>
    <t>RCOSC_LF</t>
  </si>
  <si>
    <t>external 32kHz</t>
  </si>
  <si>
    <t>Avg Time [us]</t>
  </si>
  <si>
    <t>Crystal - Receive (RX)</t>
  </si>
  <si>
    <t>Warning message</t>
  </si>
  <si>
    <t xml:space="preserve">* RF Conf. is hardcoded for now. </t>
  </si>
  <si>
    <t>Warning! You have chosen to use the external crystal with connection intervals longer than 1s. This crystal requires calibration every 1s to maintain its accuracy (which implies waking up the core between connection events, which requires an additional power consumption).</t>
  </si>
  <si>
    <t>**</t>
  </si>
  <si>
    <t>** We assume only one packet per connection interval</t>
  </si>
  <si>
    <t>SimplePeripheral, SDK 3.10</t>
  </si>
  <si>
    <t>Energy [pAh]</t>
  </si>
  <si>
    <t>CC2640R2 Current [mA]</t>
  </si>
  <si>
    <t>CC2640R2 Energy [pAh]</t>
  </si>
  <si>
    <t xml:space="preserve">The numbers used as basis for calculation are measured on a LAUNCH2640R2 rev 1.0. </t>
  </si>
  <si>
    <r>
      <rPr>
        <u/>
        <sz val="10"/>
        <rFont val="Arial"/>
        <family val="2"/>
      </rPr>
      <t>Remark regarding CC26X2 power consumption:</t>
    </r>
    <r>
      <rPr>
        <sz val="10"/>
        <rFont val="Arial"/>
        <family val="2"/>
      </rPr>
      <t xml:space="preserve">
On CC26X2, the average current consumption is significantly higher while the time required for each activity is significantly shorter (CC26X2 wakes up, prepares radio, switches between radio states and performs post-processing faster than CC2640R2).
In the end measurements taken on a CC26X2 show that</t>
    </r>
    <r>
      <rPr>
        <sz val="10"/>
        <rFont val="Arial"/>
        <family val="2"/>
      </rPr>
      <t xml:space="preserve"> </t>
    </r>
    <r>
      <rPr>
        <u/>
        <sz val="10"/>
        <rFont val="Arial"/>
        <family val="2"/>
      </rPr>
      <t>the CC26X2 's energy consumption is relatively close to the CC2640R2's energy consumption</t>
    </r>
    <r>
      <rPr>
        <sz val="10"/>
        <rFont val="Arial"/>
        <family val="2"/>
      </rPr>
      <t xml:space="preserve">. The values found for power consumption differ by less than 5% (upwards or downwards depending on the settings used). 
On CC26X2 Launchpads, you can use EnergyTrace to have the specific power profile of your application. 
</t>
    </r>
  </si>
  <si>
    <t>Activity 1:</t>
  </si>
  <si>
    <t>Activity 2:</t>
  </si>
  <si>
    <t>Activity 3:</t>
  </si>
  <si>
    <t>Legacy Advertising</t>
  </si>
  <si>
    <t>Long Range (S2) Advertising</t>
  </si>
  <si>
    <t>Long Range (S8) Advertising</t>
  </si>
  <si>
    <t>Connected as Peripheral</t>
  </si>
  <si>
    <t>None</t>
  </si>
  <si>
    <t>3p6V_LongRangeS2Advertisement</t>
  </si>
  <si>
    <t>Activity</t>
  </si>
  <si>
    <t>Get the page storing the data for each activity</t>
  </si>
  <si>
    <t>0V_None</t>
  </si>
  <si>
    <t>3V_LegacyAdvertisement</t>
  </si>
  <si>
    <t>3p6V_LegacyAdvertisement</t>
  </si>
  <si>
    <t>1p8V_LegacyAdvertisement</t>
  </si>
  <si>
    <t>1p8V_Connected</t>
  </si>
  <si>
    <t>3p6V_Connected</t>
  </si>
  <si>
    <t>3V_Connected</t>
  </si>
  <si>
    <t>3V_LongRangeS2Advertisement</t>
  </si>
  <si>
    <t>1p8V_LongRangeS2Advertisement</t>
  </si>
  <si>
    <t>3p6V_LongRangeS8Advertisement</t>
  </si>
  <si>
    <t>3V_LongRangeS8Advertisement</t>
  </si>
  <si>
    <t>1p8V_LongRangeS8Advertisement</t>
  </si>
  <si>
    <t>Page for activity 1</t>
  </si>
  <si>
    <t>Page for activity 2</t>
  </si>
  <si>
    <t>Page for activity 3</t>
  </si>
  <si>
    <t>Column for activity 1</t>
  </si>
  <si>
    <t>Row for activity 1</t>
  </si>
  <si>
    <t>Column for activity 2</t>
  </si>
  <si>
    <t>Row for activity 2</t>
  </si>
  <si>
    <t>Column for activity 3</t>
  </si>
  <si>
    <t>Row for activity 3</t>
  </si>
  <si>
    <t>Activity 1</t>
  </si>
  <si>
    <t>Activity 2</t>
  </si>
  <si>
    <t>Activity 3</t>
  </si>
  <si>
    <t/>
  </si>
  <si>
    <t>TX to TX transition</t>
  </si>
  <si>
    <t>Transmit (TX) – on secondary channel</t>
  </si>
  <si>
    <t>Receive (RX) – on secondary channel</t>
  </si>
  <si>
    <t>* this value is supposed to vary with the TxPower</t>
  </si>
  <si>
    <t>Transmit (TX) - TxPower [dBm] (Primary channel))</t>
  </si>
  <si>
    <t>Transmit (TX) - TxPower [dBm] (Secondary channel))</t>
  </si>
  <si>
    <t>Advertising data length (legacy) [#bytes]</t>
  </si>
  <si>
    <t>Advertising data length (extended advertising) [#bytes]</t>
  </si>
  <si>
    <r>
      <t xml:space="preserve">Total time </t>
    </r>
    <r>
      <rPr>
        <sz val="10"/>
        <rFont val="Arial"/>
        <family val="2"/>
      </rPr>
      <t>[us]</t>
    </r>
  </si>
  <si>
    <t>Average Current [uA]</t>
  </si>
  <si>
    <t>Extended Advertisement 1M</t>
  </si>
  <si>
    <t>Extended Advertisement 2M</t>
  </si>
  <si>
    <t>3p6V_2M_ExtendedAdvertisement</t>
  </si>
  <si>
    <t>3p6V_1M_ExtendedAdvertisement</t>
  </si>
  <si>
    <t>3V_1M_ExtendedAdvertisement</t>
  </si>
  <si>
    <t>3V_2M_ExtendedAdvertisement</t>
  </si>
  <si>
    <t>1p8V_1M_ExtendedAdvertisement</t>
  </si>
  <si>
    <t>1p8V_2M_ExtendedAdvertisement</t>
  </si>
  <si>
    <t>* these values are estimated</t>
  </si>
  <si>
    <t>Scanning Interval [ms]</t>
  </si>
  <si>
    <t>Scanning Window [ms]</t>
  </si>
  <si>
    <t>Scanning Type</t>
  </si>
  <si>
    <t>Scanning type</t>
  </si>
  <si>
    <t>Passive</t>
  </si>
  <si>
    <t>Active</t>
  </si>
  <si>
    <t>Activity types for Peripheral</t>
  </si>
  <si>
    <t>Activity types for Central</t>
  </si>
  <si>
    <t>Scanning</t>
  </si>
  <si>
    <t>SimpleCentral, SDK 3.10</t>
  </si>
  <si>
    <t>Scanning Duration [ms]</t>
  </si>
  <si>
    <t>Receive (RX)</t>
  </si>
  <si>
    <t>Post-processing</t>
  </si>
  <si>
    <t>Average current draw during scanning:</t>
  </si>
  <si>
    <t>Total time of scanning event [us]</t>
  </si>
  <si>
    <t>Average Current draw during scanning event [uA]</t>
  </si>
  <si>
    <t>3V_Scanning</t>
  </si>
  <si>
    <t>Time  per scan request [us]</t>
  </si>
  <si>
    <t>Avg current during scan request [mA]</t>
  </si>
  <si>
    <t>Current during Receive [mA]</t>
  </si>
  <si>
    <t>Time for only RX [us]</t>
  </si>
  <si>
    <t>Scan request sent [#]</t>
  </si>
  <si>
    <t>Average current [mA]</t>
  </si>
  <si>
    <t>3p6V_Scanning</t>
  </si>
  <si>
    <t>1p8V_Scanning</t>
  </si>
  <si>
    <t xml:space="preserve">Preparation for Tx </t>
  </si>
  <si>
    <t>Connected as Central</t>
  </si>
  <si>
    <t>3V_ConnectedCentral</t>
  </si>
  <si>
    <t>3p6V_ConnectedCentral</t>
  </si>
  <si>
    <t>1p8V_ConnectedCentral</t>
  </si>
  <si>
    <t>Standby</t>
  </si>
  <si>
    <t>Legacy Advertising &amp; Scan Response</t>
  </si>
  <si>
    <t>3p6V_ScanResponse</t>
  </si>
  <si>
    <t>1p8V_ScanResponse</t>
  </si>
  <si>
    <t>3V_ScanResponse</t>
  </si>
  <si>
    <t>Scan Response - Transmit (TX)</t>
  </si>
  <si>
    <t>Scan Response - TX to TX transition</t>
  </si>
  <si>
    <t>Avg Current scan TX [mA]</t>
  </si>
  <si>
    <t>Avg Current scan transition [mA]</t>
  </si>
  <si>
    <t>Scan Response data length [#bytes]</t>
  </si>
  <si>
    <t>Bluetooth low energy Power Calculator</t>
  </si>
  <si>
    <t>Navigate between the panes</t>
  </si>
  <si>
    <t>You can navigate between the different panes using the navigator at the bottom of the page.</t>
  </si>
  <si>
    <t>The current sheet.</t>
  </si>
  <si>
    <t>Use the Power Calculator</t>
  </si>
  <si>
    <t>As a consequence, it is normal to observe some results up to 10% upwards or downwards those presented here.</t>
  </si>
  <si>
    <t>Modify the settings:</t>
  </si>
  <si>
    <t xml:space="preserve">       1- Modify the global settings. This will affect all the results of the sheet.</t>
  </si>
  <si>
    <t xml:space="preserve">       2- Modify the activities executed by the device using the drop down list. </t>
  </si>
  <si>
    <t xml:space="preserve">       3- Modify the duration of each activity.</t>
  </si>
  <si>
    <t xml:space="preserve">       6- Battery life executing the selected activities during the specified time </t>
  </si>
  <si>
    <t>Read the results:</t>
  </si>
  <si>
    <t xml:space="preserve">Welcome to the Bluetooth low energy (BLE) Power Calculator! </t>
  </si>
  <si>
    <t>This tool will help you to estimate the power consumption of your BLE application running on a CC2640 or a CC2642.</t>
  </si>
  <si>
    <t>Some side notes regarding the Power Calculator accuracy.</t>
  </si>
  <si>
    <t>Notes</t>
  </si>
  <si>
    <t>The sheet presenting power consumption when the device is set as Peripheral</t>
  </si>
  <si>
    <t>The sheet presenting power consumption when the device is set as Central</t>
  </si>
  <si>
    <t xml:space="preserve">       5- Power profile for one occurrence of the selected activity.</t>
  </si>
  <si>
    <t xml:space="preserve">       4- Current consumption / Battery life time when only considering the given activity.</t>
  </si>
  <si>
    <t>For longer connection intervals the number of recharge pulses will increase which increase the standby current (a few 100 nA).</t>
  </si>
  <si>
    <t>The current for an advertising event will have some variation. One reason is that the recharge pulse that is the first that happen in the event will vary in size.</t>
  </si>
  <si>
    <r>
      <t xml:space="preserve">The Power Calculator is made to </t>
    </r>
    <r>
      <rPr>
        <u/>
        <sz val="10"/>
        <rFont val="Arial"/>
        <family val="2"/>
      </rPr>
      <t>estimate</t>
    </r>
    <r>
      <rPr>
        <sz val="10"/>
        <rFont val="Arial"/>
        <family val="2"/>
      </rPr>
      <t xml:space="preserve"> the power calculation of your application. A lot of other factors linked to the environment can modify the power consumption.</t>
    </r>
  </si>
  <si>
    <t xml:space="preserve">The Txpower consumption has some variation between the 3 channels used. This is not taken into consideration in the calculation.  </t>
  </si>
  <si>
    <t>4.0.1</t>
  </si>
  <si>
    <t xml:space="preserve">A few guide lines to update the BT-POWER-CALC:
</t>
  </si>
  <si>
    <t xml:space="preserve">•  most of the pages are hidden, you will have to "Unhide" them (right click on the pages' names)
•  the page Input Arguments contains the arguments available for all the drop-down lists
•  the data displayed on the BLE - Central and BLE - Peripheral pages comes from the pages named 0v_None, 3V_xxxx, 1p8V_xxxx, 3p6V_xxxx. In   theory the name of the pages is quite explicit.
•  the page DataSourceSelection - Central selects the pages to be used by BLE - Central
•  the page DataSourceSelection - Periph selects the pages to be used by BLE - Peripheral 
•  the graphics displayed on the pages BLE - Central and BLE - Peripheral are not directly using the data on the page. Instead, the pages DataForDisplay - Central and DataForDisplay - Peripheral are used. Those pages are required in order to have cleaner figures.
 •  The pages DataForDisplay - Central and DataForDisplay - Peripheral take the data from the BLE - Central and BLE - Peripheral pages. The figures on the BLE - Central and BLE - Peripheral pages use the data in the pages DataForDisplay - Central and DataForDisplay - Peripheral.
</t>
  </si>
  <si>
    <t>To add an activity, you should do the following:</t>
  </si>
  <si>
    <r>
      <t xml:space="preserve">• Create a page (or probably three) named after the voltage and the activity (e.g. 3V_myNewActivity). I generally recommend to copy an existing page in order to reuse the same format. IMPORTANT: Your new activity has to be divided into 16 steps </t>
    </r>
    <r>
      <rPr>
        <u/>
        <sz val="10"/>
        <rFont val="Arial"/>
        <family val="2"/>
      </rPr>
      <t>maximum</t>
    </r>
    <r>
      <rPr>
        <sz val="10"/>
        <rFont val="Arial"/>
        <family val="2"/>
      </rPr>
      <t xml:space="preserve">. If you need more steps then more modifications will be required.
• Add the name of the new activity on the Input arguments page. Column B contains the activities for peripheral devices. Column I contains the arguments for Central.
• On the pages BLE - Central and BLE - Peripheral, for all the cells containing the name of the activity (those cells are blue): 
           o select the cell
           o go to Data &gt; Data Validation
           o a pop-up will appear and you will be able to select the Source of the data in the list.
           o complete this list in order to take into account the new activity name (you will have something like "='Input arguments'!$B$2:$B$10" for peripheral)
• Update the pages DataSourceSelection - Central and DataSourceSelection - Peripheral. Most of the time only one of the two has to be updated. 
           o Complete the table by referencing the name of the activity (use a reference to the Input arguments page) and the different pages containing the data.
           o Modify the formulas used to compute the case next to "Column for Activity 1", "Column for Activity 2" and "Column for Activity 3". You have to add one more "IF" statement in the formula in order to take into account the data you added to the table.
           o Verify by changing the activities selected on the pages BLE - Central and BLE - Peripheral if the data selected are correct. There are green cells on the pages DataSourceSelection - Central and DataSourceSelection - Peripheral. Those cells have to contain the right page in order to have the right data displayed.
• You're done! Hide all the pages you don't want to see and have fun with </t>
    </r>
    <r>
      <rPr>
        <u/>
        <sz val="10"/>
        <rFont val="Arial"/>
        <family val="2"/>
      </rPr>
      <t>your</t>
    </r>
    <r>
      <rPr>
        <sz val="10"/>
        <rFont val="Arial"/>
        <family val="2"/>
      </rPr>
      <t xml:space="preserve"> BT-POWER-CALC
</t>
    </r>
  </si>
  <si>
    <r>
      <t xml:space="preserve">Remarks regarding BT-POWER-CALC update:
</t>
    </r>
    <r>
      <rPr>
        <sz val="10"/>
        <rFont val="Arial"/>
        <family val="2"/>
      </rPr>
      <t xml:space="preserve">You are more than welcome to modify and update the power calculator. 
You can find an hiden page named "Guide lines to update" to help you. </t>
    </r>
  </si>
</sst>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0.000"/>
    <numFmt numFmtId="165" formatCode="0.0000"/>
    <numFmt numFmtId="166" formatCode="0.00000"/>
    <numFmt numFmtId="167" formatCode="0.0"/>
    <numFmt numFmtId="168" formatCode="[$-409]d\-mmm\-yy;@"/>
  </numFmts>
  <fonts count="31"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0"/>
      <name val="Arial"/>
      <family val="2"/>
    </font>
    <font>
      <sz val="10"/>
      <name val="Arial"/>
      <family val="2"/>
    </font>
    <font>
      <b/>
      <sz val="12"/>
      <name val="Arial"/>
      <family val="2"/>
    </font>
    <font>
      <sz val="10"/>
      <name val="Calibri"/>
      <family val="2"/>
    </font>
    <font>
      <sz val="10"/>
      <color theme="0"/>
      <name val="Arial"/>
      <family val="2"/>
    </font>
    <font>
      <b/>
      <sz val="12"/>
      <color theme="0"/>
      <name val="Arial"/>
      <family val="2"/>
    </font>
    <font>
      <sz val="10"/>
      <color theme="0" tint="-0.499984740745262"/>
      <name val="Arial"/>
      <family val="2"/>
    </font>
    <font>
      <sz val="10"/>
      <color theme="1" tint="0.499984740745262"/>
      <name val="Arial"/>
      <family val="2"/>
    </font>
    <font>
      <b/>
      <sz val="10"/>
      <color rgb="FFFF0000"/>
      <name val="Arial"/>
      <family val="2"/>
    </font>
    <font>
      <sz val="10"/>
      <color rgb="FFFF0000"/>
      <name val="Arial"/>
      <family val="2"/>
    </font>
    <font>
      <sz val="10"/>
      <color theme="1"/>
      <name val="Arial"/>
      <family val="2"/>
    </font>
    <font>
      <u/>
      <sz val="10"/>
      <name val="Arial"/>
      <family val="2"/>
    </font>
    <font>
      <sz val="11"/>
      <color rgb="FF006100"/>
      <name val="Calibri"/>
      <family val="2"/>
      <scheme val="minor"/>
    </font>
    <font>
      <i/>
      <sz val="11"/>
      <color rgb="FF7F7F7F"/>
      <name val="Calibri"/>
      <family val="2"/>
      <scheme val="minor"/>
    </font>
    <font>
      <b/>
      <sz val="11"/>
      <color theme="1"/>
      <name val="Arial"/>
      <family val="2"/>
    </font>
    <font>
      <sz val="9"/>
      <name val="Arial"/>
      <family val="2"/>
    </font>
    <font>
      <sz val="8"/>
      <name val="Arial"/>
      <family val="2"/>
    </font>
    <font>
      <i/>
      <sz val="10"/>
      <name val="Arial"/>
      <family val="2"/>
    </font>
    <font>
      <b/>
      <sz val="10"/>
      <color theme="1"/>
      <name val="Arial"/>
      <family val="2"/>
    </font>
    <font>
      <b/>
      <sz val="11"/>
      <name val="Arial"/>
      <family val="2"/>
    </font>
    <font>
      <sz val="12"/>
      <name val="Arial"/>
      <family val="2"/>
    </font>
  </fonts>
  <fills count="16">
    <fill>
      <patternFill patternType="none"/>
    </fill>
    <fill>
      <patternFill patternType="gray125"/>
    </fill>
    <fill>
      <patternFill patternType="solid">
        <fgColor theme="0"/>
        <bgColor indexed="64"/>
      </patternFill>
    </fill>
    <fill>
      <patternFill patternType="solid">
        <fgColor theme="8" tint="0.59999389629810485"/>
        <bgColor indexed="64"/>
      </patternFill>
    </fill>
    <fill>
      <patternFill patternType="solid">
        <fgColor theme="6" tint="0.59999389629810485"/>
        <bgColor indexed="64"/>
      </patternFill>
    </fill>
    <fill>
      <patternFill patternType="solid">
        <fgColor theme="6" tint="0.39997558519241921"/>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8" tint="0.39997558519241921"/>
        <bgColor indexed="64"/>
      </patternFill>
    </fill>
    <fill>
      <patternFill patternType="solid">
        <fgColor theme="8" tint="-0.249977111117893"/>
        <bgColor indexed="64"/>
      </patternFill>
    </fill>
    <fill>
      <patternFill patternType="solid">
        <fgColor theme="0" tint="-0.499984740745262"/>
        <bgColor indexed="64"/>
      </patternFill>
    </fill>
    <fill>
      <patternFill patternType="solid">
        <fgColor theme="8" tint="-0.499984740745262"/>
        <bgColor indexed="64"/>
      </patternFill>
    </fill>
    <fill>
      <patternFill patternType="solid">
        <fgColor theme="0" tint="-4.9989318521683403E-2"/>
        <bgColor indexed="64"/>
      </patternFill>
    </fill>
    <fill>
      <patternFill patternType="solid">
        <fgColor theme="8" tint="0.59999389629810485"/>
        <bgColor indexed="65"/>
      </patternFill>
    </fill>
    <fill>
      <patternFill patternType="solid">
        <fgColor rgb="FFC6EFCE"/>
      </patternFill>
    </fill>
    <fill>
      <patternFill patternType="solid">
        <fgColor rgb="FFFFFF00"/>
        <bgColor indexed="64"/>
      </patternFill>
    </fill>
  </fills>
  <borders count="16">
    <border>
      <left/>
      <right/>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style="thin">
        <color auto="1"/>
      </left>
      <right/>
      <top style="thin">
        <color auto="1"/>
      </top>
      <bottom style="thin">
        <color auto="1"/>
      </bottom>
      <diagonal/>
    </border>
    <border>
      <left/>
      <right style="thin">
        <color auto="1"/>
      </right>
      <top style="thin">
        <color auto="1"/>
      </top>
      <bottom/>
      <diagonal/>
    </border>
    <border>
      <left/>
      <right/>
      <top/>
      <bottom style="thin">
        <color auto="1"/>
      </bottom>
      <diagonal/>
    </border>
    <border>
      <left style="thin">
        <color auto="1"/>
      </left>
      <right/>
      <top style="thin">
        <color auto="1"/>
      </top>
      <bottom/>
      <diagonal/>
    </border>
    <border>
      <left/>
      <right/>
      <top style="thin">
        <color auto="1"/>
      </top>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s>
  <cellStyleXfs count="19">
    <xf numFmtId="0" fontId="0" fillId="0" borderId="0"/>
    <xf numFmtId="0" fontId="9" fillId="13" borderId="0" applyNumberFormat="0" applyBorder="0" applyAlignment="0" applyProtection="0"/>
    <xf numFmtId="0" fontId="9" fillId="0" borderId="0"/>
    <xf numFmtId="0" fontId="8" fillId="0" borderId="0"/>
    <xf numFmtId="0" fontId="22" fillId="14" borderId="0" applyNumberFormat="0" applyBorder="0" applyAlignment="0" applyProtection="0"/>
    <xf numFmtId="0" fontId="23" fillId="0" borderId="0" applyNumberFormat="0" applyFill="0" applyBorder="0" applyAlignment="0" applyProtection="0"/>
    <xf numFmtId="0" fontId="6" fillId="0" borderId="0"/>
    <xf numFmtId="9" fontId="6" fillId="0" borderId="0" applyFont="0" applyFill="0" applyBorder="0" applyAlignment="0" applyProtection="0"/>
    <xf numFmtId="0" fontId="5" fillId="0" borderId="0"/>
    <xf numFmtId="0" fontId="4" fillId="0" borderId="0"/>
    <xf numFmtId="9" fontId="4" fillId="0" borderId="0" applyFont="0" applyFill="0" applyBorder="0" applyAlignment="0" applyProtection="0"/>
    <xf numFmtId="0" fontId="1" fillId="13" borderId="0" applyNumberFormat="0" applyBorder="0" applyAlignment="0" applyProtection="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cellStyleXfs>
  <cellXfs count="227">
    <xf numFmtId="0" fontId="0" fillId="0" borderId="0" xfId="0"/>
    <xf numFmtId="0" fontId="11" fillId="0" borderId="0" xfId="0" applyFont="1"/>
    <xf numFmtId="0" fontId="0" fillId="0" borderId="0" xfId="0" applyBorder="1"/>
    <xf numFmtId="0" fontId="0" fillId="0" borderId="6" xfId="0" applyBorder="1"/>
    <xf numFmtId="0" fontId="0" fillId="0" borderId="0" xfId="0" applyAlignment="1">
      <alignment wrapText="1"/>
    </xf>
    <xf numFmtId="0" fontId="0" fillId="0" borderId="0" xfId="0" applyBorder="1" applyAlignment="1">
      <alignment wrapText="1"/>
    </xf>
    <xf numFmtId="0" fontId="0" fillId="0" borderId="9" xfId="0" applyBorder="1" applyAlignment="1">
      <alignment horizontal="center"/>
    </xf>
    <xf numFmtId="0" fontId="0" fillId="0" borderId="0" xfId="0" applyBorder="1" applyAlignment="1">
      <alignment horizontal="center"/>
    </xf>
    <xf numFmtId="0" fontId="0" fillId="0" borderId="9" xfId="0" applyBorder="1"/>
    <xf numFmtId="0" fontId="0" fillId="0" borderId="7" xfId="0" applyBorder="1"/>
    <xf numFmtId="0" fontId="0" fillId="0" borderId="2" xfId="0" applyBorder="1"/>
    <xf numFmtId="0" fontId="0" fillId="0" borderId="4" xfId="0" applyBorder="1"/>
    <xf numFmtId="0" fontId="0" fillId="0" borderId="3" xfId="0" applyBorder="1"/>
    <xf numFmtId="0" fontId="10" fillId="0" borderId="0" xfId="0" applyFont="1" applyAlignment="1">
      <alignment wrapText="1"/>
    </xf>
    <xf numFmtId="0" fontId="11" fillId="0" borderId="0" xfId="0" applyFont="1" applyAlignment="1">
      <alignment wrapText="1"/>
    </xf>
    <xf numFmtId="0" fontId="11" fillId="0" borderId="11" xfId="0" applyFont="1" applyBorder="1"/>
    <xf numFmtId="0" fontId="11" fillId="0" borderId="11" xfId="0" applyFont="1" applyBorder="1" applyAlignment="1">
      <alignment wrapText="1"/>
    </xf>
    <xf numFmtId="0" fontId="11" fillId="0" borderId="12" xfId="0" applyFont="1" applyBorder="1" applyAlignment="1">
      <alignment wrapText="1"/>
    </xf>
    <xf numFmtId="0" fontId="10" fillId="0" borderId="11" xfId="0" applyFont="1" applyBorder="1" applyAlignment="1">
      <alignment wrapText="1"/>
    </xf>
    <xf numFmtId="49" fontId="11" fillId="0" borderId="11" xfId="0" applyNumberFormat="1" applyFont="1" applyBorder="1" applyAlignment="1">
      <alignment horizontal="left" vertical="center" wrapText="1"/>
    </xf>
    <xf numFmtId="0" fontId="12" fillId="0" borderId="0" xfId="0" applyFont="1" applyAlignment="1">
      <alignment vertical="center"/>
    </xf>
    <xf numFmtId="0" fontId="0" fillId="0" borderId="1" xfId="0" applyBorder="1" applyAlignment="1">
      <alignment wrapText="1"/>
    </xf>
    <xf numFmtId="0" fontId="11" fillId="0" borderId="0" xfId="0" applyFont="1" applyFill="1" applyBorder="1" applyAlignment="1"/>
    <xf numFmtId="0" fontId="11" fillId="2" borderId="0" xfId="0" applyFont="1" applyFill="1" applyBorder="1" applyAlignment="1">
      <alignment wrapText="1"/>
    </xf>
    <xf numFmtId="0" fontId="0" fillId="0" borderId="8" xfId="0" applyBorder="1"/>
    <xf numFmtId="0" fontId="0" fillId="0" borderId="1" xfId="0" applyBorder="1"/>
    <xf numFmtId="0" fontId="10" fillId="0" borderId="0" xfId="0" applyFont="1" applyBorder="1" applyAlignment="1">
      <alignment wrapText="1"/>
    </xf>
    <xf numFmtId="0" fontId="11" fillId="0" borderId="2" xfId="0" applyFont="1" applyBorder="1" applyAlignment="1">
      <alignment wrapText="1"/>
    </xf>
    <xf numFmtId="0" fontId="0" fillId="0" borderId="7" xfId="0" applyBorder="1" applyAlignment="1">
      <alignment wrapText="1"/>
    </xf>
    <xf numFmtId="0" fontId="0" fillId="0" borderId="10" xfId="0" applyBorder="1"/>
    <xf numFmtId="0" fontId="10" fillId="3" borderId="11" xfId="0" applyFont="1" applyFill="1" applyBorder="1" applyAlignment="1">
      <alignment wrapText="1"/>
    </xf>
    <xf numFmtId="0" fontId="10" fillId="3" borderId="11" xfId="0" applyFont="1" applyFill="1" applyBorder="1"/>
    <xf numFmtId="0" fontId="11" fillId="0" borderId="13" xfId="0" applyFont="1" applyBorder="1" applyAlignment="1">
      <alignment wrapText="1"/>
    </xf>
    <xf numFmtId="0" fontId="11" fillId="3" borderId="0" xfId="0" applyFont="1" applyFill="1" applyBorder="1"/>
    <xf numFmtId="0" fontId="0" fillId="3" borderId="0" xfId="0" applyFill="1" applyBorder="1"/>
    <xf numFmtId="0" fontId="10" fillId="0" borderId="11" xfId="0" applyFont="1" applyBorder="1" applyAlignment="1">
      <alignment vertical="center" wrapText="1"/>
    </xf>
    <xf numFmtId="0" fontId="11" fillId="0" borderId="5" xfId="0" applyFont="1" applyBorder="1" applyAlignment="1">
      <alignment horizontal="center" vertical="center" wrapText="1"/>
    </xf>
    <xf numFmtId="0" fontId="11" fillId="0" borderId="14" xfId="0" applyFont="1" applyBorder="1" applyAlignment="1">
      <alignment horizontal="center" vertical="center" wrapText="1"/>
    </xf>
    <xf numFmtId="0" fontId="0" fillId="4" borderId="0" xfId="0" applyFill="1" applyBorder="1"/>
    <xf numFmtId="0" fontId="14" fillId="9" borderId="0" xfId="0" applyFont="1" applyFill="1" applyBorder="1"/>
    <xf numFmtId="0" fontId="11" fillId="8" borderId="1" xfId="0" applyFont="1" applyFill="1" applyBorder="1"/>
    <xf numFmtId="0" fontId="14" fillId="9" borderId="1" xfId="0" applyFont="1" applyFill="1" applyBorder="1"/>
    <xf numFmtId="0" fontId="10" fillId="5" borderId="1" xfId="0" applyFont="1" applyFill="1" applyBorder="1"/>
    <xf numFmtId="0" fontId="0" fillId="5" borderId="1" xfId="0" applyFill="1" applyBorder="1"/>
    <xf numFmtId="0" fontId="0" fillId="4" borderId="2" xfId="0" applyFill="1" applyBorder="1"/>
    <xf numFmtId="0" fontId="16" fillId="6" borderId="1" xfId="0" applyFont="1" applyFill="1" applyBorder="1" applyAlignment="1">
      <alignment horizontal="left" vertical="center"/>
    </xf>
    <xf numFmtId="0" fontId="14" fillId="10" borderId="0" xfId="0" applyFont="1" applyFill="1" applyBorder="1" applyAlignment="1">
      <alignment horizontal="right"/>
    </xf>
    <xf numFmtId="164" fontId="16" fillId="7" borderId="0" xfId="0" applyNumberFormat="1" applyFont="1" applyFill="1" applyBorder="1" applyAlignment="1">
      <alignment horizontal="right"/>
    </xf>
    <xf numFmtId="0" fontId="17" fillId="7" borderId="0" xfId="0" applyFont="1" applyFill="1" applyBorder="1"/>
    <xf numFmtId="0" fontId="17" fillId="7" borderId="2" xfId="0" applyFont="1" applyFill="1" applyBorder="1"/>
    <xf numFmtId="0" fontId="17" fillId="7" borderId="4" xfId="0" applyFont="1" applyFill="1" applyBorder="1"/>
    <xf numFmtId="3" fontId="10" fillId="4" borderId="0" xfId="0" applyNumberFormat="1" applyFont="1" applyFill="1" applyBorder="1"/>
    <xf numFmtId="0" fontId="0" fillId="12" borderId="13" xfId="0" applyFill="1" applyBorder="1"/>
    <xf numFmtId="0" fontId="17" fillId="7" borderId="12" xfId="0" applyFont="1" applyFill="1" applyBorder="1"/>
    <xf numFmtId="0" fontId="17" fillId="7" borderId="13" xfId="0" applyFont="1" applyFill="1" applyBorder="1"/>
    <xf numFmtId="0" fontId="11" fillId="12" borderId="12" xfId="0" applyFont="1" applyFill="1" applyBorder="1" applyAlignment="1">
      <alignment wrapText="1"/>
    </xf>
    <xf numFmtId="0" fontId="16" fillId="4" borderId="0" xfId="0" applyFont="1" applyFill="1" applyBorder="1"/>
    <xf numFmtId="166" fontId="16" fillId="4" borderId="0" xfId="0" applyNumberFormat="1" applyFont="1" applyFill="1" applyBorder="1"/>
    <xf numFmtId="0" fontId="0" fillId="0" borderId="12" xfId="0" applyBorder="1"/>
    <xf numFmtId="0" fontId="0" fillId="12" borderId="1" xfId="0" applyFill="1" applyBorder="1"/>
    <xf numFmtId="0" fontId="14" fillId="10" borderId="0" xfId="0" applyFont="1" applyFill="1" applyBorder="1" applyAlignment="1">
      <alignment horizontal="left"/>
    </xf>
    <xf numFmtId="0" fontId="16" fillId="7" borderId="0" xfId="0" applyFont="1" applyFill="1" applyBorder="1" applyAlignment="1">
      <alignment horizontal="left"/>
    </xf>
    <xf numFmtId="167" fontId="17" fillId="7" borderId="12" xfId="0" applyNumberFormat="1" applyFont="1" applyFill="1" applyBorder="1"/>
    <xf numFmtId="167" fontId="0" fillId="0" borderId="4" xfId="0" applyNumberFormat="1" applyBorder="1" applyAlignment="1">
      <alignment horizontal="right"/>
    </xf>
    <xf numFmtId="0" fontId="0" fillId="0" borderId="1" xfId="0" applyBorder="1" applyAlignment="1">
      <alignment horizontal="right"/>
    </xf>
    <xf numFmtId="0" fontId="0" fillId="0" borderId="8" xfId="0" applyBorder="1" applyAlignment="1">
      <alignment horizontal="right"/>
    </xf>
    <xf numFmtId="167" fontId="0" fillId="0" borderId="2" xfId="0" applyNumberFormat="1" applyBorder="1"/>
    <xf numFmtId="0" fontId="10" fillId="3" borderId="11" xfId="0" applyFont="1" applyFill="1" applyBorder="1" applyAlignment="1">
      <alignment horizontal="right"/>
    </xf>
    <xf numFmtId="0" fontId="10" fillId="0" borderId="0" xfId="0" applyFont="1" applyBorder="1" applyAlignment="1">
      <alignment horizontal="left" vertical="center"/>
    </xf>
    <xf numFmtId="0" fontId="10" fillId="0" borderId="0" xfId="0" applyFont="1"/>
    <xf numFmtId="0" fontId="14" fillId="10" borderId="2" xfId="0" applyFont="1" applyFill="1" applyBorder="1" applyAlignment="1">
      <alignment horizontal="right"/>
    </xf>
    <xf numFmtId="9" fontId="16" fillId="7" borderId="2" xfId="0" applyNumberFormat="1" applyFont="1" applyFill="1" applyBorder="1" applyAlignment="1">
      <alignment horizontal="right"/>
    </xf>
    <xf numFmtId="9" fontId="16" fillId="7" borderId="2" xfId="0" applyNumberFormat="1" applyFont="1" applyFill="1" applyBorder="1"/>
    <xf numFmtId="0" fontId="16" fillId="5" borderId="1" xfId="0" applyFont="1" applyFill="1" applyBorder="1"/>
    <xf numFmtId="0" fontId="16" fillId="4" borderId="2" xfId="0" applyFont="1" applyFill="1" applyBorder="1"/>
    <xf numFmtId="0" fontId="0" fillId="5" borderId="3" xfId="0" applyFill="1" applyBorder="1"/>
    <xf numFmtId="0" fontId="0" fillId="4" borderId="7" xfId="0" applyFill="1" applyBorder="1"/>
    <xf numFmtId="4" fontId="10" fillId="4" borderId="7" xfId="0" applyNumberFormat="1" applyFont="1" applyFill="1" applyBorder="1"/>
    <xf numFmtId="0" fontId="0" fillId="4" borderId="4" xfId="0" applyFill="1" applyBorder="1"/>
    <xf numFmtId="0" fontId="18" fillId="0" borderId="0" xfId="0" applyFont="1"/>
    <xf numFmtId="0" fontId="18" fillId="0" borderId="0" xfId="0" applyFont="1" applyBorder="1" applyAlignment="1">
      <alignment horizontal="left" vertical="center"/>
    </xf>
    <xf numFmtId="0" fontId="19" fillId="12" borderId="5" xfId="0" applyFont="1" applyFill="1" applyBorder="1" applyAlignment="1">
      <alignment wrapText="1"/>
    </xf>
    <xf numFmtId="0" fontId="19" fillId="12" borderId="14" xfId="0" applyFont="1" applyFill="1" applyBorder="1" applyAlignment="1">
      <alignment wrapText="1"/>
    </xf>
    <xf numFmtId="0" fontId="0" fillId="0" borderId="3" xfId="0" applyBorder="1" applyAlignment="1">
      <alignment horizontal="center"/>
    </xf>
    <xf numFmtId="0" fontId="0" fillId="0" borderId="0" xfId="0" applyFill="1" applyBorder="1"/>
    <xf numFmtId="0" fontId="11" fillId="0" borderId="14" xfId="0" applyFont="1" applyBorder="1" applyAlignment="1">
      <alignment wrapText="1"/>
    </xf>
    <xf numFmtId="167" fontId="12" fillId="7" borderId="5" xfId="0" applyNumberFormat="1" applyFont="1" applyFill="1" applyBorder="1" applyAlignment="1">
      <alignment horizontal="right" vertical="center"/>
    </xf>
    <xf numFmtId="0" fontId="20" fillId="0" borderId="15" xfId="0" applyFont="1" applyBorder="1" applyAlignment="1">
      <alignment wrapText="1"/>
    </xf>
    <xf numFmtId="0" fontId="0" fillId="12" borderId="1" xfId="0" applyFill="1" applyBorder="1" applyAlignment="1">
      <alignment wrapText="1"/>
    </xf>
    <xf numFmtId="0" fontId="0" fillId="12" borderId="3" xfId="0" applyFill="1" applyBorder="1" applyAlignment="1">
      <alignment wrapText="1"/>
    </xf>
    <xf numFmtId="0" fontId="0" fillId="7" borderId="12" xfId="0" applyFill="1" applyBorder="1"/>
    <xf numFmtId="0" fontId="0" fillId="7" borderId="13" xfId="0" applyFill="1" applyBorder="1"/>
    <xf numFmtId="0" fontId="10" fillId="4" borderId="11" xfId="0" applyFont="1" applyFill="1" applyBorder="1" applyAlignment="1">
      <alignment horizontal="right"/>
    </xf>
    <xf numFmtId="1" fontId="12" fillId="4" borderId="5" xfId="0" applyNumberFormat="1" applyFont="1" applyFill="1" applyBorder="1" applyAlignment="1">
      <alignment horizontal="right" vertical="center"/>
    </xf>
    <xf numFmtId="0" fontId="0" fillId="0" borderId="0" xfId="0" applyFont="1"/>
    <xf numFmtId="0" fontId="0" fillId="5" borderId="0" xfId="0" applyFill="1" applyBorder="1"/>
    <xf numFmtId="0" fontId="0" fillId="5" borderId="2" xfId="0" applyFill="1" applyBorder="1"/>
    <xf numFmtId="0" fontId="0" fillId="3" borderId="1" xfId="0" applyFont="1" applyFill="1" applyBorder="1"/>
    <xf numFmtId="0" fontId="11" fillId="3" borderId="2" xfId="0" applyFont="1" applyFill="1" applyBorder="1"/>
    <xf numFmtId="0" fontId="10" fillId="0" borderId="5" xfId="0" applyFont="1" applyBorder="1" applyAlignment="1">
      <alignment wrapText="1"/>
    </xf>
    <xf numFmtId="1" fontId="12" fillId="4" borderId="3" xfId="0" applyNumberFormat="1" applyFont="1" applyFill="1" applyBorder="1" applyAlignment="1">
      <alignment horizontal="right" vertical="center"/>
    </xf>
    <xf numFmtId="1" fontId="12" fillId="4" borderId="8" xfId="0" applyNumberFormat="1" applyFont="1" applyFill="1" applyBorder="1" applyAlignment="1">
      <alignment horizontal="right" vertical="center"/>
    </xf>
    <xf numFmtId="0" fontId="11" fillId="0" borderId="1" xfId="0" applyFont="1" applyBorder="1"/>
    <xf numFmtId="165" fontId="11" fillId="0" borderId="1" xfId="0" applyNumberFormat="1" applyFont="1" applyBorder="1"/>
    <xf numFmtId="164" fontId="17" fillId="7" borderId="12" xfId="0" applyNumberFormat="1" applyFont="1" applyFill="1" applyBorder="1"/>
    <xf numFmtId="164" fontId="17" fillId="7" borderId="2" xfId="0" applyNumberFormat="1" applyFont="1" applyFill="1" applyBorder="1" applyAlignment="1">
      <alignment horizontal="right"/>
    </xf>
    <xf numFmtId="167" fontId="17" fillId="7" borderId="1" xfId="0" applyNumberFormat="1" applyFont="1" applyFill="1" applyBorder="1" applyAlignment="1">
      <alignment horizontal="right"/>
    </xf>
    <xf numFmtId="0" fontId="9" fillId="0" borderId="0" xfId="2"/>
    <xf numFmtId="0" fontId="9" fillId="0" borderId="0" xfId="2"/>
    <xf numFmtId="0" fontId="9" fillId="0" borderId="0" xfId="2"/>
    <xf numFmtId="167" fontId="0" fillId="0" borderId="0" xfId="0" applyNumberFormat="1"/>
    <xf numFmtId="0" fontId="7" fillId="0" borderId="0" xfId="2" applyFont="1"/>
    <xf numFmtId="0" fontId="11" fillId="12" borderId="11" xfId="0" applyFont="1" applyFill="1" applyBorder="1" applyAlignment="1">
      <alignment wrapText="1"/>
    </xf>
    <xf numFmtId="168" fontId="11" fillId="12" borderId="11" xfId="0" applyNumberFormat="1" applyFont="1" applyFill="1" applyBorder="1" applyAlignment="1">
      <alignment horizontal="left" wrapText="1"/>
    </xf>
    <xf numFmtId="0" fontId="12" fillId="0" borderId="7" xfId="0" applyFont="1" applyBorder="1" applyAlignment="1">
      <alignment wrapText="1"/>
    </xf>
    <xf numFmtId="164" fontId="0" fillId="0" borderId="8" xfId="0" applyNumberFormat="1" applyBorder="1" applyAlignment="1">
      <alignment horizontal="center"/>
    </xf>
    <xf numFmtId="0" fontId="0" fillId="0" borderId="0" xfId="0" applyAlignment="1">
      <alignment horizontal="center"/>
    </xf>
    <xf numFmtId="0" fontId="22" fillId="14" borderId="0" xfId="4"/>
    <xf numFmtId="0" fontId="23" fillId="0" borderId="0" xfId="5"/>
    <xf numFmtId="0" fontId="11" fillId="12" borderId="12" xfId="0" quotePrefix="1" applyFont="1" applyFill="1" applyBorder="1" applyAlignment="1">
      <alignment wrapText="1"/>
    </xf>
    <xf numFmtId="167" fontId="0" fillId="0" borderId="8" xfId="0" applyNumberFormat="1" applyBorder="1" applyAlignment="1">
      <alignment horizontal="right"/>
    </xf>
    <xf numFmtId="0" fontId="6" fillId="0" borderId="0" xfId="2" applyFont="1" applyAlignment="1">
      <alignment wrapText="1"/>
    </xf>
    <xf numFmtId="0" fontId="11" fillId="0" borderId="0" xfId="0" applyFont="1" applyAlignment="1">
      <alignment horizontal="center" wrapText="1"/>
    </xf>
    <xf numFmtId="0" fontId="19" fillId="0" borderId="0" xfId="0" applyFont="1"/>
    <xf numFmtId="167" fontId="17" fillId="7" borderId="2" xfId="0" applyNumberFormat="1" applyFont="1" applyFill="1" applyBorder="1"/>
    <xf numFmtId="167" fontId="17" fillId="7" borderId="13" xfId="0" applyNumberFormat="1" applyFont="1" applyFill="1" applyBorder="1"/>
    <xf numFmtId="2" fontId="17" fillId="7" borderId="1" xfId="0" applyNumberFormat="1" applyFont="1" applyFill="1" applyBorder="1" applyAlignment="1">
      <alignment horizontal="right"/>
    </xf>
    <xf numFmtId="2" fontId="17" fillId="7" borderId="15" xfId="0" applyNumberFormat="1" applyFont="1" applyFill="1" applyBorder="1" applyAlignment="1">
      <alignment horizontal="right"/>
    </xf>
    <xf numFmtId="2" fontId="17" fillId="7" borderId="12" xfId="0" applyNumberFormat="1" applyFont="1" applyFill="1" applyBorder="1" applyAlignment="1">
      <alignment horizontal="right"/>
    </xf>
    <xf numFmtId="164" fontId="17" fillId="7" borderId="4" xfId="0" applyNumberFormat="1" applyFont="1" applyFill="1" applyBorder="1"/>
    <xf numFmtId="0" fontId="20" fillId="0" borderId="12" xfId="0" applyFont="1" applyBorder="1" applyAlignment="1">
      <alignment wrapText="1"/>
    </xf>
    <xf numFmtId="0" fontId="20" fillId="0" borderId="13" xfId="0" applyFont="1" applyBorder="1" applyAlignment="1">
      <alignment wrapText="1"/>
    </xf>
    <xf numFmtId="167" fontId="17" fillId="7" borderId="15" xfId="0" applyNumberFormat="1" applyFont="1" applyFill="1" applyBorder="1" applyAlignment="1">
      <alignment horizontal="right"/>
    </xf>
    <xf numFmtId="167" fontId="17" fillId="7" borderId="12" xfId="0" applyNumberFormat="1" applyFont="1" applyFill="1" applyBorder="1" applyAlignment="1">
      <alignment horizontal="right"/>
    </xf>
    <xf numFmtId="0" fontId="11" fillId="0" borderId="11" xfId="0" applyFont="1" applyBorder="1" applyAlignment="1">
      <alignment horizontal="center" vertical="center" wrapText="1"/>
    </xf>
    <xf numFmtId="0" fontId="24" fillId="13" borderId="11" xfId="1" applyFont="1" applyBorder="1" applyAlignment="1">
      <alignment wrapText="1"/>
    </xf>
    <xf numFmtId="0" fontId="11" fillId="0" borderId="0" xfId="0" applyFont="1" applyAlignment="1">
      <alignment vertical="center" wrapText="1"/>
    </xf>
    <xf numFmtId="0" fontId="11" fillId="12" borderId="1" xfId="0" applyFont="1" applyFill="1" applyBorder="1" applyAlignment="1">
      <alignment wrapText="1"/>
    </xf>
    <xf numFmtId="2" fontId="17" fillId="7" borderId="0" xfId="0" applyNumberFormat="1" applyFont="1" applyFill="1" applyBorder="1" applyAlignment="1">
      <alignment horizontal="right"/>
    </xf>
    <xf numFmtId="164" fontId="17" fillId="7" borderId="2" xfId="0" applyNumberFormat="1" applyFont="1" applyFill="1" applyBorder="1"/>
    <xf numFmtId="164" fontId="0" fillId="15" borderId="0" xfId="0" applyNumberFormat="1" applyFill="1"/>
    <xf numFmtId="0" fontId="4" fillId="15" borderId="0" xfId="9" applyFill="1"/>
    <xf numFmtId="0" fontId="4" fillId="0" borderId="0" xfId="9"/>
    <xf numFmtId="0" fontId="4" fillId="0" borderId="0" xfId="9" applyAlignment="1">
      <alignment vertical="center"/>
    </xf>
    <xf numFmtId="0" fontId="24" fillId="13" borderId="11" xfId="1" applyFont="1" applyBorder="1" applyAlignment="1">
      <alignment horizontal="right"/>
    </xf>
    <xf numFmtId="0" fontId="4" fillId="0" borderId="0" xfId="9"/>
    <xf numFmtId="0" fontId="4" fillId="0" borderId="0" xfId="9" applyAlignment="1">
      <alignment vertical="center"/>
    </xf>
    <xf numFmtId="0" fontId="4" fillId="0" borderId="0" xfId="9" applyAlignment="1">
      <alignment vertical="center"/>
    </xf>
    <xf numFmtId="0" fontId="4" fillId="15" borderId="0" xfId="9" applyFill="1" applyAlignment="1">
      <alignment vertical="center"/>
    </xf>
    <xf numFmtId="0" fontId="11" fillId="12" borderId="11" xfId="0" quotePrefix="1" applyFont="1" applyFill="1" applyBorder="1" applyAlignment="1">
      <alignment wrapText="1"/>
    </xf>
    <xf numFmtId="0" fontId="12" fillId="3" borderId="9" xfId="0" applyFont="1" applyFill="1" applyBorder="1" applyAlignment="1">
      <alignment wrapText="1"/>
    </xf>
    <xf numFmtId="0" fontId="0" fillId="0" borderId="0" xfId="0" applyAlignment="1">
      <alignment horizontal="center"/>
    </xf>
    <xf numFmtId="0" fontId="3" fillId="0" borderId="0" xfId="2" applyFont="1"/>
    <xf numFmtId="2" fontId="0" fillId="0" borderId="0" xfId="0" applyNumberFormat="1"/>
    <xf numFmtId="0" fontId="27" fillId="0" borderId="0" xfId="0" applyFont="1"/>
    <xf numFmtId="0" fontId="26" fillId="0" borderId="9" xfId="0" applyFont="1" applyBorder="1" applyAlignment="1"/>
    <xf numFmtId="0" fontId="11" fillId="2" borderId="0" xfId="0" applyFont="1" applyFill="1" applyBorder="1" applyAlignment="1"/>
    <xf numFmtId="0" fontId="28" fillId="13" borderId="11" xfId="1" applyFont="1" applyBorder="1" applyAlignment="1">
      <alignment wrapText="1"/>
    </xf>
    <xf numFmtId="0" fontId="28" fillId="13" borderId="11" xfId="1" applyFont="1" applyBorder="1" applyAlignment="1">
      <alignment horizontal="right"/>
    </xf>
    <xf numFmtId="0" fontId="2" fillId="0" borderId="0" xfId="2" applyFont="1"/>
    <xf numFmtId="0" fontId="11" fillId="0" borderId="0" xfId="0" applyFont="1" applyAlignment="1">
      <alignment horizontal="center" vertical="center" wrapText="1"/>
    </xf>
    <xf numFmtId="0" fontId="16" fillId="7" borderId="0" xfId="0" applyFont="1" applyFill="1" applyBorder="1"/>
    <xf numFmtId="2" fontId="20" fillId="0" borderId="8" xfId="0" applyNumberFormat="1" applyFont="1" applyBorder="1" applyAlignment="1">
      <alignment wrapText="1"/>
    </xf>
    <xf numFmtId="0" fontId="0" fillId="0" borderId="0" xfId="0"/>
    <xf numFmtId="0" fontId="0" fillId="0" borderId="0" xfId="0" applyBorder="1"/>
    <xf numFmtId="0" fontId="0" fillId="0" borderId="6" xfId="0" applyBorder="1"/>
    <xf numFmtId="0" fontId="0" fillId="0" borderId="0" xfId="0" applyBorder="1" applyAlignment="1">
      <alignment wrapText="1"/>
    </xf>
    <xf numFmtId="0" fontId="0" fillId="0" borderId="9" xfId="0" applyBorder="1" applyAlignment="1">
      <alignment horizontal="center"/>
    </xf>
    <xf numFmtId="0" fontId="0" fillId="0" borderId="0" xfId="0" applyBorder="1" applyAlignment="1">
      <alignment horizontal="center"/>
    </xf>
    <xf numFmtId="0" fontId="0" fillId="0" borderId="7" xfId="0" applyBorder="1"/>
    <xf numFmtId="0" fontId="11" fillId="0" borderId="11" xfId="0" applyFont="1" applyBorder="1" applyAlignment="1">
      <alignment wrapText="1"/>
    </xf>
    <xf numFmtId="0" fontId="11" fillId="0" borderId="12" xfId="0" applyFont="1" applyBorder="1" applyAlignment="1">
      <alignment wrapText="1"/>
    </xf>
    <xf numFmtId="0" fontId="10" fillId="0" borderId="11" xfId="0" applyFont="1" applyBorder="1" applyAlignment="1">
      <alignment wrapText="1"/>
    </xf>
    <xf numFmtId="0" fontId="11" fillId="0" borderId="13" xfId="0" applyFont="1" applyBorder="1" applyAlignment="1">
      <alignment wrapText="1"/>
    </xf>
    <xf numFmtId="0" fontId="10" fillId="0" borderId="11" xfId="0" applyFont="1" applyBorder="1" applyAlignment="1">
      <alignment vertical="center" wrapText="1"/>
    </xf>
    <xf numFmtId="0" fontId="11" fillId="0" borderId="14" xfId="0" applyFont="1" applyBorder="1" applyAlignment="1">
      <alignment horizontal="center" vertical="center" wrapText="1"/>
    </xf>
    <xf numFmtId="0" fontId="16" fillId="7" borderId="0" xfId="0" applyFont="1" applyFill="1" applyBorder="1"/>
    <xf numFmtId="0" fontId="17" fillId="7" borderId="0" xfId="0" applyFont="1" applyFill="1" applyBorder="1"/>
    <xf numFmtId="0" fontId="11" fillId="12" borderId="12" xfId="0" applyFont="1" applyFill="1" applyBorder="1" applyAlignment="1">
      <alignment wrapText="1"/>
    </xf>
    <xf numFmtId="0" fontId="16" fillId="4" borderId="0" xfId="0" applyFont="1" applyFill="1" applyBorder="1"/>
    <xf numFmtId="166" fontId="16" fillId="4" borderId="0" xfId="0" applyNumberFormat="1" applyFont="1" applyFill="1" applyBorder="1"/>
    <xf numFmtId="0" fontId="16" fillId="7" borderId="0" xfId="0" applyFont="1" applyFill="1" applyBorder="1" applyAlignment="1">
      <alignment horizontal="left"/>
    </xf>
    <xf numFmtId="167" fontId="17" fillId="7" borderId="12" xfId="0" applyNumberFormat="1" applyFont="1" applyFill="1" applyBorder="1"/>
    <xf numFmtId="167" fontId="0" fillId="0" borderId="4" xfId="0" applyNumberFormat="1" applyBorder="1" applyAlignment="1">
      <alignment horizontal="right"/>
    </xf>
    <xf numFmtId="0" fontId="0" fillId="0" borderId="1" xfId="0" applyBorder="1" applyAlignment="1">
      <alignment horizontal="right"/>
    </xf>
    <xf numFmtId="167" fontId="0" fillId="0" borderId="2" xfId="0" applyNumberFormat="1" applyBorder="1"/>
    <xf numFmtId="9" fontId="16" fillId="7" borderId="2" xfId="0" applyNumberFormat="1" applyFont="1" applyFill="1" applyBorder="1"/>
    <xf numFmtId="0" fontId="16" fillId="4" borderId="2" xfId="0" applyFont="1" applyFill="1" applyBorder="1"/>
    <xf numFmtId="0" fontId="0" fillId="0" borderId="3" xfId="0" applyBorder="1" applyAlignment="1">
      <alignment horizontal="center"/>
    </xf>
    <xf numFmtId="0" fontId="0" fillId="0" borderId="0" xfId="0" applyFill="1" applyBorder="1"/>
    <xf numFmtId="167" fontId="12" fillId="7" borderId="5" xfId="0" applyNumberFormat="1" applyFont="1" applyFill="1" applyBorder="1" applyAlignment="1">
      <alignment horizontal="right" vertical="center"/>
    </xf>
    <xf numFmtId="0" fontId="20" fillId="0" borderId="15" xfId="0" applyFont="1" applyBorder="1" applyAlignment="1">
      <alignment wrapText="1"/>
    </xf>
    <xf numFmtId="1" fontId="12" fillId="4" borderId="5" xfId="0" applyNumberFormat="1" applyFont="1" applyFill="1" applyBorder="1" applyAlignment="1">
      <alignment horizontal="right" vertical="center"/>
    </xf>
    <xf numFmtId="0" fontId="10" fillId="0" borderId="5" xfId="0" applyFont="1" applyBorder="1" applyAlignment="1">
      <alignment wrapText="1"/>
    </xf>
    <xf numFmtId="1" fontId="12" fillId="4" borderId="8" xfId="0" applyNumberFormat="1" applyFont="1" applyFill="1" applyBorder="1" applyAlignment="1">
      <alignment horizontal="right" vertical="center"/>
    </xf>
    <xf numFmtId="0" fontId="11" fillId="0" borderId="1" xfId="0" applyFont="1" applyBorder="1"/>
    <xf numFmtId="165" fontId="11" fillId="0" borderId="1" xfId="0" applyNumberFormat="1" applyFont="1" applyBorder="1"/>
    <xf numFmtId="164" fontId="17" fillId="7" borderId="2" xfId="0" applyNumberFormat="1" applyFont="1" applyFill="1" applyBorder="1" applyAlignment="1">
      <alignment horizontal="right"/>
    </xf>
    <xf numFmtId="167" fontId="0" fillId="0" borderId="8" xfId="0" applyNumberFormat="1" applyBorder="1" applyAlignment="1">
      <alignment horizontal="right"/>
    </xf>
    <xf numFmtId="167" fontId="17" fillId="7" borderId="12" xfId="0" applyNumberFormat="1" applyFont="1" applyFill="1" applyBorder="1" applyAlignment="1">
      <alignment horizontal="right"/>
    </xf>
    <xf numFmtId="0" fontId="11" fillId="0" borderId="11" xfId="0" applyFont="1" applyBorder="1" applyAlignment="1">
      <alignment horizontal="center" vertical="center" wrapText="1"/>
    </xf>
    <xf numFmtId="0" fontId="29" fillId="0" borderId="0" xfId="0" applyFont="1" applyAlignment="1">
      <alignment vertical="center"/>
    </xf>
    <xf numFmtId="0" fontId="27" fillId="0" borderId="0" xfId="0" applyFont="1" applyAlignment="1">
      <alignment horizontal="center" wrapText="1"/>
    </xf>
    <xf numFmtId="0" fontId="27" fillId="0" borderId="0" xfId="0" applyFont="1" applyAlignment="1">
      <alignment horizontal="center"/>
    </xf>
    <xf numFmtId="0" fontId="21" fillId="0" borderId="0" xfId="0" applyFont="1"/>
    <xf numFmtId="0" fontId="15" fillId="11" borderId="1" xfId="0" applyFont="1" applyFill="1" applyBorder="1" applyAlignment="1"/>
    <xf numFmtId="0" fontId="0" fillId="0" borderId="0" xfId="0" applyBorder="1" applyAlignment="1"/>
    <xf numFmtId="0" fontId="0" fillId="0" borderId="2" xfId="0" applyBorder="1" applyAlignment="1"/>
    <xf numFmtId="0" fontId="12" fillId="0" borderId="8" xfId="0" applyFont="1" applyFill="1" applyBorder="1" applyAlignment="1"/>
    <xf numFmtId="0" fontId="11" fillId="0" borderId="9" xfId="0" applyFont="1" applyFill="1" applyBorder="1" applyAlignment="1"/>
    <xf numFmtId="0" fontId="11" fillId="0" borderId="6" xfId="0" applyFont="1" applyFill="1" applyBorder="1" applyAlignment="1"/>
    <xf numFmtId="0" fontId="11" fillId="0" borderId="5" xfId="0" applyFont="1" applyBorder="1" applyAlignment="1">
      <alignment horizontal="left" vertical="center"/>
    </xf>
    <xf numFmtId="0" fontId="11" fillId="0" borderId="10" xfId="0" applyFont="1" applyBorder="1" applyAlignment="1">
      <alignment horizontal="left" vertical="center"/>
    </xf>
    <xf numFmtId="0" fontId="11" fillId="0" borderId="14" xfId="0" applyFont="1" applyBorder="1" applyAlignment="1">
      <alignment horizontal="left" vertical="center"/>
    </xf>
    <xf numFmtId="0" fontId="12" fillId="0" borderId="0" xfId="0" applyFont="1" applyBorder="1" applyAlignment="1">
      <alignment horizontal="center" wrapText="1"/>
    </xf>
    <xf numFmtId="0" fontId="11" fillId="0" borderId="11" xfId="0" applyFont="1" applyBorder="1" applyAlignment="1">
      <alignment horizontal="left" vertical="center"/>
    </xf>
    <xf numFmtId="0" fontId="25" fillId="0" borderId="9" xfId="0" applyFont="1" applyBorder="1" applyAlignment="1">
      <alignment horizontal="center" wrapText="1"/>
    </xf>
    <xf numFmtId="0" fontId="11" fillId="0" borderId="0" xfId="0" applyFont="1" applyAlignment="1">
      <alignment horizontal="center" vertical="center" wrapText="1"/>
    </xf>
    <xf numFmtId="0" fontId="19" fillId="0" borderId="5" xfId="0" applyFont="1" applyBorder="1" applyAlignment="1">
      <alignment horizontal="center" wrapText="1"/>
    </xf>
    <xf numFmtId="0" fontId="19" fillId="0" borderId="14" xfId="0" applyFont="1" applyBorder="1" applyAlignment="1">
      <alignment horizontal="center" wrapText="1"/>
    </xf>
    <xf numFmtId="0" fontId="11" fillId="0" borderId="0" xfId="0" applyFont="1" applyAlignment="1">
      <alignment horizontal="left" vertical="top" wrapText="1"/>
    </xf>
    <xf numFmtId="0" fontId="0" fillId="0" borderId="0" xfId="0" applyAlignment="1">
      <alignment horizontal="left" vertical="top" wrapText="1"/>
    </xf>
    <xf numFmtId="0" fontId="21" fillId="0" borderId="0" xfId="0" applyFont="1" applyAlignment="1">
      <alignment horizontal="left" vertical="top" wrapText="1"/>
    </xf>
    <xf numFmtId="0" fontId="21" fillId="0" borderId="0" xfId="0" applyFont="1" applyAlignment="1">
      <alignment horizontal="left" vertical="top"/>
    </xf>
    <xf numFmtId="0" fontId="0" fillId="0" borderId="0" xfId="0" applyAlignment="1">
      <alignment horizontal="center"/>
    </xf>
    <xf numFmtId="0" fontId="0" fillId="0" borderId="0" xfId="0" applyAlignment="1">
      <alignment horizontal="center" vertical="center"/>
    </xf>
    <xf numFmtId="0" fontId="30" fillId="0" borderId="0" xfId="0" applyFont="1" applyAlignment="1">
      <alignment horizontal="left" vertical="top" wrapText="1"/>
    </xf>
  </cellXfs>
  <cellStyles count="19">
    <cellStyle name="40% - Accent5" xfId="1" builtinId="47"/>
    <cellStyle name="40% - Accent5 2" xfId="11"/>
    <cellStyle name="Explanatory Text" xfId="5" builtinId="53"/>
    <cellStyle name="Good" xfId="4" builtinId="26"/>
    <cellStyle name="Normal" xfId="0" builtinId="0"/>
    <cellStyle name="Normal 2" xfId="2"/>
    <cellStyle name="Normal 2 2" xfId="12"/>
    <cellStyle name="Normal 3" xfId="3"/>
    <cellStyle name="Normal 3 2" xfId="13"/>
    <cellStyle name="Normal 4" xfId="6"/>
    <cellStyle name="Normal 4 2" xfId="14"/>
    <cellStyle name="Normal 5" xfId="8"/>
    <cellStyle name="Normal 5 2" xfId="16"/>
    <cellStyle name="Normal 6" xfId="9"/>
    <cellStyle name="Normal 6 2" xfId="17"/>
    <cellStyle name="Percent 2" xfId="7"/>
    <cellStyle name="Percent 2 2" xfId="15"/>
    <cellStyle name="Percent 3" xfId="10"/>
    <cellStyle name="Percent 3 2" xfId="18"/>
  </cellStyles>
  <dxfs count="11">
    <dxf>
      <fill>
        <patternFill>
          <bgColor theme="8" tint="0.59996337778862885"/>
        </patternFill>
      </fill>
    </dxf>
    <dxf>
      <font>
        <color theme="0"/>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styles" Target="styles.xml"/><Relationship Id="rId45"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customXml" Target="../customXml/item1.xml"/></Relationships>
</file>

<file path=xl/charts/_rels/chart4.xml.rels><?xml version="1.0" encoding="UTF-8" standalone="yes"?>
<Relationships xmlns="http://schemas.openxmlformats.org/package/2006/relationships"><Relationship Id="rId1" Type="http://schemas.openxmlformats.org/officeDocument/2006/relationships/themeOverride" Target="../theme/themeOverride1.xml"/></Relationships>
</file>

<file path=xl/charts/_rels/chart8.xml.rels><?xml version="1.0" encoding="UTF-8" standalone="yes"?>
<Relationships xmlns="http://schemas.openxmlformats.org/package/2006/relationships"><Relationship Id="rId1" Type="http://schemas.openxmlformats.org/officeDocument/2006/relationships/themeOverride" Target="../theme/themeOverrid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hart>
    <c:autoTitleDeleted val="1"/>
    <c:plotArea>
      <c:layout/>
      <c:pieChart>
        <c:varyColors val="1"/>
        <c:ser>
          <c:idx val="0"/>
          <c:order val="0"/>
          <c:cat>
            <c:strRef>
              <c:f>'BLE - Peripheral'!$X$19:$X$23</c:f>
              <c:strCache>
                <c:ptCount val="5"/>
                <c:pt idx="0">
                  <c:v>Legacy Advertising</c:v>
                </c:pt>
                <c:pt idx="1">
                  <c:v>Long Range (S8) Advertising</c:v>
                </c:pt>
                <c:pt idx="2">
                  <c:v>Connected as Peripheral</c:v>
                </c:pt>
                <c:pt idx="3">
                  <c:v>Custom Application</c:v>
                </c:pt>
                <c:pt idx="4">
                  <c:v>Shutdown</c:v>
                </c:pt>
              </c:strCache>
            </c:strRef>
          </c:cat>
          <c:val>
            <c:numRef>
              <c:f>'BLE - Peripheral'!$AC$19:$AC$23</c:f>
              <c:numCache>
                <c:formatCode>0%</c:formatCode>
                <c:ptCount val="5"/>
                <c:pt idx="0">
                  <c:v>8.3333333333333329E-2</c:v>
                </c:pt>
                <c:pt idx="1">
                  <c:v>8.3333333333333329E-2</c:v>
                </c:pt>
                <c:pt idx="2">
                  <c:v>0.16666666666666666</c:v>
                </c:pt>
                <c:pt idx="3">
                  <c:v>4.1666666666666664E-2</c:v>
                </c:pt>
                <c:pt idx="4">
                  <c:v>0.625</c:v>
                </c:pt>
              </c:numCache>
            </c:numRef>
          </c:val>
          <c:extLst xmlns:c16r2="http://schemas.microsoft.com/office/drawing/2015/06/chart">
            <c:ext xmlns:c16="http://schemas.microsoft.com/office/drawing/2014/chart" uri="{C3380CC4-5D6E-409C-BE32-E72D297353CC}">
              <c16:uniqueId val="{00000000-DD43-4B41-BE38-4C885A21297D}"/>
            </c:ext>
          </c:extLst>
        </c:ser>
        <c:dLbls>
          <c:showLegendKey val="0"/>
          <c:showVal val="0"/>
          <c:showCatName val="0"/>
          <c:showSerName val="0"/>
          <c:showPercent val="0"/>
          <c:showBubbleSize val="0"/>
          <c:showLeaderLines val="1"/>
        </c:dLbls>
        <c:firstSliceAng val="0"/>
      </c:pieChart>
    </c:plotArea>
    <c:legend>
      <c:legendPos val="r"/>
      <c:layout>
        <c:manualLayout>
          <c:xMode val="edge"/>
          <c:yMode val="edge"/>
          <c:x val="0.53861342771577903"/>
          <c:y val="5.5106410995791201E-2"/>
          <c:w val="0.398649363197216"/>
          <c:h val="0.90767279386113298"/>
        </c:manualLayout>
      </c:layout>
      <c:overlay val="0"/>
    </c:legend>
    <c:plotVisOnly val="1"/>
    <c:dispBlanksAs val="gap"/>
    <c:showDLblsOverMax val="0"/>
  </c:chart>
  <c:spPr>
    <a:ln>
      <a:noFill/>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scatterChart>
        <c:scatterStyle val="smoothMarker"/>
        <c:varyColors val="0"/>
        <c:ser>
          <c:idx val="0"/>
          <c:order val="0"/>
          <c:tx>
            <c:strRef>
              <c:f>'DataForDisplay - Peripheral'!$M$4</c:f>
              <c:strCache>
                <c:ptCount val="1"/>
                <c:pt idx="0">
                  <c:v>CC2640R2 Current [mA]</c:v>
                </c:pt>
              </c:strCache>
            </c:strRef>
          </c:tx>
          <c:marker>
            <c:symbol val="none"/>
          </c:marker>
          <c:xVal>
            <c:numRef>
              <c:f>'DataForDisplay - Peripheral'!$L$6:$L$42</c:f>
              <c:numCache>
                <c:formatCode>General</c:formatCode>
                <c:ptCount val="37"/>
                <c:pt idx="0">
                  <c:v>-200</c:v>
                </c:pt>
                <c:pt idx="1">
                  <c:v>0</c:v>
                </c:pt>
                <c:pt idx="2">
                  <c:v>0</c:v>
                </c:pt>
                <c:pt idx="3">
                  <c:v>1294.6666666666667</c:v>
                </c:pt>
                <c:pt idx="4">
                  <c:v>1294.6666666666667</c:v>
                </c:pt>
                <c:pt idx="5">
                  <c:v>1623.7777777777778</c:v>
                </c:pt>
                <c:pt idx="6">
                  <c:v>1623.7777777777778</c:v>
                </c:pt>
                <c:pt idx="7">
                  <c:v>1800.2752777777778</c:v>
                </c:pt>
                <c:pt idx="8">
                  <c:v>1800.2752777777778</c:v>
                </c:pt>
                <c:pt idx="9">
                  <c:v>1931.2752777777778</c:v>
                </c:pt>
                <c:pt idx="10">
                  <c:v>1931.2752777777778</c:v>
                </c:pt>
                <c:pt idx="11">
                  <c:v>2035.3863888888889</c:v>
                </c:pt>
                <c:pt idx="12">
                  <c:v>2035.3863888888889</c:v>
                </c:pt>
                <c:pt idx="13">
                  <c:v>2322.2752777777778</c:v>
                </c:pt>
                <c:pt idx="14">
                  <c:v>2322.2752777777778</c:v>
                </c:pt>
                <c:pt idx="15">
                  <c:v>2498.7727777777777</c:v>
                </c:pt>
                <c:pt idx="16">
                  <c:v>2498.7727777777777</c:v>
                </c:pt>
                <c:pt idx="17">
                  <c:v>2629.5505555555555</c:v>
                </c:pt>
                <c:pt idx="18">
                  <c:v>2629.5505555555555</c:v>
                </c:pt>
                <c:pt idx="19">
                  <c:v>2737.6616666666669</c:v>
                </c:pt>
                <c:pt idx="20">
                  <c:v>2737.6616666666669</c:v>
                </c:pt>
                <c:pt idx="21">
                  <c:v>3024.5505555555555</c:v>
                </c:pt>
                <c:pt idx="22">
                  <c:v>3024.5505555555555</c:v>
                </c:pt>
                <c:pt idx="23">
                  <c:v>3201.0480555555555</c:v>
                </c:pt>
                <c:pt idx="24">
                  <c:v>3201.0480555555555</c:v>
                </c:pt>
                <c:pt idx="25">
                  <c:v>3332.2702777777777</c:v>
                </c:pt>
                <c:pt idx="26">
                  <c:v>3332.2702777777777</c:v>
                </c:pt>
                <c:pt idx="27">
                  <c:v>3439.8258333333333</c:v>
                </c:pt>
                <c:pt idx="28">
                  <c:v>3439.8258333333333</c:v>
                </c:pt>
                <c:pt idx="29">
                  <c:v>4286.2702777777777</c:v>
                </c:pt>
                <c:pt idx="30">
                  <c:v>4286.2702777777777</c:v>
                </c:pt>
                <c:pt idx="31">
                  <c:v>4286.2702777777777</c:v>
                </c:pt>
                <c:pt idx="32">
                  <c:v>4286.2702777777777</c:v>
                </c:pt>
                <c:pt idx="33">
                  <c:v>4486.2702777777777</c:v>
                </c:pt>
                <c:pt idx="34">
                  <c:v>4486.2702777777777</c:v>
                </c:pt>
                <c:pt idx="35">
                  <c:v>4686.2702777777777</c:v>
                </c:pt>
                <c:pt idx="36">
                  <c:v>4686.2702777777777</c:v>
                </c:pt>
              </c:numCache>
            </c:numRef>
          </c:xVal>
          <c:yVal>
            <c:numRef>
              <c:f>'DataForDisplay - Peripheral'!$M$6:$M$42</c:f>
              <c:numCache>
                <c:formatCode>General</c:formatCode>
                <c:ptCount val="37"/>
                <c:pt idx="0">
                  <c:v>0</c:v>
                </c:pt>
                <c:pt idx="1">
                  <c:v>0</c:v>
                </c:pt>
                <c:pt idx="2">
                  <c:v>3.17794</c:v>
                </c:pt>
                <c:pt idx="3">
                  <c:v>3.17794</c:v>
                </c:pt>
                <c:pt idx="4">
                  <c:v>3.7641813333333332</c:v>
                </c:pt>
                <c:pt idx="5">
                  <c:v>3.7641813333333332</c:v>
                </c:pt>
                <c:pt idx="6">
                  <c:v>7.4746973333333324</c:v>
                </c:pt>
                <c:pt idx="7">
                  <c:v>7.4746973333333324</c:v>
                </c:pt>
                <c:pt idx="8">
                  <c:v>4.6730444444444457</c:v>
                </c:pt>
                <c:pt idx="9">
                  <c:v>4.6730444444444457</c:v>
                </c:pt>
                <c:pt idx="10">
                  <c:v>6.636966666666666</c:v>
                </c:pt>
                <c:pt idx="11">
                  <c:v>6.636966666666666</c:v>
                </c:pt>
                <c:pt idx="12">
                  <c:v>3.4826444444444444</c:v>
                </c:pt>
                <c:pt idx="13">
                  <c:v>3.4826444444444444</c:v>
                </c:pt>
                <c:pt idx="14">
                  <c:v>7.4746973333333324</c:v>
                </c:pt>
                <c:pt idx="15">
                  <c:v>7.4746973333333324</c:v>
                </c:pt>
                <c:pt idx="16">
                  <c:v>4.7019555555555561</c:v>
                </c:pt>
                <c:pt idx="17">
                  <c:v>4.7019555555555561</c:v>
                </c:pt>
                <c:pt idx="18">
                  <c:v>6.6446999999999994</c:v>
                </c:pt>
                <c:pt idx="19">
                  <c:v>6.6446999999999994</c:v>
                </c:pt>
                <c:pt idx="20">
                  <c:v>3.5186333333333328</c:v>
                </c:pt>
                <c:pt idx="21">
                  <c:v>3.5186333333333328</c:v>
                </c:pt>
                <c:pt idx="22">
                  <c:v>7.4746973333333324</c:v>
                </c:pt>
                <c:pt idx="23">
                  <c:v>7.4746973333333324</c:v>
                </c:pt>
                <c:pt idx="24">
                  <c:v>4.7165777777777764</c:v>
                </c:pt>
                <c:pt idx="25">
                  <c:v>4.7165777777777764</c:v>
                </c:pt>
                <c:pt idx="26">
                  <c:v>6.6835222222222228</c:v>
                </c:pt>
                <c:pt idx="27">
                  <c:v>6.6835222222222228</c:v>
                </c:pt>
                <c:pt idx="28">
                  <c:v>2.5783222222222224</c:v>
                </c:pt>
                <c:pt idx="29">
                  <c:v>2.5783222222222224</c:v>
                </c:pt>
                <c:pt idx="30">
                  <c:v>0</c:v>
                </c:pt>
                <c:pt idx="31">
                  <c:v>0</c:v>
                </c:pt>
                <c:pt idx="32">
                  <c:v>0</c:v>
                </c:pt>
                <c:pt idx="33">
                  <c:v>0</c:v>
                </c:pt>
                <c:pt idx="34">
                  <c:v>0</c:v>
                </c:pt>
                <c:pt idx="35">
                  <c:v>0</c:v>
                </c:pt>
                <c:pt idx="36">
                  <c:v>0</c:v>
                </c:pt>
              </c:numCache>
            </c:numRef>
          </c:yVal>
          <c:smooth val="0"/>
        </c:ser>
        <c:dLbls>
          <c:showLegendKey val="0"/>
          <c:showVal val="0"/>
          <c:showCatName val="0"/>
          <c:showSerName val="0"/>
          <c:showPercent val="0"/>
          <c:showBubbleSize val="0"/>
        </c:dLbls>
        <c:axId val="147291520"/>
        <c:axId val="147293696"/>
      </c:scatterChart>
      <c:scatterChart>
        <c:scatterStyle val="smoothMarker"/>
        <c:varyColors val="0"/>
        <c:ser>
          <c:idx val="1"/>
          <c:order val="1"/>
          <c:tx>
            <c:strRef>
              <c:f>'DataForDisplay - Peripheral'!$N$4</c:f>
              <c:strCache>
                <c:ptCount val="1"/>
                <c:pt idx="0">
                  <c:v>CC2640R2 Energy [pAh]</c:v>
                </c:pt>
              </c:strCache>
            </c:strRef>
          </c:tx>
          <c:spPr>
            <a:ln>
              <a:solidFill>
                <a:schemeClr val="accent4"/>
              </a:solidFill>
            </a:ln>
          </c:spPr>
          <c:marker>
            <c:symbol val="none"/>
          </c:marker>
          <c:xVal>
            <c:numRef>
              <c:f>'DataForDisplay - Peripheral'!$L$6:$L$42</c:f>
              <c:numCache>
                <c:formatCode>General</c:formatCode>
                <c:ptCount val="37"/>
                <c:pt idx="0">
                  <c:v>-200</c:v>
                </c:pt>
                <c:pt idx="1">
                  <c:v>0</c:v>
                </c:pt>
                <c:pt idx="2">
                  <c:v>0</c:v>
                </c:pt>
                <c:pt idx="3">
                  <c:v>1294.6666666666667</c:v>
                </c:pt>
                <c:pt idx="4">
                  <c:v>1294.6666666666667</c:v>
                </c:pt>
                <c:pt idx="5">
                  <c:v>1623.7777777777778</c:v>
                </c:pt>
                <c:pt idx="6">
                  <c:v>1623.7777777777778</c:v>
                </c:pt>
                <c:pt idx="7">
                  <c:v>1800.2752777777778</c:v>
                </c:pt>
                <c:pt idx="8">
                  <c:v>1800.2752777777778</c:v>
                </c:pt>
                <c:pt idx="9">
                  <c:v>1931.2752777777778</c:v>
                </c:pt>
                <c:pt idx="10">
                  <c:v>1931.2752777777778</c:v>
                </c:pt>
                <c:pt idx="11">
                  <c:v>2035.3863888888889</c:v>
                </c:pt>
                <c:pt idx="12">
                  <c:v>2035.3863888888889</c:v>
                </c:pt>
                <c:pt idx="13">
                  <c:v>2322.2752777777778</c:v>
                </c:pt>
                <c:pt idx="14">
                  <c:v>2322.2752777777778</c:v>
                </c:pt>
                <c:pt idx="15">
                  <c:v>2498.7727777777777</c:v>
                </c:pt>
                <c:pt idx="16">
                  <c:v>2498.7727777777777</c:v>
                </c:pt>
                <c:pt idx="17">
                  <c:v>2629.5505555555555</c:v>
                </c:pt>
                <c:pt idx="18">
                  <c:v>2629.5505555555555</c:v>
                </c:pt>
                <c:pt idx="19">
                  <c:v>2737.6616666666669</c:v>
                </c:pt>
                <c:pt idx="20">
                  <c:v>2737.6616666666669</c:v>
                </c:pt>
                <c:pt idx="21">
                  <c:v>3024.5505555555555</c:v>
                </c:pt>
                <c:pt idx="22">
                  <c:v>3024.5505555555555</c:v>
                </c:pt>
                <c:pt idx="23">
                  <c:v>3201.0480555555555</c:v>
                </c:pt>
                <c:pt idx="24">
                  <c:v>3201.0480555555555</c:v>
                </c:pt>
                <c:pt idx="25">
                  <c:v>3332.2702777777777</c:v>
                </c:pt>
                <c:pt idx="26">
                  <c:v>3332.2702777777777</c:v>
                </c:pt>
                <c:pt idx="27">
                  <c:v>3439.8258333333333</c:v>
                </c:pt>
                <c:pt idx="28">
                  <c:v>3439.8258333333333</c:v>
                </c:pt>
                <c:pt idx="29">
                  <c:v>4286.2702777777777</c:v>
                </c:pt>
                <c:pt idx="30">
                  <c:v>4286.2702777777777</c:v>
                </c:pt>
                <c:pt idx="31">
                  <c:v>4286.2702777777777</c:v>
                </c:pt>
                <c:pt idx="32">
                  <c:v>4286.2702777777777</c:v>
                </c:pt>
                <c:pt idx="33">
                  <c:v>4486.2702777777777</c:v>
                </c:pt>
                <c:pt idx="34">
                  <c:v>4486.2702777777777</c:v>
                </c:pt>
                <c:pt idx="35">
                  <c:v>4686.2702777777777</c:v>
                </c:pt>
                <c:pt idx="36">
                  <c:v>4686.2702777777777</c:v>
                </c:pt>
              </c:numCache>
            </c:numRef>
          </c:xVal>
          <c:yVal>
            <c:numRef>
              <c:f>'DataForDisplay - Peripheral'!$N$6:$N$42</c:f>
              <c:numCache>
                <c:formatCode>General</c:formatCode>
                <c:ptCount val="37"/>
                <c:pt idx="0">
                  <c:v>0</c:v>
                </c:pt>
                <c:pt idx="1">
                  <c:v>0</c:v>
                </c:pt>
                <c:pt idx="2">
                  <c:v>0</c:v>
                </c:pt>
                <c:pt idx="3">
                  <c:v>4114.3729866666672</c:v>
                </c:pt>
                <c:pt idx="4">
                  <c:v>4114.3729866666672</c:v>
                </c:pt>
                <c:pt idx="5">
                  <c:v>5353.2068877037036</c:v>
                </c:pt>
                <c:pt idx="6">
                  <c:v>5353.2068877037036</c:v>
                </c:pt>
                <c:pt idx="7">
                  <c:v>6672.4722802937031</c:v>
                </c:pt>
                <c:pt idx="8">
                  <c:v>6672.4722802937031</c:v>
                </c:pt>
                <c:pt idx="9">
                  <c:v>7284.641102515925</c:v>
                </c:pt>
                <c:pt idx="10">
                  <c:v>7284.641102515925</c:v>
                </c:pt>
                <c:pt idx="11">
                  <c:v>7975.6230765899991</c:v>
                </c:pt>
                <c:pt idx="12">
                  <c:v>7975.6230765899991</c:v>
                </c:pt>
                <c:pt idx="13">
                  <c:v>8974.7550716517271</c:v>
                </c:pt>
                <c:pt idx="14">
                  <c:v>8974.7550716517271</c:v>
                </c:pt>
                <c:pt idx="15">
                  <c:v>10294.020464241727</c:v>
                </c:pt>
                <c:pt idx="16">
                  <c:v>10294.020464241727</c:v>
                </c:pt>
                <c:pt idx="17">
                  <c:v>10908.931763007158</c:v>
                </c:pt>
                <c:pt idx="18">
                  <c:v>10908.931763007158</c:v>
                </c:pt>
                <c:pt idx="19">
                  <c:v>11627.297663007159</c:v>
                </c:pt>
                <c:pt idx="20">
                  <c:v>11627.297663007159</c:v>
                </c:pt>
                <c:pt idx="21">
                  <c:v>12636.754470414566</c:v>
                </c:pt>
                <c:pt idx="22">
                  <c:v>12636.754470414566</c:v>
                </c:pt>
                <c:pt idx="23">
                  <c:v>13956.019863004565</c:v>
                </c:pt>
                <c:pt idx="24">
                  <c:v>13956.019863004565</c:v>
                </c:pt>
                <c:pt idx="25">
                  <c:v>14574.939680288515</c:v>
                </c:pt>
                <c:pt idx="26">
                  <c:v>14574.939680288515</c:v>
                </c:pt>
                <c:pt idx="27">
                  <c:v>15293.789625967527</c:v>
                </c:pt>
                <c:pt idx="28">
                  <c:v>15293.789625967527</c:v>
                </c:pt>
                <c:pt idx="29">
                  <c:v>17476.196146955182</c:v>
                </c:pt>
                <c:pt idx="30">
                  <c:v>17476.196146955182</c:v>
                </c:pt>
                <c:pt idx="31">
                  <c:v>17476.196146955182</c:v>
                </c:pt>
                <c:pt idx="32">
                  <c:v>17476.196146955182</c:v>
                </c:pt>
                <c:pt idx="33">
                  <c:v>17476.196146955182</c:v>
                </c:pt>
                <c:pt idx="34">
                  <c:v>17476.196146955182</c:v>
                </c:pt>
                <c:pt idx="35">
                  <c:v>17476.196146955182</c:v>
                </c:pt>
                <c:pt idx="36">
                  <c:v>17476.196146955182</c:v>
                </c:pt>
              </c:numCache>
            </c:numRef>
          </c:yVal>
          <c:smooth val="1"/>
        </c:ser>
        <c:dLbls>
          <c:showLegendKey val="0"/>
          <c:showVal val="0"/>
          <c:showCatName val="0"/>
          <c:showSerName val="0"/>
          <c:showPercent val="0"/>
          <c:showBubbleSize val="0"/>
        </c:dLbls>
        <c:axId val="147301888"/>
        <c:axId val="147295616"/>
      </c:scatterChart>
      <c:valAx>
        <c:axId val="147291520"/>
        <c:scaling>
          <c:orientation val="minMax"/>
          <c:min val="-200"/>
        </c:scaling>
        <c:delete val="0"/>
        <c:axPos val="b"/>
        <c:title>
          <c:tx>
            <c:rich>
              <a:bodyPr/>
              <a:lstStyle/>
              <a:p>
                <a:pPr>
                  <a:defRPr/>
                </a:pPr>
                <a:r>
                  <a:rPr lang="en-US"/>
                  <a:t>Time [us]</a:t>
                </a:r>
              </a:p>
            </c:rich>
          </c:tx>
          <c:overlay val="0"/>
        </c:title>
        <c:numFmt formatCode="General" sourceLinked="1"/>
        <c:majorTickMark val="out"/>
        <c:minorTickMark val="none"/>
        <c:tickLblPos val="nextTo"/>
        <c:crossAx val="147293696"/>
        <c:crosses val="autoZero"/>
        <c:crossBetween val="midCat"/>
      </c:valAx>
      <c:valAx>
        <c:axId val="147293696"/>
        <c:scaling>
          <c:orientation val="minMax"/>
        </c:scaling>
        <c:delete val="0"/>
        <c:axPos val="l"/>
        <c:majorGridlines/>
        <c:title>
          <c:tx>
            <c:rich>
              <a:bodyPr rot="-5400000" vert="horz"/>
              <a:lstStyle/>
              <a:p>
                <a:pPr>
                  <a:defRPr/>
                </a:pPr>
                <a:r>
                  <a:rPr lang="en-US"/>
                  <a:t>Current [mA]</a:t>
                </a:r>
              </a:p>
            </c:rich>
          </c:tx>
          <c:overlay val="0"/>
        </c:title>
        <c:numFmt formatCode="General" sourceLinked="1"/>
        <c:majorTickMark val="out"/>
        <c:minorTickMark val="none"/>
        <c:tickLblPos val="nextTo"/>
        <c:txPr>
          <a:bodyPr rot="0" vert="horz" anchor="ctr" anchorCtr="0"/>
          <a:lstStyle/>
          <a:p>
            <a:pPr>
              <a:defRPr/>
            </a:pPr>
            <a:endParaRPr lang="en-US"/>
          </a:p>
        </c:txPr>
        <c:crossAx val="147291520"/>
        <c:crosses val="autoZero"/>
        <c:crossBetween val="midCat"/>
      </c:valAx>
      <c:valAx>
        <c:axId val="147295616"/>
        <c:scaling>
          <c:orientation val="minMax"/>
          <c:min val="0"/>
        </c:scaling>
        <c:delete val="0"/>
        <c:axPos val="r"/>
        <c:title>
          <c:tx>
            <c:rich>
              <a:bodyPr rot="-5400000" vert="horz"/>
              <a:lstStyle/>
              <a:p>
                <a:pPr>
                  <a:defRPr/>
                </a:pPr>
                <a:r>
                  <a:rPr lang="en-US"/>
                  <a:t>Energy [pAh]</a:t>
                </a:r>
              </a:p>
            </c:rich>
          </c:tx>
          <c:overlay val="0"/>
        </c:title>
        <c:numFmt formatCode="General" sourceLinked="1"/>
        <c:majorTickMark val="out"/>
        <c:minorTickMark val="none"/>
        <c:tickLblPos val="nextTo"/>
        <c:crossAx val="147301888"/>
        <c:crosses val="max"/>
        <c:crossBetween val="midCat"/>
      </c:valAx>
      <c:valAx>
        <c:axId val="147301888"/>
        <c:scaling>
          <c:orientation val="minMax"/>
        </c:scaling>
        <c:delete val="1"/>
        <c:axPos val="b"/>
        <c:numFmt formatCode="General" sourceLinked="1"/>
        <c:majorTickMark val="out"/>
        <c:minorTickMark val="none"/>
        <c:tickLblPos val="nextTo"/>
        <c:crossAx val="147295616"/>
        <c:crosses val="autoZero"/>
        <c:crossBetween val="midCat"/>
      </c:valAx>
    </c:plotArea>
    <c:legend>
      <c:legendPos val="r"/>
      <c:layout>
        <c:manualLayout>
          <c:xMode val="edge"/>
          <c:yMode val="edge"/>
          <c:x val="0.38745090933505255"/>
          <c:y val="0.65661560785953643"/>
          <c:w val="0.18281987135651917"/>
          <c:h val="0.20976070774856836"/>
        </c:manualLayout>
      </c:layout>
      <c:overlay val="1"/>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9.220939212771416E-2"/>
          <c:y val="3.0813776016880786E-2"/>
          <c:w val="0.78635314018568681"/>
          <c:h val="0.82504820731704098"/>
        </c:manualLayout>
      </c:layout>
      <c:scatterChart>
        <c:scatterStyle val="smoothMarker"/>
        <c:varyColors val="0"/>
        <c:ser>
          <c:idx val="0"/>
          <c:order val="0"/>
          <c:tx>
            <c:strRef>
              <c:f>'DataForDisplay - Peripheral'!$M$47</c:f>
              <c:strCache>
                <c:ptCount val="1"/>
                <c:pt idx="0">
                  <c:v>CC2640R2 Current [mA]</c:v>
                </c:pt>
              </c:strCache>
            </c:strRef>
          </c:tx>
          <c:marker>
            <c:symbol val="none"/>
          </c:marker>
          <c:xVal>
            <c:numRef>
              <c:f>'DataForDisplay - Peripheral'!$L$49:$L$85</c:f>
              <c:numCache>
                <c:formatCode>General</c:formatCode>
                <c:ptCount val="37"/>
                <c:pt idx="0">
                  <c:v>-200</c:v>
                </c:pt>
                <c:pt idx="1">
                  <c:v>0</c:v>
                </c:pt>
                <c:pt idx="2">
                  <c:v>0</c:v>
                </c:pt>
                <c:pt idx="3">
                  <c:v>1317.8</c:v>
                </c:pt>
                <c:pt idx="4">
                  <c:v>1317.8</c:v>
                </c:pt>
                <c:pt idx="5">
                  <c:v>1645.8</c:v>
                </c:pt>
                <c:pt idx="6">
                  <c:v>1645.8</c:v>
                </c:pt>
                <c:pt idx="7">
                  <c:v>2764.5</c:v>
                </c:pt>
                <c:pt idx="8">
                  <c:v>2764.5</c:v>
                </c:pt>
                <c:pt idx="9">
                  <c:v>3334.5</c:v>
                </c:pt>
                <c:pt idx="10">
                  <c:v>3334.5</c:v>
                </c:pt>
                <c:pt idx="11">
                  <c:v>4453.2</c:v>
                </c:pt>
                <c:pt idx="12">
                  <c:v>4453.2</c:v>
                </c:pt>
                <c:pt idx="13">
                  <c:v>5023.2</c:v>
                </c:pt>
                <c:pt idx="14">
                  <c:v>5023.2</c:v>
                </c:pt>
                <c:pt idx="15">
                  <c:v>6141.9</c:v>
                </c:pt>
                <c:pt idx="16">
                  <c:v>6141.9</c:v>
                </c:pt>
                <c:pt idx="17">
                  <c:v>6711.9</c:v>
                </c:pt>
                <c:pt idx="18">
                  <c:v>6711.9</c:v>
                </c:pt>
                <c:pt idx="19">
                  <c:v>8365.119999999999</c:v>
                </c:pt>
                <c:pt idx="20">
                  <c:v>8365.119999999999</c:v>
                </c:pt>
                <c:pt idx="21">
                  <c:v>8510.6799999999985</c:v>
                </c:pt>
                <c:pt idx="22">
                  <c:v>8510.6799999999985</c:v>
                </c:pt>
                <c:pt idx="23">
                  <c:v>8967.4599999999991</c:v>
                </c:pt>
                <c:pt idx="24">
                  <c:v>8967.4599999999991</c:v>
                </c:pt>
                <c:pt idx="25">
                  <c:v>9854.9</c:v>
                </c:pt>
                <c:pt idx="26">
                  <c:v>9854.9</c:v>
                </c:pt>
                <c:pt idx="27">
                  <c:v>9854.9</c:v>
                </c:pt>
                <c:pt idx="28">
                  <c:v>9854.9</c:v>
                </c:pt>
                <c:pt idx="29">
                  <c:v>9854.9</c:v>
                </c:pt>
                <c:pt idx="30">
                  <c:v>9854.9</c:v>
                </c:pt>
                <c:pt idx="31">
                  <c:v>9854.9</c:v>
                </c:pt>
                <c:pt idx="32">
                  <c:v>9854.9</c:v>
                </c:pt>
                <c:pt idx="33">
                  <c:v>10054.9</c:v>
                </c:pt>
                <c:pt idx="34">
                  <c:v>10054.9</c:v>
                </c:pt>
                <c:pt idx="35">
                  <c:v>10254.9</c:v>
                </c:pt>
                <c:pt idx="36">
                  <c:v>10254.9</c:v>
                </c:pt>
              </c:numCache>
            </c:numRef>
          </c:xVal>
          <c:yVal>
            <c:numRef>
              <c:f>'DataForDisplay - Peripheral'!$M$49:$M$85</c:f>
              <c:numCache>
                <c:formatCode>General</c:formatCode>
                <c:ptCount val="37"/>
                <c:pt idx="0">
                  <c:v>0</c:v>
                </c:pt>
                <c:pt idx="1">
                  <c:v>0</c:v>
                </c:pt>
                <c:pt idx="2">
                  <c:v>3.0618222222222222</c:v>
                </c:pt>
                <c:pt idx="3">
                  <c:v>3.0618222222222222</c:v>
                </c:pt>
                <c:pt idx="4">
                  <c:v>4.0637999999999996</c:v>
                </c:pt>
                <c:pt idx="5">
                  <c:v>4.0637999999999996</c:v>
                </c:pt>
                <c:pt idx="6">
                  <c:v>7.0700999999999992</c:v>
                </c:pt>
                <c:pt idx="7">
                  <c:v>7.0700999999999992</c:v>
                </c:pt>
                <c:pt idx="8">
                  <c:v>3.6073666666666671</c:v>
                </c:pt>
                <c:pt idx="9">
                  <c:v>3.6073666666666671</c:v>
                </c:pt>
                <c:pt idx="10">
                  <c:v>7.0700999999999992</c:v>
                </c:pt>
                <c:pt idx="11">
                  <c:v>7.0700999999999992</c:v>
                </c:pt>
                <c:pt idx="12">
                  <c:v>3.6073666666666671</c:v>
                </c:pt>
                <c:pt idx="13">
                  <c:v>3.6073666666666671</c:v>
                </c:pt>
                <c:pt idx="14">
                  <c:v>7.0700999999999992</c:v>
                </c:pt>
                <c:pt idx="15">
                  <c:v>7.0700999999999992</c:v>
                </c:pt>
                <c:pt idx="16">
                  <c:v>3.6073666666666671</c:v>
                </c:pt>
                <c:pt idx="17">
                  <c:v>3.6073666666666671</c:v>
                </c:pt>
                <c:pt idx="18">
                  <c:v>7.0700999999999992</c:v>
                </c:pt>
                <c:pt idx="19">
                  <c:v>7.0700999999999992</c:v>
                </c:pt>
                <c:pt idx="20">
                  <c:v>5.8626666666666667</c:v>
                </c:pt>
                <c:pt idx="21">
                  <c:v>5.8626666666666667</c:v>
                </c:pt>
                <c:pt idx="22">
                  <c:v>6.7313444444444439</c:v>
                </c:pt>
                <c:pt idx="23">
                  <c:v>6.7313444444444439</c:v>
                </c:pt>
                <c:pt idx="24">
                  <c:v>2.8241111111111112</c:v>
                </c:pt>
                <c:pt idx="25">
                  <c:v>2.8241111111111112</c:v>
                </c:pt>
                <c:pt idx="26">
                  <c:v>0</c:v>
                </c:pt>
                <c:pt idx="27">
                  <c:v>0</c:v>
                </c:pt>
                <c:pt idx="28">
                  <c:v>0</c:v>
                </c:pt>
                <c:pt idx="29">
                  <c:v>0</c:v>
                </c:pt>
                <c:pt idx="30">
                  <c:v>0</c:v>
                </c:pt>
                <c:pt idx="31">
                  <c:v>0</c:v>
                </c:pt>
                <c:pt idx="32">
                  <c:v>0</c:v>
                </c:pt>
                <c:pt idx="33">
                  <c:v>0</c:v>
                </c:pt>
                <c:pt idx="34">
                  <c:v>0</c:v>
                </c:pt>
                <c:pt idx="35">
                  <c:v>0</c:v>
                </c:pt>
                <c:pt idx="36">
                  <c:v>0</c:v>
                </c:pt>
              </c:numCache>
            </c:numRef>
          </c:yVal>
          <c:smooth val="0"/>
        </c:ser>
        <c:dLbls>
          <c:showLegendKey val="0"/>
          <c:showVal val="0"/>
          <c:showCatName val="0"/>
          <c:showSerName val="0"/>
          <c:showPercent val="0"/>
          <c:showBubbleSize val="0"/>
        </c:dLbls>
        <c:axId val="147332096"/>
        <c:axId val="147334272"/>
      </c:scatterChart>
      <c:scatterChart>
        <c:scatterStyle val="smoothMarker"/>
        <c:varyColors val="0"/>
        <c:ser>
          <c:idx val="1"/>
          <c:order val="1"/>
          <c:tx>
            <c:strRef>
              <c:f>'DataForDisplay - Peripheral'!$N$47</c:f>
              <c:strCache>
                <c:ptCount val="1"/>
                <c:pt idx="0">
                  <c:v>CC2640R2 Energy [pAh]</c:v>
                </c:pt>
              </c:strCache>
            </c:strRef>
          </c:tx>
          <c:spPr>
            <a:ln>
              <a:solidFill>
                <a:schemeClr val="accent4"/>
              </a:solidFill>
            </a:ln>
          </c:spPr>
          <c:marker>
            <c:symbol val="none"/>
          </c:marker>
          <c:xVal>
            <c:numRef>
              <c:f>'DataForDisplay - Peripheral'!$L$49:$L$85</c:f>
              <c:numCache>
                <c:formatCode>General</c:formatCode>
                <c:ptCount val="37"/>
                <c:pt idx="0">
                  <c:v>-200</c:v>
                </c:pt>
                <c:pt idx="1">
                  <c:v>0</c:v>
                </c:pt>
                <c:pt idx="2">
                  <c:v>0</c:v>
                </c:pt>
                <c:pt idx="3">
                  <c:v>1317.8</c:v>
                </c:pt>
                <c:pt idx="4">
                  <c:v>1317.8</c:v>
                </c:pt>
                <c:pt idx="5">
                  <c:v>1645.8</c:v>
                </c:pt>
                <c:pt idx="6">
                  <c:v>1645.8</c:v>
                </c:pt>
                <c:pt idx="7">
                  <c:v>2764.5</c:v>
                </c:pt>
                <c:pt idx="8">
                  <c:v>2764.5</c:v>
                </c:pt>
                <c:pt idx="9">
                  <c:v>3334.5</c:v>
                </c:pt>
                <c:pt idx="10">
                  <c:v>3334.5</c:v>
                </c:pt>
                <c:pt idx="11">
                  <c:v>4453.2</c:v>
                </c:pt>
                <c:pt idx="12">
                  <c:v>4453.2</c:v>
                </c:pt>
                <c:pt idx="13">
                  <c:v>5023.2</c:v>
                </c:pt>
                <c:pt idx="14">
                  <c:v>5023.2</c:v>
                </c:pt>
                <c:pt idx="15">
                  <c:v>6141.9</c:v>
                </c:pt>
                <c:pt idx="16">
                  <c:v>6141.9</c:v>
                </c:pt>
                <c:pt idx="17">
                  <c:v>6711.9</c:v>
                </c:pt>
                <c:pt idx="18">
                  <c:v>6711.9</c:v>
                </c:pt>
                <c:pt idx="19">
                  <c:v>8365.119999999999</c:v>
                </c:pt>
                <c:pt idx="20">
                  <c:v>8365.119999999999</c:v>
                </c:pt>
                <c:pt idx="21">
                  <c:v>8510.6799999999985</c:v>
                </c:pt>
                <c:pt idx="22">
                  <c:v>8510.6799999999985</c:v>
                </c:pt>
                <c:pt idx="23">
                  <c:v>8967.4599999999991</c:v>
                </c:pt>
                <c:pt idx="24">
                  <c:v>8967.4599999999991</c:v>
                </c:pt>
                <c:pt idx="25">
                  <c:v>9854.9</c:v>
                </c:pt>
                <c:pt idx="26">
                  <c:v>9854.9</c:v>
                </c:pt>
                <c:pt idx="27">
                  <c:v>9854.9</c:v>
                </c:pt>
                <c:pt idx="28">
                  <c:v>9854.9</c:v>
                </c:pt>
                <c:pt idx="29">
                  <c:v>9854.9</c:v>
                </c:pt>
                <c:pt idx="30">
                  <c:v>9854.9</c:v>
                </c:pt>
                <c:pt idx="31">
                  <c:v>9854.9</c:v>
                </c:pt>
                <c:pt idx="32">
                  <c:v>9854.9</c:v>
                </c:pt>
                <c:pt idx="33">
                  <c:v>10054.9</c:v>
                </c:pt>
                <c:pt idx="34">
                  <c:v>10054.9</c:v>
                </c:pt>
                <c:pt idx="35">
                  <c:v>10254.9</c:v>
                </c:pt>
                <c:pt idx="36">
                  <c:v>10254.9</c:v>
                </c:pt>
              </c:numCache>
            </c:numRef>
          </c:xVal>
          <c:yVal>
            <c:numRef>
              <c:f>'DataForDisplay - Peripheral'!$N$49:$N$85</c:f>
              <c:numCache>
                <c:formatCode>General</c:formatCode>
                <c:ptCount val="37"/>
                <c:pt idx="0">
                  <c:v>0</c:v>
                </c:pt>
                <c:pt idx="1">
                  <c:v>0</c:v>
                </c:pt>
                <c:pt idx="2">
                  <c:v>0</c:v>
                </c:pt>
                <c:pt idx="3">
                  <c:v>4034.8693244444444</c:v>
                </c:pt>
                <c:pt idx="4">
                  <c:v>4034.8693244444444</c:v>
                </c:pt>
                <c:pt idx="5">
                  <c:v>5367.7957244444442</c:v>
                </c:pt>
                <c:pt idx="6">
                  <c:v>5367.7957244444442</c:v>
                </c:pt>
                <c:pt idx="7">
                  <c:v>13277.116594444444</c:v>
                </c:pt>
                <c:pt idx="8">
                  <c:v>13277.116594444444</c:v>
                </c:pt>
                <c:pt idx="9">
                  <c:v>15333.315594444444</c:v>
                </c:pt>
                <c:pt idx="10">
                  <c:v>15333.315594444444</c:v>
                </c:pt>
                <c:pt idx="11">
                  <c:v>23242.636464444444</c:v>
                </c:pt>
                <c:pt idx="12">
                  <c:v>23242.636464444444</c:v>
                </c:pt>
                <c:pt idx="13">
                  <c:v>25298.835464444444</c:v>
                </c:pt>
                <c:pt idx="14">
                  <c:v>25298.835464444444</c:v>
                </c:pt>
                <c:pt idx="15">
                  <c:v>33208.156334444444</c:v>
                </c:pt>
                <c:pt idx="16">
                  <c:v>33208.156334444444</c:v>
                </c:pt>
                <c:pt idx="17">
                  <c:v>35264.355334444444</c:v>
                </c:pt>
                <c:pt idx="18">
                  <c:v>35264.355334444444</c:v>
                </c:pt>
                <c:pt idx="19">
                  <c:v>46952.786056444442</c:v>
                </c:pt>
                <c:pt idx="20">
                  <c:v>46952.786056444442</c:v>
                </c:pt>
                <c:pt idx="21">
                  <c:v>47806.155816444443</c:v>
                </c:pt>
                <c:pt idx="22">
                  <c:v>47806.155816444443</c:v>
                </c:pt>
                <c:pt idx="23">
                  <c:v>50880.899331777779</c:v>
                </c:pt>
                <c:pt idx="24">
                  <c:v>50880.899331777779</c:v>
                </c:pt>
                <c:pt idx="25">
                  <c:v>53387.128496222227</c:v>
                </c:pt>
                <c:pt idx="26">
                  <c:v>53387.128496222227</c:v>
                </c:pt>
                <c:pt idx="27">
                  <c:v>53387.128496222227</c:v>
                </c:pt>
                <c:pt idx="28">
                  <c:v>53387.128496222227</c:v>
                </c:pt>
                <c:pt idx="29">
                  <c:v>53387.128496222227</c:v>
                </c:pt>
                <c:pt idx="30">
                  <c:v>53387.128496222227</c:v>
                </c:pt>
                <c:pt idx="31">
                  <c:v>53387.128496222227</c:v>
                </c:pt>
                <c:pt idx="32">
                  <c:v>53387.128496222227</c:v>
                </c:pt>
                <c:pt idx="33">
                  <c:v>53387.128496222227</c:v>
                </c:pt>
                <c:pt idx="34">
                  <c:v>53387.128496222227</c:v>
                </c:pt>
                <c:pt idx="35">
                  <c:v>53387.128496222227</c:v>
                </c:pt>
                <c:pt idx="36">
                  <c:v>53387.128496222227</c:v>
                </c:pt>
              </c:numCache>
            </c:numRef>
          </c:yVal>
          <c:smooth val="1"/>
        </c:ser>
        <c:dLbls>
          <c:showLegendKey val="0"/>
          <c:showVal val="0"/>
          <c:showCatName val="0"/>
          <c:showSerName val="0"/>
          <c:showPercent val="0"/>
          <c:showBubbleSize val="0"/>
        </c:dLbls>
        <c:axId val="147338368"/>
        <c:axId val="147336192"/>
      </c:scatterChart>
      <c:valAx>
        <c:axId val="147332096"/>
        <c:scaling>
          <c:orientation val="minMax"/>
          <c:min val="-200"/>
        </c:scaling>
        <c:delete val="0"/>
        <c:axPos val="b"/>
        <c:title>
          <c:tx>
            <c:rich>
              <a:bodyPr/>
              <a:lstStyle/>
              <a:p>
                <a:pPr>
                  <a:defRPr/>
                </a:pPr>
                <a:r>
                  <a:rPr lang="en-US"/>
                  <a:t>Time [us]</a:t>
                </a:r>
              </a:p>
            </c:rich>
          </c:tx>
          <c:overlay val="0"/>
        </c:title>
        <c:numFmt formatCode="General" sourceLinked="1"/>
        <c:majorTickMark val="out"/>
        <c:minorTickMark val="none"/>
        <c:tickLblPos val="nextTo"/>
        <c:crossAx val="147334272"/>
        <c:crosses val="autoZero"/>
        <c:crossBetween val="midCat"/>
      </c:valAx>
      <c:valAx>
        <c:axId val="147334272"/>
        <c:scaling>
          <c:orientation val="minMax"/>
        </c:scaling>
        <c:delete val="0"/>
        <c:axPos val="l"/>
        <c:majorGridlines/>
        <c:title>
          <c:tx>
            <c:rich>
              <a:bodyPr rot="-5400000" vert="horz"/>
              <a:lstStyle/>
              <a:p>
                <a:pPr>
                  <a:defRPr b="1"/>
                </a:pPr>
                <a:r>
                  <a:rPr lang="en-US" b="1"/>
                  <a:t>Current [mA]</a:t>
                </a:r>
              </a:p>
            </c:rich>
          </c:tx>
          <c:overlay val="0"/>
        </c:title>
        <c:numFmt formatCode="General" sourceLinked="1"/>
        <c:majorTickMark val="out"/>
        <c:minorTickMark val="none"/>
        <c:tickLblPos val="nextTo"/>
        <c:crossAx val="147332096"/>
        <c:crosses val="autoZero"/>
        <c:crossBetween val="midCat"/>
      </c:valAx>
      <c:valAx>
        <c:axId val="147336192"/>
        <c:scaling>
          <c:orientation val="minMax"/>
          <c:min val="0"/>
        </c:scaling>
        <c:delete val="0"/>
        <c:axPos val="r"/>
        <c:title>
          <c:tx>
            <c:rich>
              <a:bodyPr rot="-5400000" vert="horz"/>
              <a:lstStyle/>
              <a:p>
                <a:pPr>
                  <a:defRPr b="1"/>
                </a:pPr>
                <a:r>
                  <a:rPr lang="en-US" b="1"/>
                  <a:t>Energy [pAh]</a:t>
                </a:r>
              </a:p>
            </c:rich>
          </c:tx>
          <c:overlay val="0"/>
        </c:title>
        <c:numFmt formatCode="General" sourceLinked="1"/>
        <c:majorTickMark val="out"/>
        <c:minorTickMark val="none"/>
        <c:tickLblPos val="nextTo"/>
        <c:crossAx val="147338368"/>
        <c:crosses val="max"/>
        <c:crossBetween val="midCat"/>
      </c:valAx>
      <c:valAx>
        <c:axId val="147338368"/>
        <c:scaling>
          <c:orientation val="minMax"/>
        </c:scaling>
        <c:delete val="1"/>
        <c:axPos val="b"/>
        <c:numFmt formatCode="General" sourceLinked="1"/>
        <c:majorTickMark val="out"/>
        <c:minorTickMark val="none"/>
        <c:tickLblPos val="nextTo"/>
        <c:crossAx val="147336192"/>
        <c:crosses val="autoZero"/>
        <c:crossBetween val="midCat"/>
      </c:valAx>
    </c:plotArea>
    <c:legend>
      <c:legendPos val="r"/>
      <c:layout>
        <c:manualLayout>
          <c:xMode val="edge"/>
          <c:yMode val="edge"/>
          <c:x val="0.41206852414327522"/>
          <c:y val="0.66318330805257031"/>
          <c:w val="0.18775306058725169"/>
          <c:h val="0.20679860101080369"/>
        </c:manualLayout>
      </c:layout>
      <c:overlay val="1"/>
    </c:legend>
    <c:plotVisOnly val="1"/>
    <c:dispBlanksAs val="gap"/>
    <c:showDLblsOverMax val="0"/>
  </c:chart>
  <c:txPr>
    <a:bodyPr/>
    <a:lstStyle/>
    <a:p>
      <a:pPr algn="ctr">
        <a:defRPr lang="en-US" sz="1000" b="0" i="0" u="none" strike="noStrike" kern="1200" baseline="0">
          <a:solidFill>
            <a:sysClr val="windowText" lastClr="000000"/>
          </a:solidFill>
          <a:latin typeface="+mn-lt"/>
          <a:ea typeface="+mn-ea"/>
          <a:cs typeface="+mn-cs"/>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lrMapOvr bg1="lt1" tx1="dk1" bg2="lt2" tx2="dk2" accent1="accent1" accent2="accent2" accent3="accent3" accent4="accent4" accent5="accent5" accent6="accent6" hlink="hlink" folHlink="folHlink"/>
  <c:chart>
    <c:autoTitleDeleted val="1"/>
    <c:plotArea>
      <c:layout/>
      <c:scatterChart>
        <c:scatterStyle val="smoothMarker"/>
        <c:varyColors val="0"/>
        <c:ser>
          <c:idx val="0"/>
          <c:order val="0"/>
          <c:tx>
            <c:strRef>
              <c:f>'DataForDisplay - Peripheral'!$M$90</c:f>
              <c:strCache>
                <c:ptCount val="1"/>
                <c:pt idx="0">
                  <c:v>CC2640R2 Current [mA]</c:v>
                </c:pt>
              </c:strCache>
            </c:strRef>
          </c:tx>
          <c:marker>
            <c:symbol val="none"/>
          </c:marker>
          <c:xVal>
            <c:numRef>
              <c:f>'DataForDisplay - Peripheral'!$L$92:$L$128</c:f>
              <c:numCache>
                <c:formatCode>General</c:formatCode>
                <c:ptCount val="37"/>
                <c:pt idx="0">
                  <c:v>-200</c:v>
                </c:pt>
                <c:pt idx="1">
                  <c:v>0</c:v>
                </c:pt>
                <c:pt idx="2">
                  <c:v>0</c:v>
                </c:pt>
                <c:pt idx="3">
                  <c:v>1283.8888888888889</c:v>
                </c:pt>
                <c:pt idx="4">
                  <c:v>1283.8888888888889</c:v>
                </c:pt>
                <c:pt idx="5">
                  <c:v>1678.1111111111111</c:v>
                </c:pt>
                <c:pt idx="6">
                  <c:v>1678.1111111111111</c:v>
                </c:pt>
                <c:pt idx="7">
                  <c:v>2139.4444444444443</c:v>
                </c:pt>
                <c:pt idx="8">
                  <c:v>2139.4444444444443</c:v>
                </c:pt>
                <c:pt idx="9">
                  <c:v>2248.6666666666665</c:v>
                </c:pt>
                <c:pt idx="10">
                  <c:v>2248.6666666666665</c:v>
                </c:pt>
                <c:pt idx="11">
                  <c:v>2333.0566666666664</c:v>
                </c:pt>
                <c:pt idx="12">
                  <c:v>2333.0566666666664</c:v>
                </c:pt>
                <c:pt idx="13">
                  <c:v>3186.5011111111107</c:v>
                </c:pt>
                <c:pt idx="14">
                  <c:v>3186.5011111111107</c:v>
                </c:pt>
                <c:pt idx="15">
                  <c:v>3186.5011111111107</c:v>
                </c:pt>
                <c:pt idx="16">
                  <c:v>3186.5011111111107</c:v>
                </c:pt>
                <c:pt idx="17">
                  <c:v>3186.5011111111107</c:v>
                </c:pt>
                <c:pt idx="18">
                  <c:v>3186.5011111111107</c:v>
                </c:pt>
                <c:pt idx="19">
                  <c:v>3186.5011111111107</c:v>
                </c:pt>
                <c:pt idx="20">
                  <c:v>3186.5011111111107</c:v>
                </c:pt>
                <c:pt idx="21">
                  <c:v>3186.5011111111107</c:v>
                </c:pt>
                <c:pt idx="22">
                  <c:v>3186.5011111111107</c:v>
                </c:pt>
                <c:pt idx="23">
                  <c:v>3186.5011111111107</c:v>
                </c:pt>
                <c:pt idx="24">
                  <c:v>3186.5011111111107</c:v>
                </c:pt>
                <c:pt idx="25">
                  <c:v>3186.5011111111107</c:v>
                </c:pt>
                <c:pt idx="26">
                  <c:v>3186.5011111111107</c:v>
                </c:pt>
                <c:pt idx="27">
                  <c:v>3186.5011111111107</c:v>
                </c:pt>
                <c:pt idx="28">
                  <c:v>3186.5011111111107</c:v>
                </c:pt>
                <c:pt idx="29">
                  <c:v>3186.5011111111107</c:v>
                </c:pt>
                <c:pt idx="30">
                  <c:v>3186.5011111111107</c:v>
                </c:pt>
                <c:pt idx="31">
                  <c:v>3186.5011111111107</c:v>
                </c:pt>
                <c:pt idx="32">
                  <c:v>3186.5011111111107</c:v>
                </c:pt>
                <c:pt idx="33">
                  <c:v>3386.5011111111107</c:v>
                </c:pt>
                <c:pt idx="34">
                  <c:v>3386.5011111111107</c:v>
                </c:pt>
                <c:pt idx="35">
                  <c:v>3586.5011111111107</c:v>
                </c:pt>
                <c:pt idx="36">
                  <c:v>3586.5011111111107</c:v>
                </c:pt>
              </c:numCache>
            </c:numRef>
          </c:xVal>
          <c:yVal>
            <c:numRef>
              <c:f>'DataForDisplay - Peripheral'!$M$92:$M$128</c:f>
              <c:numCache>
                <c:formatCode>General</c:formatCode>
                <c:ptCount val="37"/>
                <c:pt idx="0">
                  <c:v>0</c:v>
                </c:pt>
                <c:pt idx="1">
                  <c:v>0</c:v>
                </c:pt>
                <c:pt idx="2">
                  <c:v>3.1012666666666662</c:v>
                </c:pt>
                <c:pt idx="3">
                  <c:v>3.1012666666666662</c:v>
                </c:pt>
                <c:pt idx="4">
                  <c:v>3.5755222222222218</c:v>
                </c:pt>
                <c:pt idx="5">
                  <c:v>3.5755222222222218</c:v>
                </c:pt>
                <c:pt idx="6">
                  <c:v>6.6891000000000007</c:v>
                </c:pt>
                <c:pt idx="7">
                  <c:v>6.6891000000000007</c:v>
                </c:pt>
                <c:pt idx="8">
                  <c:v>5.2093222222222222</c:v>
                </c:pt>
                <c:pt idx="9">
                  <c:v>5.2093222222222222</c:v>
                </c:pt>
                <c:pt idx="10">
                  <c:v>7.3402000000000003</c:v>
                </c:pt>
                <c:pt idx="11">
                  <c:v>7.3402000000000003</c:v>
                </c:pt>
                <c:pt idx="12">
                  <c:v>2.6242222222222225</c:v>
                </c:pt>
                <c:pt idx="13">
                  <c:v>2.6242222222222225</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numCache>
            </c:numRef>
          </c:yVal>
          <c:smooth val="0"/>
        </c:ser>
        <c:dLbls>
          <c:showLegendKey val="0"/>
          <c:showVal val="0"/>
          <c:showCatName val="0"/>
          <c:showSerName val="0"/>
          <c:showPercent val="0"/>
          <c:showBubbleSize val="0"/>
        </c:dLbls>
        <c:axId val="147381248"/>
        <c:axId val="148313216"/>
      </c:scatterChart>
      <c:scatterChart>
        <c:scatterStyle val="smoothMarker"/>
        <c:varyColors val="0"/>
        <c:ser>
          <c:idx val="1"/>
          <c:order val="1"/>
          <c:tx>
            <c:strRef>
              <c:f>'DataForDisplay - Peripheral'!$N$90</c:f>
              <c:strCache>
                <c:ptCount val="1"/>
                <c:pt idx="0">
                  <c:v>CC2640R2 Energy [pAh]</c:v>
                </c:pt>
              </c:strCache>
            </c:strRef>
          </c:tx>
          <c:spPr>
            <a:ln>
              <a:solidFill>
                <a:schemeClr val="accent4"/>
              </a:solidFill>
            </a:ln>
          </c:spPr>
          <c:marker>
            <c:symbol val="none"/>
          </c:marker>
          <c:xVal>
            <c:numRef>
              <c:f>'DataForDisplay - Peripheral'!$L$92:$L$128</c:f>
              <c:numCache>
                <c:formatCode>General</c:formatCode>
                <c:ptCount val="37"/>
                <c:pt idx="0">
                  <c:v>-200</c:v>
                </c:pt>
                <c:pt idx="1">
                  <c:v>0</c:v>
                </c:pt>
                <c:pt idx="2">
                  <c:v>0</c:v>
                </c:pt>
                <c:pt idx="3">
                  <c:v>1283.8888888888889</c:v>
                </c:pt>
                <c:pt idx="4">
                  <c:v>1283.8888888888889</c:v>
                </c:pt>
                <c:pt idx="5">
                  <c:v>1678.1111111111111</c:v>
                </c:pt>
                <c:pt idx="6">
                  <c:v>1678.1111111111111</c:v>
                </c:pt>
                <c:pt idx="7">
                  <c:v>2139.4444444444443</c:v>
                </c:pt>
                <c:pt idx="8">
                  <c:v>2139.4444444444443</c:v>
                </c:pt>
                <c:pt idx="9">
                  <c:v>2248.6666666666665</c:v>
                </c:pt>
                <c:pt idx="10">
                  <c:v>2248.6666666666665</c:v>
                </c:pt>
                <c:pt idx="11">
                  <c:v>2333.0566666666664</c:v>
                </c:pt>
                <c:pt idx="12">
                  <c:v>2333.0566666666664</c:v>
                </c:pt>
                <c:pt idx="13">
                  <c:v>3186.5011111111107</c:v>
                </c:pt>
                <c:pt idx="14">
                  <c:v>3186.5011111111107</c:v>
                </c:pt>
                <c:pt idx="15">
                  <c:v>3186.5011111111107</c:v>
                </c:pt>
                <c:pt idx="16">
                  <c:v>3186.5011111111107</c:v>
                </c:pt>
                <c:pt idx="17">
                  <c:v>3186.5011111111107</c:v>
                </c:pt>
                <c:pt idx="18">
                  <c:v>3186.5011111111107</c:v>
                </c:pt>
                <c:pt idx="19">
                  <c:v>3186.5011111111107</c:v>
                </c:pt>
                <c:pt idx="20">
                  <c:v>3186.5011111111107</c:v>
                </c:pt>
                <c:pt idx="21">
                  <c:v>3186.5011111111107</c:v>
                </c:pt>
                <c:pt idx="22">
                  <c:v>3186.5011111111107</c:v>
                </c:pt>
                <c:pt idx="23">
                  <c:v>3186.5011111111107</c:v>
                </c:pt>
                <c:pt idx="24">
                  <c:v>3186.5011111111107</c:v>
                </c:pt>
                <c:pt idx="25">
                  <c:v>3186.5011111111107</c:v>
                </c:pt>
                <c:pt idx="26">
                  <c:v>3186.5011111111107</c:v>
                </c:pt>
                <c:pt idx="27">
                  <c:v>3186.5011111111107</c:v>
                </c:pt>
                <c:pt idx="28">
                  <c:v>3186.5011111111107</c:v>
                </c:pt>
                <c:pt idx="29">
                  <c:v>3186.5011111111107</c:v>
                </c:pt>
                <c:pt idx="30">
                  <c:v>3186.5011111111107</c:v>
                </c:pt>
                <c:pt idx="31">
                  <c:v>3186.5011111111107</c:v>
                </c:pt>
                <c:pt idx="32">
                  <c:v>3186.5011111111107</c:v>
                </c:pt>
                <c:pt idx="33">
                  <c:v>3386.5011111111107</c:v>
                </c:pt>
                <c:pt idx="34">
                  <c:v>3386.5011111111107</c:v>
                </c:pt>
                <c:pt idx="35">
                  <c:v>3586.5011111111107</c:v>
                </c:pt>
                <c:pt idx="36">
                  <c:v>3586.5011111111107</c:v>
                </c:pt>
              </c:numCache>
            </c:numRef>
          </c:xVal>
          <c:yVal>
            <c:numRef>
              <c:f>'DataForDisplay - Peripheral'!$N$92:$N$128</c:f>
              <c:numCache>
                <c:formatCode>General</c:formatCode>
                <c:ptCount val="37"/>
                <c:pt idx="0">
                  <c:v>0</c:v>
                </c:pt>
                <c:pt idx="1">
                  <c:v>0</c:v>
                </c:pt>
                <c:pt idx="2">
                  <c:v>0</c:v>
                </c:pt>
                <c:pt idx="3">
                  <c:v>3981.6818148148141</c:v>
                </c:pt>
                <c:pt idx="4">
                  <c:v>3981.6818148148141</c:v>
                </c:pt>
                <c:pt idx="5">
                  <c:v>5391.2321308641967</c:v>
                </c:pt>
                <c:pt idx="6">
                  <c:v>5391.2321308641967</c:v>
                </c:pt>
                <c:pt idx="7">
                  <c:v>8477.136930864197</c:v>
                </c:pt>
                <c:pt idx="8">
                  <c:v>8477.136930864197</c:v>
                </c:pt>
                <c:pt idx="9">
                  <c:v>9046.110680246913</c:v>
                </c:pt>
                <c:pt idx="10">
                  <c:v>9046.110680246913</c:v>
                </c:pt>
                <c:pt idx="11">
                  <c:v>9665.5501582469133</c:v>
                </c:pt>
                <c:pt idx="12">
                  <c:v>9665.5501582469133</c:v>
                </c:pt>
                <c:pt idx="13">
                  <c:v>11905.178034790124</c:v>
                </c:pt>
                <c:pt idx="14">
                  <c:v>11905.178034790124</c:v>
                </c:pt>
                <c:pt idx="15">
                  <c:v>11905.178034790124</c:v>
                </c:pt>
                <c:pt idx="16">
                  <c:v>11905.178034790124</c:v>
                </c:pt>
                <c:pt idx="17">
                  <c:v>11905.178034790124</c:v>
                </c:pt>
                <c:pt idx="18">
                  <c:v>11905.178034790124</c:v>
                </c:pt>
                <c:pt idx="19">
                  <c:v>11905.178034790124</c:v>
                </c:pt>
                <c:pt idx="20">
                  <c:v>11905.178034790124</c:v>
                </c:pt>
                <c:pt idx="21">
                  <c:v>11905.178034790124</c:v>
                </c:pt>
                <c:pt idx="22">
                  <c:v>11905.178034790124</c:v>
                </c:pt>
                <c:pt idx="23">
                  <c:v>11905.178034790124</c:v>
                </c:pt>
                <c:pt idx="24">
                  <c:v>11905.178034790124</c:v>
                </c:pt>
                <c:pt idx="25">
                  <c:v>11905.178034790124</c:v>
                </c:pt>
                <c:pt idx="26">
                  <c:v>11905.178034790124</c:v>
                </c:pt>
                <c:pt idx="27">
                  <c:v>11905.178034790124</c:v>
                </c:pt>
                <c:pt idx="28">
                  <c:v>11905.178034790124</c:v>
                </c:pt>
                <c:pt idx="29">
                  <c:v>11905.178034790124</c:v>
                </c:pt>
                <c:pt idx="30">
                  <c:v>11905.178034790124</c:v>
                </c:pt>
                <c:pt idx="31">
                  <c:v>11905.178034790124</c:v>
                </c:pt>
                <c:pt idx="32">
                  <c:v>11905.178034790124</c:v>
                </c:pt>
                <c:pt idx="33">
                  <c:v>11905.178034790124</c:v>
                </c:pt>
                <c:pt idx="34">
                  <c:v>11905.178034790124</c:v>
                </c:pt>
                <c:pt idx="35">
                  <c:v>11905.178034790124</c:v>
                </c:pt>
                <c:pt idx="36">
                  <c:v>11905.178034790124</c:v>
                </c:pt>
              </c:numCache>
            </c:numRef>
          </c:yVal>
          <c:smooth val="1"/>
        </c:ser>
        <c:dLbls>
          <c:showLegendKey val="0"/>
          <c:showVal val="0"/>
          <c:showCatName val="0"/>
          <c:showSerName val="0"/>
          <c:showPercent val="0"/>
          <c:showBubbleSize val="0"/>
        </c:dLbls>
        <c:axId val="148317312"/>
        <c:axId val="148315136"/>
      </c:scatterChart>
      <c:valAx>
        <c:axId val="147381248"/>
        <c:scaling>
          <c:orientation val="minMax"/>
          <c:min val="-200"/>
        </c:scaling>
        <c:delete val="0"/>
        <c:axPos val="b"/>
        <c:title>
          <c:tx>
            <c:rich>
              <a:bodyPr/>
              <a:lstStyle/>
              <a:p>
                <a:pPr>
                  <a:defRPr/>
                </a:pPr>
                <a:r>
                  <a:rPr lang="en-US"/>
                  <a:t>Time [us]</a:t>
                </a:r>
              </a:p>
            </c:rich>
          </c:tx>
          <c:overlay val="0"/>
        </c:title>
        <c:numFmt formatCode="General" sourceLinked="1"/>
        <c:majorTickMark val="out"/>
        <c:minorTickMark val="none"/>
        <c:tickLblPos val="nextTo"/>
        <c:crossAx val="148313216"/>
        <c:crosses val="autoZero"/>
        <c:crossBetween val="midCat"/>
      </c:valAx>
      <c:valAx>
        <c:axId val="148313216"/>
        <c:scaling>
          <c:orientation val="minMax"/>
        </c:scaling>
        <c:delete val="0"/>
        <c:axPos val="l"/>
        <c:majorGridlines/>
        <c:title>
          <c:tx>
            <c:rich>
              <a:bodyPr rot="-5400000" vert="horz"/>
              <a:lstStyle/>
              <a:p>
                <a:pPr>
                  <a:defRPr/>
                </a:pPr>
                <a:r>
                  <a:rPr lang="en-US"/>
                  <a:t>Current [mA]</a:t>
                </a:r>
              </a:p>
            </c:rich>
          </c:tx>
          <c:overlay val="0"/>
        </c:title>
        <c:numFmt formatCode="General" sourceLinked="1"/>
        <c:majorTickMark val="out"/>
        <c:minorTickMark val="none"/>
        <c:tickLblPos val="nextTo"/>
        <c:crossAx val="147381248"/>
        <c:crosses val="autoZero"/>
        <c:crossBetween val="midCat"/>
      </c:valAx>
      <c:valAx>
        <c:axId val="148315136"/>
        <c:scaling>
          <c:orientation val="minMax"/>
          <c:min val="0"/>
        </c:scaling>
        <c:delete val="0"/>
        <c:axPos val="r"/>
        <c:title>
          <c:tx>
            <c:rich>
              <a:bodyPr rot="-5400000" vert="horz"/>
              <a:lstStyle/>
              <a:p>
                <a:pPr>
                  <a:defRPr/>
                </a:pPr>
                <a:r>
                  <a:rPr lang="en-US"/>
                  <a:t>Energy [pAh]</a:t>
                </a:r>
              </a:p>
            </c:rich>
          </c:tx>
          <c:overlay val="0"/>
        </c:title>
        <c:numFmt formatCode="General" sourceLinked="1"/>
        <c:majorTickMark val="out"/>
        <c:minorTickMark val="none"/>
        <c:tickLblPos val="nextTo"/>
        <c:crossAx val="148317312"/>
        <c:crosses val="max"/>
        <c:crossBetween val="midCat"/>
      </c:valAx>
      <c:valAx>
        <c:axId val="148317312"/>
        <c:scaling>
          <c:orientation val="minMax"/>
        </c:scaling>
        <c:delete val="1"/>
        <c:axPos val="b"/>
        <c:numFmt formatCode="General" sourceLinked="1"/>
        <c:majorTickMark val="out"/>
        <c:minorTickMark val="none"/>
        <c:tickLblPos val="nextTo"/>
        <c:crossAx val="148315136"/>
        <c:crosses val="autoZero"/>
        <c:crossBetween val="midCat"/>
      </c:valAx>
    </c:plotArea>
    <c:legend>
      <c:legendPos val="r"/>
      <c:layout>
        <c:manualLayout>
          <c:xMode val="edge"/>
          <c:yMode val="edge"/>
          <c:x val="0.36851279461572617"/>
          <c:y val="0.66013313175327937"/>
          <c:w val="0.18642227701514782"/>
          <c:h val="0.19294184124835961"/>
        </c:manualLayout>
      </c:layout>
      <c:overlay val="1"/>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hart>
    <c:autoTitleDeleted val="1"/>
    <c:plotArea>
      <c:layout/>
      <c:pieChart>
        <c:varyColors val="1"/>
        <c:ser>
          <c:idx val="0"/>
          <c:order val="0"/>
          <c:cat>
            <c:strRef>
              <c:f>'BLE - Central'!$X$19:$X$23</c:f>
              <c:strCache>
                <c:ptCount val="5"/>
                <c:pt idx="0">
                  <c:v>Scanning</c:v>
                </c:pt>
                <c:pt idx="1">
                  <c:v>Connected as Central</c:v>
                </c:pt>
                <c:pt idx="2">
                  <c:v>None</c:v>
                </c:pt>
                <c:pt idx="3">
                  <c:v>Custom Application</c:v>
                </c:pt>
                <c:pt idx="4">
                  <c:v>Shutdown</c:v>
                </c:pt>
              </c:strCache>
            </c:strRef>
          </c:cat>
          <c:val>
            <c:numRef>
              <c:f>'BLE - Central'!$AC$19:$AC$23</c:f>
              <c:numCache>
                <c:formatCode>0%</c:formatCode>
                <c:ptCount val="5"/>
                <c:pt idx="0">
                  <c:v>2.0833333333333332E-2</c:v>
                </c:pt>
                <c:pt idx="1">
                  <c:v>8.3333333333333329E-2</c:v>
                </c:pt>
                <c:pt idx="2">
                  <c:v>0</c:v>
                </c:pt>
                <c:pt idx="3">
                  <c:v>4.1666666666666664E-2</c:v>
                </c:pt>
                <c:pt idx="4">
                  <c:v>0.85416666666666674</c:v>
                </c:pt>
              </c:numCache>
            </c:numRef>
          </c:val>
          <c:extLst xmlns:c16r2="http://schemas.microsoft.com/office/drawing/2015/06/chart">
            <c:ext xmlns:c16="http://schemas.microsoft.com/office/drawing/2014/chart" uri="{C3380CC4-5D6E-409C-BE32-E72D297353CC}">
              <c16:uniqueId val="{00000000-DD43-4B41-BE38-4C885A21297D}"/>
            </c:ext>
          </c:extLst>
        </c:ser>
        <c:dLbls>
          <c:showLegendKey val="0"/>
          <c:showVal val="0"/>
          <c:showCatName val="0"/>
          <c:showSerName val="0"/>
          <c:showPercent val="0"/>
          <c:showBubbleSize val="0"/>
          <c:showLeaderLines val="1"/>
        </c:dLbls>
        <c:firstSliceAng val="0"/>
      </c:pieChart>
    </c:plotArea>
    <c:legend>
      <c:legendPos val="r"/>
      <c:layout>
        <c:manualLayout>
          <c:xMode val="edge"/>
          <c:yMode val="edge"/>
          <c:x val="0.53861342771577903"/>
          <c:y val="5.5106410995791201E-2"/>
          <c:w val="0.398649363197216"/>
          <c:h val="0.90767279386113298"/>
        </c:manualLayout>
      </c:layout>
      <c:overlay val="0"/>
    </c:legend>
    <c:plotVisOnly val="1"/>
    <c:dispBlanksAs val="gap"/>
    <c:showDLblsOverMax val="0"/>
  </c:chart>
  <c:spPr>
    <a:ln>
      <a:noFill/>
    </a:ln>
  </c:sp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scatterChart>
        <c:scatterStyle val="smoothMarker"/>
        <c:varyColors val="0"/>
        <c:ser>
          <c:idx val="0"/>
          <c:order val="0"/>
          <c:tx>
            <c:strRef>
              <c:f>'DataForDisplay - Central'!$M$4</c:f>
              <c:strCache>
                <c:ptCount val="1"/>
                <c:pt idx="0">
                  <c:v>CC2640R2 Current [mA]</c:v>
                </c:pt>
              </c:strCache>
            </c:strRef>
          </c:tx>
          <c:marker>
            <c:symbol val="none"/>
          </c:marker>
          <c:xVal>
            <c:numRef>
              <c:f>'DataForDisplay - Central'!$L$6:$L$37</c:f>
              <c:numCache>
                <c:formatCode>General</c:formatCode>
                <c:ptCount val="32"/>
                <c:pt idx="0">
                  <c:v>-200</c:v>
                </c:pt>
                <c:pt idx="1">
                  <c:v>0</c:v>
                </c:pt>
                <c:pt idx="2">
                  <c:v>0</c:v>
                </c:pt>
                <c:pt idx="3">
                  <c:v>1755.2</c:v>
                </c:pt>
                <c:pt idx="4">
                  <c:v>1755.2</c:v>
                </c:pt>
                <c:pt idx="5">
                  <c:v>501755.2</c:v>
                </c:pt>
                <c:pt idx="6">
                  <c:v>501755.2</c:v>
                </c:pt>
                <c:pt idx="7">
                  <c:v>502609.2</c:v>
                </c:pt>
                <c:pt idx="8">
                  <c:v>502609.2</c:v>
                </c:pt>
                <c:pt idx="9">
                  <c:v>1280000</c:v>
                </c:pt>
                <c:pt idx="10">
                  <c:v>1280000</c:v>
                </c:pt>
                <c:pt idx="11">
                  <c:v>1280000</c:v>
                </c:pt>
                <c:pt idx="12">
                  <c:v>1280000</c:v>
                </c:pt>
                <c:pt idx="13">
                  <c:v>1280000</c:v>
                </c:pt>
                <c:pt idx="14">
                  <c:v>1280000</c:v>
                </c:pt>
                <c:pt idx="15">
                  <c:v>1280000</c:v>
                </c:pt>
                <c:pt idx="16">
                  <c:v>1280000</c:v>
                </c:pt>
                <c:pt idx="17">
                  <c:v>1280000</c:v>
                </c:pt>
                <c:pt idx="18">
                  <c:v>1280000</c:v>
                </c:pt>
                <c:pt idx="19">
                  <c:v>1280000</c:v>
                </c:pt>
                <c:pt idx="20">
                  <c:v>1280000</c:v>
                </c:pt>
                <c:pt idx="21">
                  <c:v>1280000</c:v>
                </c:pt>
                <c:pt idx="22">
                  <c:v>1280000</c:v>
                </c:pt>
                <c:pt idx="23">
                  <c:v>1280000</c:v>
                </c:pt>
                <c:pt idx="24">
                  <c:v>1280000</c:v>
                </c:pt>
                <c:pt idx="25">
                  <c:v>1280000</c:v>
                </c:pt>
                <c:pt idx="26">
                  <c:v>1280000</c:v>
                </c:pt>
                <c:pt idx="27">
                  <c:v>1280000</c:v>
                </c:pt>
                <c:pt idx="28">
                  <c:v>1280000</c:v>
                </c:pt>
                <c:pt idx="29">
                  <c:v>1280000</c:v>
                </c:pt>
                <c:pt idx="30">
                  <c:v>1280000</c:v>
                </c:pt>
                <c:pt idx="31">
                  <c:v>1280200</c:v>
                </c:pt>
              </c:numCache>
            </c:numRef>
          </c:xVal>
          <c:yVal>
            <c:numRef>
              <c:f>'DataForDisplay - Central'!$M$6:$M$37</c:f>
              <c:numCache>
                <c:formatCode>General</c:formatCode>
                <c:ptCount val="32"/>
                <c:pt idx="0">
                  <c:v>0</c:v>
                </c:pt>
                <c:pt idx="1">
                  <c:v>0</c:v>
                </c:pt>
                <c:pt idx="2">
                  <c:v>3.1791999999999998</c:v>
                </c:pt>
                <c:pt idx="3">
                  <c:v>3.1791999999999998</c:v>
                </c:pt>
                <c:pt idx="4">
                  <c:v>6.4947999999999997</c:v>
                </c:pt>
                <c:pt idx="5">
                  <c:v>6.4947999999999997</c:v>
                </c:pt>
                <c:pt idx="6">
                  <c:v>2.8071000000000002</c:v>
                </c:pt>
                <c:pt idx="7">
                  <c:v>2.8071000000000002</c:v>
                </c:pt>
                <c:pt idx="8">
                  <c:v>1.2999999999999999E-3</c:v>
                </c:pt>
                <c:pt idx="9">
                  <c:v>1.2999999999999999E-3</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0"/>
        </c:ser>
        <c:dLbls>
          <c:showLegendKey val="0"/>
          <c:showVal val="0"/>
          <c:showCatName val="0"/>
          <c:showSerName val="0"/>
          <c:showPercent val="0"/>
          <c:showBubbleSize val="0"/>
        </c:dLbls>
        <c:axId val="147777408"/>
        <c:axId val="147779584"/>
      </c:scatterChart>
      <c:scatterChart>
        <c:scatterStyle val="smoothMarker"/>
        <c:varyColors val="0"/>
        <c:ser>
          <c:idx val="1"/>
          <c:order val="1"/>
          <c:tx>
            <c:strRef>
              <c:f>'DataForDisplay - Central'!$N$4</c:f>
              <c:strCache>
                <c:ptCount val="1"/>
                <c:pt idx="0">
                  <c:v>CC2640R2 Energy [pAh]</c:v>
                </c:pt>
              </c:strCache>
            </c:strRef>
          </c:tx>
          <c:spPr>
            <a:ln>
              <a:solidFill>
                <a:schemeClr val="accent4"/>
              </a:solidFill>
            </a:ln>
          </c:spPr>
          <c:marker>
            <c:symbol val="none"/>
          </c:marker>
          <c:xVal>
            <c:numRef>
              <c:f>'DataForDisplay - Central'!$L$8:$L$37</c:f>
              <c:numCache>
                <c:formatCode>General</c:formatCode>
                <c:ptCount val="30"/>
                <c:pt idx="0">
                  <c:v>0</c:v>
                </c:pt>
                <c:pt idx="1">
                  <c:v>1755.2</c:v>
                </c:pt>
                <c:pt idx="2">
                  <c:v>1755.2</c:v>
                </c:pt>
                <c:pt idx="3">
                  <c:v>501755.2</c:v>
                </c:pt>
                <c:pt idx="4">
                  <c:v>501755.2</c:v>
                </c:pt>
                <c:pt idx="5">
                  <c:v>502609.2</c:v>
                </c:pt>
                <c:pt idx="6">
                  <c:v>502609.2</c:v>
                </c:pt>
                <c:pt idx="7">
                  <c:v>1280000</c:v>
                </c:pt>
                <c:pt idx="8">
                  <c:v>1280000</c:v>
                </c:pt>
                <c:pt idx="9">
                  <c:v>1280000</c:v>
                </c:pt>
                <c:pt idx="10">
                  <c:v>1280000</c:v>
                </c:pt>
                <c:pt idx="11">
                  <c:v>1280000</c:v>
                </c:pt>
                <c:pt idx="12">
                  <c:v>1280000</c:v>
                </c:pt>
                <c:pt idx="13">
                  <c:v>1280000</c:v>
                </c:pt>
                <c:pt idx="14">
                  <c:v>1280000</c:v>
                </c:pt>
                <c:pt idx="15">
                  <c:v>1280000</c:v>
                </c:pt>
                <c:pt idx="16">
                  <c:v>1280000</c:v>
                </c:pt>
                <c:pt idx="17">
                  <c:v>1280000</c:v>
                </c:pt>
                <c:pt idx="18">
                  <c:v>1280000</c:v>
                </c:pt>
                <c:pt idx="19">
                  <c:v>1280000</c:v>
                </c:pt>
                <c:pt idx="20">
                  <c:v>1280000</c:v>
                </c:pt>
                <c:pt idx="21">
                  <c:v>1280000</c:v>
                </c:pt>
                <c:pt idx="22">
                  <c:v>1280000</c:v>
                </c:pt>
                <c:pt idx="23">
                  <c:v>1280000</c:v>
                </c:pt>
                <c:pt idx="24">
                  <c:v>1280000</c:v>
                </c:pt>
                <c:pt idx="25">
                  <c:v>1280000</c:v>
                </c:pt>
                <c:pt idx="26">
                  <c:v>1280000</c:v>
                </c:pt>
                <c:pt idx="27">
                  <c:v>1280000</c:v>
                </c:pt>
                <c:pt idx="28">
                  <c:v>1280000</c:v>
                </c:pt>
                <c:pt idx="29">
                  <c:v>1280200</c:v>
                </c:pt>
              </c:numCache>
            </c:numRef>
          </c:xVal>
          <c:yVal>
            <c:numRef>
              <c:f>'DataForDisplay - Central'!$N$8:$N$37</c:f>
              <c:numCache>
                <c:formatCode>General</c:formatCode>
                <c:ptCount val="30"/>
                <c:pt idx="0">
                  <c:v>0</c:v>
                </c:pt>
                <c:pt idx="1">
                  <c:v>5580.13184</c:v>
                </c:pt>
                <c:pt idx="2">
                  <c:v>5580.13184</c:v>
                </c:pt>
                <c:pt idx="3">
                  <c:v>3252980.1318399999</c:v>
                </c:pt>
                <c:pt idx="4">
                  <c:v>3252980.1318399999</c:v>
                </c:pt>
                <c:pt idx="5">
                  <c:v>3255377.39524</c:v>
                </c:pt>
                <c:pt idx="6">
                  <c:v>3255377.39524</c:v>
                </c:pt>
                <c:pt idx="7">
                  <c:v>3256388.0032799998</c:v>
                </c:pt>
                <c:pt idx="8">
                  <c:v>3256388.0032799998</c:v>
                </c:pt>
                <c:pt idx="9">
                  <c:v>3256388.0032799998</c:v>
                </c:pt>
                <c:pt idx="10">
                  <c:v>3256388.0032799998</c:v>
                </c:pt>
                <c:pt idx="11">
                  <c:v>3256388.0032799998</c:v>
                </c:pt>
                <c:pt idx="12">
                  <c:v>3256388.0032799998</c:v>
                </c:pt>
                <c:pt idx="13">
                  <c:v>3256388.0032799998</c:v>
                </c:pt>
                <c:pt idx="14">
                  <c:v>3256388.0032799998</c:v>
                </c:pt>
                <c:pt idx="15">
                  <c:v>3256388.0032799998</c:v>
                </c:pt>
                <c:pt idx="16">
                  <c:v>3256388.0032799998</c:v>
                </c:pt>
                <c:pt idx="17">
                  <c:v>3256388.0032799998</c:v>
                </c:pt>
                <c:pt idx="18">
                  <c:v>3256388.0032799998</c:v>
                </c:pt>
                <c:pt idx="19">
                  <c:v>3256388.0032799998</c:v>
                </c:pt>
                <c:pt idx="20">
                  <c:v>3256388.0032799998</c:v>
                </c:pt>
                <c:pt idx="21">
                  <c:v>3256388.0032799998</c:v>
                </c:pt>
                <c:pt idx="22">
                  <c:v>3256388.0032799998</c:v>
                </c:pt>
                <c:pt idx="23">
                  <c:v>3256388.0032799998</c:v>
                </c:pt>
                <c:pt idx="24">
                  <c:v>3256388.0032799998</c:v>
                </c:pt>
                <c:pt idx="25">
                  <c:v>3256388.0032799998</c:v>
                </c:pt>
                <c:pt idx="26">
                  <c:v>3256388.0032799998</c:v>
                </c:pt>
                <c:pt idx="27">
                  <c:v>3256388.0032799998</c:v>
                </c:pt>
                <c:pt idx="28">
                  <c:v>3256388.0032799998</c:v>
                </c:pt>
                <c:pt idx="29">
                  <c:v>3256388.0032799998</c:v>
                </c:pt>
              </c:numCache>
            </c:numRef>
          </c:yVal>
          <c:smooth val="1"/>
        </c:ser>
        <c:dLbls>
          <c:showLegendKey val="0"/>
          <c:showVal val="0"/>
          <c:showCatName val="0"/>
          <c:showSerName val="0"/>
          <c:showPercent val="0"/>
          <c:showBubbleSize val="0"/>
        </c:dLbls>
        <c:axId val="147849216"/>
        <c:axId val="147781504"/>
      </c:scatterChart>
      <c:valAx>
        <c:axId val="147777408"/>
        <c:scaling>
          <c:orientation val="minMax"/>
          <c:min val="-200"/>
        </c:scaling>
        <c:delete val="0"/>
        <c:axPos val="b"/>
        <c:title>
          <c:tx>
            <c:rich>
              <a:bodyPr/>
              <a:lstStyle/>
              <a:p>
                <a:pPr>
                  <a:defRPr/>
                </a:pPr>
                <a:r>
                  <a:rPr lang="en-US"/>
                  <a:t>Time [us]</a:t>
                </a:r>
              </a:p>
            </c:rich>
          </c:tx>
          <c:overlay val="0"/>
        </c:title>
        <c:numFmt formatCode="General" sourceLinked="1"/>
        <c:majorTickMark val="out"/>
        <c:minorTickMark val="none"/>
        <c:tickLblPos val="nextTo"/>
        <c:crossAx val="147779584"/>
        <c:crosses val="autoZero"/>
        <c:crossBetween val="midCat"/>
      </c:valAx>
      <c:valAx>
        <c:axId val="147779584"/>
        <c:scaling>
          <c:orientation val="minMax"/>
        </c:scaling>
        <c:delete val="0"/>
        <c:axPos val="l"/>
        <c:majorGridlines/>
        <c:title>
          <c:tx>
            <c:rich>
              <a:bodyPr rot="-5400000" vert="horz"/>
              <a:lstStyle/>
              <a:p>
                <a:pPr>
                  <a:defRPr/>
                </a:pPr>
                <a:r>
                  <a:rPr lang="en-US"/>
                  <a:t>Current [mA]</a:t>
                </a:r>
              </a:p>
            </c:rich>
          </c:tx>
          <c:overlay val="0"/>
        </c:title>
        <c:numFmt formatCode="General" sourceLinked="1"/>
        <c:majorTickMark val="out"/>
        <c:minorTickMark val="none"/>
        <c:tickLblPos val="nextTo"/>
        <c:txPr>
          <a:bodyPr rot="0" vert="horz" anchor="ctr" anchorCtr="0"/>
          <a:lstStyle/>
          <a:p>
            <a:pPr>
              <a:defRPr/>
            </a:pPr>
            <a:endParaRPr lang="en-US"/>
          </a:p>
        </c:txPr>
        <c:crossAx val="147777408"/>
        <c:crosses val="autoZero"/>
        <c:crossBetween val="midCat"/>
      </c:valAx>
      <c:valAx>
        <c:axId val="147781504"/>
        <c:scaling>
          <c:orientation val="minMax"/>
        </c:scaling>
        <c:delete val="0"/>
        <c:axPos val="r"/>
        <c:title>
          <c:tx>
            <c:rich>
              <a:bodyPr rot="-5400000" vert="horz"/>
              <a:lstStyle/>
              <a:p>
                <a:pPr>
                  <a:defRPr/>
                </a:pPr>
                <a:r>
                  <a:rPr lang="en-US"/>
                  <a:t>Energy [pAh]</a:t>
                </a:r>
              </a:p>
            </c:rich>
          </c:tx>
          <c:overlay val="0"/>
        </c:title>
        <c:numFmt formatCode="General" sourceLinked="1"/>
        <c:majorTickMark val="out"/>
        <c:minorTickMark val="none"/>
        <c:tickLblPos val="nextTo"/>
        <c:crossAx val="147849216"/>
        <c:crosses val="max"/>
        <c:crossBetween val="midCat"/>
      </c:valAx>
      <c:valAx>
        <c:axId val="147849216"/>
        <c:scaling>
          <c:orientation val="minMax"/>
        </c:scaling>
        <c:delete val="1"/>
        <c:axPos val="b"/>
        <c:numFmt formatCode="General" sourceLinked="1"/>
        <c:majorTickMark val="out"/>
        <c:minorTickMark val="none"/>
        <c:tickLblPos val="nextTo"/>
        <c:crossAx val="147781504"/>
        <c:crosses val="autoZero"/>
        <c:crossBetween val="midCat"/>
      </c:valAx>
    </c:plotArea>
    <c:legend>
      <c:legendPos val="r"/>
      <c:layout>
        <c:manualLayout>
          <c:xMode val="edge"/>
          <c:yMode val="edge"/>
          <c:x val="0.68948141403115881"/>
          <c:y val="0.34458670419102055"/>
          <c:w val="0.18281987135651917"/>
          <c:h val="0.20976070774856836"/>
        </c:manualLayout>
      </c:layout>
      <c:overlay val="1"/>
    </c:legend>
    <c:plotVisOnly val="1"/>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9.220939212771416E-2"/>
          <c:y val="3.0813776016880786E-2"/>
          <c:w val="0.78635314018568681"/>
          <c:h val="0.82504820731704098"/>
        </c:manualLayout>
      </c:layout>
      <c:scatterChart>
        <c:scatterStyle val="smoothMarker"/>
        <c:varyColors val="0"/>
        <c:ser>
          <c:idx val="0"/>
          <c:order val="0"/>
          <c:tx>
            <c:strRef>
              <c:f>'DataForDisplay - Central'!$M$41</c:f>
              <c:strCache>
                <c:ptCount val="1"/>
                <c:pt idx="0">
                  <c:v>CC2640R2 Current [mA]</c:v>
                </c:pt>
              </c:strCache>
            </c:strRef>
          </c:tx>
          <c:marker>
            <c:symbol val="none"/>
          </c:marker>
          <c:xVal>
            <c:numRef>
              <c:f>'DataForDisplay - Central'!$L$43:$L$74</c:f>
              <c:numCache>
                <c:formatCode>General</c:formatCode>
                <c:ptCount val="32"/>
                <c:pt idx="0">
                  <c:v>-200</c:v>
                </c:pt>
                <c:pt idx="1">
                  <c:v>0</c:v>
                </c:pt>
                <c:pt idx="2">
                  <c:v>0</c:v>
                </c:pt>
                <c:pt idx="3">
                  <c:v>1283.8888888888889</c:v>
                </c:pt>
                <c:pt idx="4">
                  <c:v>1283.8888888888889</c:v>
                </c:pt>
                <c:pt idx="5">
                  <c:v>1678.1111111111111</c:v>
                </c:pt>
                <c:pt idx="6">
                  <c:v>1678.1111111111111</c:v>
                </c:pt>
                <c:pt idx="7">
                  <c:v>1762.5011111111112</c:v>
                </c:pt>
                <c:pt idx="8">
                  <c:v>1762.5011111111112</c:v>
                </c:pt>
                <c:pt idx="9">
                  <c:v>1871.7233333333334</c:v>
                </c:pt>
                <c:pt idx="10">
                  <c:v>1871.7233333333334</c:v>
                </c:pt>
                <c:pt idx="11">
                  <c:v>2333.0566666666668</c:v>
                </c:pt>
                <c:pt idx="12">
                  <c:v>2333.0566666666668</c:v>
                </c:pt>
                <c:pt idx="13">
                  <c:v>3186.5011111111112</c:v>
                </c:pt>
                <c:pt idx="14">
                  <c:v>3186.5011111111112</c:v>
                </c:pt>
                <c:pt idx="15">
                  <c:v>3186.5011111111112</c:v>
                </c:pt>
                <c:pt idx="16">
                  <c:v>3186.5011111111112</c:v>
                </c:pt>
                <c:pt idx="17">
                  <c:v>3186.5011111111112</c:v>
                </c:pt>
                <c:pt idx="18">
                  <c:v>3186.5011111111112</c:v>
                </c:pt>
                <c:pt idx="19">
                  <c:v>3186.5011111111112</c:v>
                </c:pt>
                <c:pt idx="20">
                  <c:v>3186.5011111111112</c:v>
                </c:pt>
                <c:pt idx="21">
                  <c:v>3186.5011111111112</c:v>
                </c:pt>
                <c:pt idx="22">
                  <c:v>3186.5011111111112</c:v>
                </c:pt>
                <c:pt idx="23">
                  <c:v>3186.5011111111112</c:v>
                </c:pt>
                <c:pt idx="24">
                  <c:v>3186.5011111111112</c:v>
                </c:pt>
                <c:pt idx="25">
                  <c:v>3186.5011111111112</c:v>
                </c:pt>
                <c:pt idx="26">
                  <c:v>3186.5011111111112</c:v>
                </c:pt>
                <c:pt idx="27">
                  <c:v>3186.5011111111112</c:v>
                </c:pt>
                <c:pt idx="28">
                  <c:v>3186.5011111111112</c:v>
                </c:pt>
                <c:pt idx="29">
                  <c:v>3186.5011111111112</c:v>
                </c:pt>
                <c:pt idx="30">
                  <c:v>3186.5011111111112</c:v>
                </c:pt>
                <c:pt idx="31">
                  <c:v>3386.5011111111112</c:v>
                </c:pt>
              </c:numCache>
            </c:numRef>
          </c:xVal>
          <c:yVal>
            <c:numRef>
              <c:f>'DataForDisplay - Central'!$M$43:$M$74</c:f>
              <c:numCache>
                <c:formatCode>General</c:formatCode>
                <c:ptCount val="32"/>
                <c:pt idx="0">
                  <c:v>0</c:v>
                </c:pt>
                <c:pt idx="1">
                  <c:v>0</c:v>
                </c:pt>
                <c:pt idx="2">
                  <c:v>3.1012666666666662</c:v>
                </c:pt>
                <c:pt idx="3">
                  <c:v>3.1012666666666662</c:v>
                </c:pt>
                <c:pt idx="4">
                  <c:v>3.5755222222222218</c:v>
                </c:pt>
                <c:pt idx="5">
                  <c:v>3.5755222222222218</c:v>
                </c:pt>
                <c:pt idx="6">
                  <c:v>7.3402000000000003</c:v>
                </c:pt>
                <c:pt idx="7">
                  <c:v>7.3402000000000003</c:v>
                </c:pt>
                <c:pt idx="8">
                  <c:v>5.2093222222222222</c:v>
                </c:pt>
                <c:pt idx="9">
                  <c:v>5.2093222222222222</c:v>
                </c:pt>
                <c:pt idx="10">
                  <c:v>6.6890999999999998</c:v>
                </c:pt>
                <c:pt idx="11">
                  <c:v>6.6890999999999998</c:v>
                </c:pt>
                <c:pt idx="12">
                  <c:v>2.6242222222222225</c:v>
                </c:pt>
                <c:pt idx="13">
                  <c:v>2.6242222222222225</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0"/>
        </c:ser>
        <c:dLbls>
          <c:showLegendKey val="0"/>
          <c:showVal val="0"/>
          <c:showCatName val="0"/>
          <c:showSerName val="0"/>
          <c:showPercent val="0"/>
          <c:showBubbleSize val="0"/>
        </c:dLbls>
        <c:axId val="147875328"/>
        <c:axId val="147877248"/>
      </c:scatterChart>
      <c:scatterChart>
        <c:scatterStyle val="smoothMarker"/>
        <c:varyColors val="0"/>
        <c:ser>
          <c:idx val="1"/>
          <c:order val="1"/>
          <c:tx>
            <c:strRef>
              <c:f>'DataForDisplay - Central'!$N$41</c:f>
              <c:strCache>
                <c:ptCount val="1"/>
                <c:pt idx="0">
                  <c:v>CC2640R2 Energy [pAh]</c:v>
                </c:pt>
              </c:strCache>
            </c:strRef>
          </c:tx>
          <c:spPr>
            <a:ln>
              <a:solidFill>
                <a:schemeClr val="accent4"/>
              </a:solidFill>
            </a:ln>
          </c:spPr>
          <c:marker>
            <c:symbol val="none"/>
          </c:marker>
          <c:xVal>
            <c:numRef>
              <c:f>'DataForDisplay - Central'!$L$43:$L$74</c:f>
              <c:numCache>
                <c:formatCode>General</c:formatCode>
                <c:ptCount val="32"/>
                <c:pt idx="0">
                  <c:v>-200</c:v>
                </c:pt>
                <c:pt idx="1">
                  <c:v>0</c:v>
                </c:pt>
                <c:pt idx="2">
                  <c:v>0</c:v>
                </c:pt>
                <c:pt idx="3">
                  <c:v>1283.8888888888889</c:v>
                </c:pt>
                <c:pt idx="4">
                  <c:v>1283.8888888888889</c:v>
                </c:pt>
                <c:pt idx="5">
                  <c:v>1678.1111111111111</c:v>
                </c:pt>
                <c:pt idx="6">
                  <c:v>1678.1111111111111</c:v>
                </c:pt>
                <c:pt idx="7">
                  <c:v>1762.5011111111112</c:v>
                </c:pt>
                <c:pt idx="8">
                  <c:v>1762.5011111111112</c:v>
                </c:pt>
                <c:pt idx="9">
                  <c:v>1871.7233333333334</c:v>
                </c:pt>
                <c:pt idx="10">
                  <c:v>1871.7233333333334</c:v>
                </c:pt>
                <c:pt idx="11">
                  <c:v>2333.0566666666668</c:v>
                </c:pt>
                <c:pt idx="12">
                  <c:v>2333.0566666666668</c:v>
                </c:pt>
                <c:pt idx="13">
                  <c:v>3186.5011111111112</c:v>
                </c:pt>
                <c:pt idx="14">
                  <c:v>3186.5011111111112</c:v>
                </c:pt>
                <c:pt idx="15">
                  <c:v>3186.5011111111112</c:v>
                </c:pt>
                <c:pt idx="16">
                  <c:v>3186.5011111111112</c:v>
                </c:pt>
                <c:pt idx="17">
                  <c:v>3186.5011111111112</c:v>
                </c:pt>
                <c:pt idx="18">
                  <c:v>3186.5011111111112</c:v>
                </c:pt>
                <c:pt idx="19">
                  <c:v>3186.5011111111112</c:v>
                </c:pt>
                <c:pt idx="20">
                  <c:v>3186.5011111111112</c:v>
                </c:pt>
                <c:pt idx="21">
                  <c:v>3186.5011111111112</c:v>
                </c:pt>
                <c:pt idx="22">
                  <c:v>3186.5011111111112</c:v>
                </c:pt>
                <c:pt idx="23">
                  <c:v>3186.5011111111112</c:v>
                </c:pt>
                <c:pt idx="24">
                  <c:v>3186.5011111111112</c:v>
                </c:pt>
                <c:pt idx="25">
                  <c:v>3186.5011111111112</c:v>
                </c:pt>
                <c:pt idx="26">
                  <c:v>3186.5011111111112</c:v>
                </c:pt>
                <c:pt idx="27">
                  <c:v>3186.5011111111112</c:v>
                </c:pt>
                <c:pt idx="28">
                  <c:v>3186.5011111111112</c:v>
                </c:pt>
                <c:pt idx="29">
                  <c:v>3186.5011111111112</c:v>
                </c:pt>
                <c:pt idx="30">
                  <c:v>3186.5011111111112</c:v>
                </c:pt>
                <c:pt idx="31">
                  <c:v>3386.5011111111112</c:v>
                </c:pt>
              </c:numCache>
            </c:numRef>
          </c:xVal>
          <c:yVal>
            <c:numRef>
              <c:f>'DataForDisplay - Central'!$N$43:$N$74</c:f>
              <c:numCache>
                <c:formatCode>General</c:formatCode>
                <c:ptCount val="32"/>
                <c:pt idx="0">
                  <c:v>0</c:v>
                </c:pt>
                <c:pt idx="1">
                  <c:v>0</c:v>
                </c:pt>
                <c:pt idx="2">
                  <c:v>0</c:v>
                </c:pt>
                <c:pt idx="3">
                  <c:v>3981.6818148148141</c:v>
                </c:pt>
                <c:pt idx="4">
                  <c:v>3981.6818148148141</c:v>
                </c:pt>
                <c:pt idx="5">
                  <c:v>5391.2321308641967</c:v>
                </c:pt>
                <c:pt idx="6">
                  <c:v>5391.2321308641967</c:v>
                </c:pt>
                <c:pt idx="7">
                  <c:v>6010.671608864197</c:v>
                </c:pt>
                <c:pt idx="8">
                  <c:v>6010.671608864197</c:v>
                </c:pt>
                <c:pt idx="9">
                  <c:v>6579.645358246913</c:v>
                </c:pt>
                <c:pt idx="10">
                  <c:v>6579.645358246913</c:v>
                </c:pt>
                <c:pt idx="11">
                  <c:v>9665.5501582469133</c:v>
                </c:pt>
                <c:pt idx="12">
                  <c:v>9665.5501582469133</c:v>
                </c:pt>
                <c:pt idx="13">
                  <c:v>11905.178034790124</c:v>
                </c:pt>
                <c:pt idx="14">
                  <c:v>11905.178034790124</c:v>
                </c:pt>
                <c:pt idx="15">
                  <c:v>11905.178034790124</c:v>
                </c:pt>
                <c:pt idx="16">
                  <c:v>11905.178034790124</c:v>
                </c:pt>
                <c:pt idx="17">
                  <c:v>11905.178034790124</c:v>
                </c:pt>
                <c:pt idx="18">
                  <c:v>11905.178034790124</c:v>
                </c:pt>
                <c:pt idx="19">
                  <c:v>11905.178034790124</c:v>
                </c:pt>
                <c:pt idx="20">
                  <c:v>11905.178034790124</c:v>
                </c:pt>
                <c:pt idx="21">
                  <c:v>11905.178034790124</c:v>
                </c:pt>
                <c:pt idx="22">
                  <c:v>11905.178034790124</c:v>
                </c:pt>
                <c:pt idx="23">
                  <c:v>11905.178034790124</c:v>
                </c:pt>
                <c:pt idx="24">
                  <c:v>11905.178034790124</c:v>
                </c:pt>
                <c:pt idx="25">
                  <c:v>11905.178034790124</c:v>
                </c:pt>
                <c:pt idx="26">
                  <c:v>11905.178034790124</c:v>
                </c:pt>
                <c:pt idx="27">
                  <c:v>11905.178034790124</c:v>
                </c:pt>
                <c:pt idx="28">
                  <c:v>11905.178034790124</c:v>
                </c:pt>
                <c:pt idx="29">
                  <c:v>11905.178034790124</c:v>
                </c:pt>
                <c:pt idx="30">
                  <c:v>11905.178034790124</c:v>
                </c:pt>
                <c:pt idx="31">
                  <c:v>11905.178034790124</c:v>
                </c:pt>
              </c:numCache>
            </c:numRef>
          </c:yVal>
          <c:smooth val="1"/>
        </c:ser>
        <c:dLbls>
          <c:showLegendKey val="0"/>
          <c:showVal val="0"/>
          <c:showCatName val="0"/>
          <c:showSerName val="0"/>
          <c:showPercent val="0"/>
          <c:showBubbleSize val="0"/>
        </c:dLbls>
        <c:axId val="147889536"/>
        <c:axId val="147887616"/>
      </c:scatterChart>
      <c:valAx>
        <c:axId val="147875328"/>
        <c:scaling>
          <c:orientation val="minMax"/>
          <c:min val="-200"/>
        </c:scaling>
        <c:delete val="0"/>
        <c:axPos val="b"/>
        <c:title>
          <c:tx>
            <c:rich>
              <a:bodyPr/>
              <a:lstStyle/>
              <a:p>
                <a:pPr>
                  <a:defRPr/>
                </a:pPr>
                <a:r>
                  <a:rPr lang="en-US"/>
                  <a:t>Time [us]</a:t>
                </a:r>
              </a:p>
            </c:rich>
          </c:tx>
          <c:overlay val="0"/>
        </c:title>
        <c:numFmt formatCode="General" sourceLinked="1"/>
        <c:majorTickMark val="out"/>
        <c:minorTickMark val="none"/>
        <c:tickLblPos val="nextTo"/>
        <c:crossAx val="147877248"/>
        <c:crosses val="autoZero"/>
        <c:crossBetween val="midCat"/>
      </c:valAx>
      <c:valAx>
        <c:axId val="147877248"/>
        <c:scaling>
          <c:orientation val="minMax"/>
        </c:scaling>
        <c:delete val="0"/>
        <c:axPos val="l"/>
        <c:majorGridlines/>
        <c:title>
          <c:tx>
            <c:rich>
              <a:bodyPr rot="-5400000" vert="horz"/>
              <a:lstStyle/>
              <a:p>
                <a:pPr>
                  <a:defRPr b="1"/>
                </a:pPr>
                <a:r>
                  <a:rPr lang="en-US" b="1"/>
                  <a:t>Current [mA]</a:t>
                </a:r>
              </a:p>
            </c:rich>
          </c:tx>
          <c:overlay val="0"/>
        </c:title>
        <c:numFmt formatCode="General" sourceLinked="1"/>
        <c:majorTickMark val="out"/>
        <c:minorTickMark val="none"/>
        <c:tickLblPos val="nextTo"/>
        <c:crossAx val="147875328"/>
        <c:crosses val="autoZero"/>
        <c:crossBetween val="midCat"/>
      </c:valAx>
      <c:valAx>
        <c:axId val="147887616"/>
        <c:scaling>
          <c:orientation val="minMax"/>
          <c:min val="0"/>
        </c:scaling>
        <c:delete val="0"/>
        <c:axPos val="r"/>
        <c:title>
          <c:tx>
            <c:rich>
              <a:bodyPr rot="-5400000" vert="horz"/>
              <a:lstStyle/>
              <a:p>
                <a:pPr>
                  <a:defRPr b="1"/>
                </a:pPr>
                <a:r>
                  <a:rPr lang="en-US" b="1"/>
                  <a:t>Energy [pAh]</a:t>
                </a:r>
              </a:p>
            </c:rich>
          </c:tx>
          <c:overlay val="0"/>
        </c:title>
        <c:numFmt formatCode="General" sourceLinked="1"/>
        <c:majorTickMark val="out"/>
        <c:minorTickMark val="none"/>
        <c:tickLblPos val="nextTo"/>
        <c:crossAx val="147889536"/>
        <c:crosses val="max"/>
        <c:crossBetween val="midCat"/>
      </c:valAx>
      <c:valAx>
        <c:axId val="147889536"/>
        <c:scaling>
          <c:orientation val="minMax"/>
        </c:scaling>
        <c:delete val="1"/>
        <c:axPos val="b"/>
        <c:numFmt formatCode="General" sourceLinked="1"/>
        <c:majorTickMark val="out"/>
        <c:minorTickMark val="none"/>
        <c:tickLblPos val="nextTo"/>
        <c:crossAx val="147887616"/>
        <c:crosses val="autoZero"/>
        <c:crossBetween val="midCat"/>
      </c:valAx>
    </c:plotArea>
    <c:legend>
      <c:legendPos val="r"/>
      <c:layout>
        <c:manualLayout>
          <c:xMode val="edge"/>
          <c:yMode val="edge"/>
          <c:x val="0.72379493169624254"/>
          <c:y val="0.2857077077537995"/>
          <c:w val="0.18775306058725169"/>
          <c:h val="0.20679860101080369"/>
        </c:manualLayout>
      </c:layout>
      <c:overlay val="1"/>
    </c:legend>
    <c:plotVisOnly val="1"/>
    <c:dispBlanksAs val="gap"/>
    <c:showDLblsOverMax val="0"/>
  </c:chart>
  <c:txPr>
    <a:bodyPr/>
    <a:lstStyle/>
    <a:p>
      <a:pPr algn="ctr">
        <a:defRPr lang="en-US" sz="1000" b="0" i="0" u="none" strike="noStrike" kern="1200" baseline="0">
          <a:solidFill>
            <a:sysClr val="windowText" lastClr="000000"/>
          </a:solidFill>
          <a:latin typeface="+mn-lt"/>
          <a:ea typeface="+mn-ea"/>
          <a:cs typeface="+mn-cs"/>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lrMapOvr bg1="lt1" tx1="dk1" bg2="lt2" tx2="dk2" accent1="accent1" accent2="accent2" accent3="accent3" accent4="accent4" accent5="accent5" accent6="accent6" hlink="hlink" folHlink="folHlink"/>
  <c:chart>
    <c:autoTitleDeleted val="1"/>
    <c:plotArea>
      <c:layout/>
      <c:scatterChart>
        <c:scatterStyle val="smoothMarker"/>
        <c:varyColors val="0"/>
        <c:ser>
          <c:idx val="0"/>
          <c:order val="0"/>
          <c:tx>
            <c:strRef>
              <c:f>'DataForDisplay - Central'!$M$78</c:f>
              <c:strCache>
                <c:ptCount val="1"/>
                <c:pt idx="0">
                  <c:v>CC2640R2 Current [mA]</c:v>
                </c:pt>
              </c:strCache>
            </c:strRef>
          </c:tx>
          <c:marker>
            <c:symbol val="none"/>
          </c:marker>
          <c:xVal>
            <c:numRef>
              <c:f>'DataForDisplay - Central'!$L$80:$L$111</c:f>
              <c:numCache>
                <c:formatCode>General</c:formatCode>
                <c:ptCount val="32"/>
                <c:pt idx="0">
                  <c:v>-200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200</c:v>
                </c:pt>
              </c:numCache>
            </c:numRef>
          </c:xVal>
          <c:yVal>
            <c:numRef>
              <c:f>'DataForDisplay - Central'!$M$80:$M$111</c:f>
              <c:numCache>
                <c:formatCode>General</c:formatCode>
                <c:ptCount val="3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0"/>
        </c:ser>
        <c:dLbls>
          <c:showLegendKey val="0"/>
          <c:showVal val="0"/>
          <c:showCatName val="0"/>
          <c:showSerName val="0"/>
          <c:showPercent val="0"/>
          <c:showBubbleSize val="0"/>
        </c:dLbls>
        <c:axId val="148403328"/>
        <c:axId val="148405248"/>
      </c:scatterChart>
      <c:scatterChart>
        <c:scatterStyle val="smoothMarker"/>
        <c:varyColors val="0"/>
        <c:ser>
          <c:idx val="1"/>
          <c:order val="1"/>
          <c:tx>
            <c:strRef>
              <c:f>'DataForDisplay - Central'!$N$78</c:f>
              <c:strCache>
                <c:ptCount val="1"/>
                <c:pt idx="0">
                  <c:v>CC2640R2 Energy [pAh]</c:v>
                </c:pt>
              </c:strCache>
            </c:strRef>
          </c:tx>
          <c:spPr>
            <a:ln>
              <a:solidFill>
                <a:schemeClr val="accent4"/>
              </a:solidFill>
            </a:ln>
          </c:spPr>
          <c:marker>
            <c:symbol val="none"/>
          </c:marker>
          <c:xVal>
            <c:numRef>
              <c:f>'DataForDisplay - Central'!$L$80:$L$111</c:f>
              <c:numCache>
                <c:formatCode>General</c:formatCode>
                <c:ptCount val="32"/>
                <c:pt idx="0">
                  <c:v>-200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200</c:v>
                </c:pt>
              </c:numCache>
            </c:numRef>
          </c:xVal>
          <c:yVal>
            <c:numRef>
              <c:f>'DataForDisplay - Central'!$N$80:$N$111</c:f>
              <c:numCache>
                <c:formatCode>General</c:formatCode>
                <c:ptCount val="3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ser>
        <c:dLbls>
          <c:showLegendKey val="0"/>
          <c:showVal val="0"/>
          <c:showCatName val="0"/>
          <c:showSerName val="0"/>
          <c:showPercent val="0"/>
          <c:showBubbleSize val="0"/>
        </c:dLbls>
        <c:axId val="148425728"/>
        <c:axId val="148423808"/>
      </c:scatterChart>
      <c:valAx>
        <c:axId val="148403328"/>
        <c:scaling>
          <c:orientation val="minMax"/>
          <c:min val="-200"/>
        </c:scaling>
        <c:delete val="0"/>
        <c:axPos val="b"/>
        <c:title>
          <c:tx>
            <c:rich>
              <a:bodyPr/>
              <a:lstStyle/>
              <a:p>
                <a:pPr>
                  <a:defRPr/>
                </a:pPr>
                <a:r>
                  <a:rPr lang="en-US"/>
                  <a:t>Time [us]</a:t>
                </a:r>
              </a:p>
            </c:rich>
          </c:tx>
          <c:overlay val="0"/>
        </c:title>
        <c:numFmt formatCode="General" sourceLinked="1"/>
        <c:majorTickMark val="out"/>
        <c:minorTickMark val="none"/>
        <c:tickLblPos val="nextTo"/>
        <c:crossAx val="148405248"/>
        <c:crosses val="autoZero"/>
        <c:crossBetween val="midCat"/>
      </c:valAx>
      <c:valAx>
        <c:axId val="148405248"/>
        <c:scaling>
          <c:orientation val="minMax"/>
        </c:scaling>
        <c:delete val="0"/>
        <c:axPos val="l"/>
        <c:majorGridlines/>
        <c:title>
          <c:tx>
            <c:rich>
              <a:bodyPr rot="-5400000" vert="horz"/>
              <a:lstStyle/>
              <a:p>
                <a:pPr>
                  <a:defRPr/>
                </a:pPr>
                <a:r>
                  <a:rPr lang="en-US"/>
                  <a:t>Current [mA]</a:t>
                </a:r>
              </a:p>
            </c:rich>
          </c:tx>
          <c:overlay val="0"/>
        </c:title>
        <c:numFmt formatCode="General" sourceLinked="1"/>
        <c:majorTickMark val="out"/>
        <c:minorTickMark val="none"/>
        <c:tickLblPos val="nextTo"/>
        <c:crossAx val="148403328"/>
        <c:crosses val="autoZero"/>
        <c:crossBetween val="midCat"/>
      </c:valAx>
      <c:valAx>
        <c:axId val="148423808"/>
        <c:scaling>
          <c:orientation val="minMax"/>
          <c:min val="0"/>
        </c:scaling>
        <c:delete val="0"/>
        <c:axPos val="r"/>
        <c:title>
          <c:tx>
            <c:rich>
              <a:bodyPr rot="-5400000" vert="horz"/>
              <a:lstStyle/>
              <a:p>
                <a:pPr>
                  <a:defRPr/>
                </a:pPr>
                <a:r>
                  <a:rPr lang="en-US"/>
                  <a:t>Energy [pAh]</a:t>
                </a:r>
              </a:p>
            </c:rich>
          </c:tx>
          <c:overlay val="0"/>
        </c:title>
        <c:numFmt formatCode="General" sourceLinked="1"/>
        <c:majorTickMark val="out"/>
        <c:minorTickMark val="none"/>
        <c:tickLblPos val="nextTo"/>
        <c:crossAx val="148425728"/>
        <c:crosses val="max"/>
        <c:crossBetween val="midCat"/>
      </c:valAx>
      <c:valAx>
        <c:axId val="148425728"/>
        <c:scaling>
          <c:orientation val="minMax"/>
        </c:scaling>
        <c:delete val="1"/>
        <c:axPos val="b"/>
        <c:numFmt formatCode="General" sourceLinked="1"/>
        <c:majorTickMark val="out"/>
        <c:minorTickMark val="none"/>
        <c:tickLblPos val="nextTo"/>
        <c:crossAx val="148423808"/>
        <c:crosses val="autoZero"/>
        <c:crossBetween val="midCat"/>
      </c:valAx>
    </c:plotArea>
    <c:legend>
      <c:legendPos val="r"/>
      <c:layout>
        <c:manualLayout>
          <c:xMode val="edge"/>
          <c:yMode val="edge"/>
          <c:x val="0.64394784847392561"/>
          <c:y val="0.34927082593014863"/>
          <c:w val="0.18642227701514782"/>
          <c:h val="0.19294184124835961"/>
        </c:manualLayout>
      </c:layout>
      <c:overlay val="1"/>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editAs="oneCell">
    <xdr:from>
      <xdr:col>1</xdr:col>
      <xdr:colOff>1027043</xdr:colOff>
      <xdr:row>12</xdr:row>
      <xdr:rowOff>41412</xdr:rowOff>
    </xdr:from>
    <xdr:to>
      <xdr:col>7</xdr:col>
      <xdr:colOff>335031</xdr:colOff>
      <xdr:row>17</xdr:row>
      <xdr:rowOff>91038</xdr:rowOff>
    </xdr:to>
    <xdr:pic>
      <xdr:nvPicPr>
        <xdr:cNvPr id="3" name="Picture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27043" y="3213651"/>
          <a:ext cx="3267075" cy="877887"/>
        </a:xfrm>
        <a:prstGeom prst="rect">
          <a:avLst/>
        </a:prstGeom>
        <a:noFill/>
        <a:ln>
          <a:noFill/>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 uri="{AF507438-7753-43E0-B8FC-AC1667EBCBE1}">
            <a14:hiddenEffects xmlns:a14="http://schemas.microsoft.com/office/drawing/2010/main">
              <a:effectLst>
                <a:outerShdw dist="35921" dir="2700000" algn="ctr" rotWithShape="0">
                  <a:schemeClr val="bg2"/>
                </a:outerShdw>
              </a:effectLst>
            </a14:hiddenEffects>
          </a:ext>
        </a:extLst>
      </xdr:spPr>
    </xdr:pic>
    <xdr:clientData/>
  </xdr:twoCellAnchor>
  <xdr:twoCellAnchor editAs="oneCell">
    <xdr:from>
      <xdr:col>1</xdr:col>
      <xdr:colOff>94033</xdr:colOff>
      <xdr:row>32</xdr:row>
      <xdr:rowOff>106699</xdr:rowOff>
    </xdr:from>
    <xdr:to>
      <xdr:col>16</xdr:col>
      <xdr:colOff>42381</xdr:colOff>
      <xdr:row>63</xdr:row>
      <xdr:rowOff>22412</xdr:rowOff>
    </xdr:to>
    <xdr:pic>
      <xdr:nvPicPr>
        <xdr:cNvPr id="4" name="Picture 3"/>
        <xdr:cNvPicPr>
          <a:picLocks noChangeAspect="1"/>
        </xdr:cNvPicPr>
      </xdr:nvPicPr>
      <xdr:blipFill>
        <a:blip xmlns:r="http://schemas.openxmlformats.org/officeDocument/2006/relationships" r:embed="rId2"/>
        <a:stretch>
          <a:fillRect/>
        </a:stretch>
      </xdr:blipFill>
      <xdr:spPr>
        <a:xfrm>
          <a:off x="318151" y="6113052"/>
          <a:ext cx="9585406" cy="477906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23</xdr:col>
      <xdr:colOff>141632</xdr:colOff>
      <xdr:row>28</xdr:row>
      <xdr:rowOff>94128</xdr:rowOff>
    </xdr:from>
    <xdr:to>
      <xdr:col>28</xdr:col>
      <xdr:colOff>459441</xdr:colOff>
      <xdr:row>37</xdr:row>
      <xdr:rowOff>102294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45</xdr:row>
      <xdr:rowOff>57150</xdr:rowOff>
    </xdr:from>
    <xdr:to>
      <xdr:col>6</xdr:col>
      <xdr:colOff>333375</xdr:colOff>
      <xdr:row>70</xdr:row>
      <xdr:rowOff>123825</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326573</xdr:colOff>
      <xdr:row>45</xdr:row>
      <xdr:rowOff>54428</xdr:rowOff>
    </xdr:from>
    <xdr:to>
      <xdr:col>14</xdr:col>
      <xdr:colOff>54429</xdr:colOff>
      <xdr:row>70</xdr:row>
      <xdr:rowOff>136072</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324970</xdr:colOff>
      <xdr:row>45</xdr:row>
      <xdr:rowOff>56029</xdr:rowOff>
    </xdr:from>
    <xdr:to>
      <xdr:col>21</xdr:col>
      <xdr:colOff>108856</xdr:colOff>
      <xdr:row>70</xdr:row>
      <xdr:rowOff>137673</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23</xdr:col>
      <xdr:colOff>141632</xdr:colOff>
      <xdr:row>28</xdr:row>
      <xdr:rowOff>94128</xdr:rowOff>
    </xdr:from>
    <xdr:to>
      <xdr:col>28</xdr:col>
      <xdr:colOff>459441</xdr:colOff>
      <xdr:row>37</xdr:row>
      <xdr:rowOff>102294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45</xdr:row>
      <xdr:rowOff>57150</xdr:rowOff>
    </xdr:from>
    <xdr:to>
      <xdr:col>6</xdr:col>
      <xdr:colOff>333375</xdr:colOff>
      <xdr:row>70</xdr:row>
      <xdr:rowOff>123825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326573</xdr:colOff>
      <xdr:row>45</xdr:row>
      <xdr:rowOff>54428</xdr:rowOff>
    </xdr:from>
    <xdr:to>
      <xdr:col>14</xdr:col>
      <xdr:colOff>54429</xdr:colOff>
      <xdr:row>70</xdr:row>
      <xdr:rowOff>136072</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324970</xdr:colOff>
      <xdr:row>45</xdr:row>
      <xdr:rowOff>56029</xdr:rowOff>
    </xdr:from>
    <xdr:to>
      <xdr:col>21</xdr:col>
      <xdr:colOff>108856</xdr:colOff>
      <xdr:row>70</xdr:row>
      <xdr:rowOff>137673</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Override1.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1"/>
  <sheetViews>
    <sheetView showGridLines="0" showRowColHeaders="0" zoomScale="85" zoomScaleNormal="85" workbookViewId="0"/>
  </sheetViews>
  <sheetFormatPr defaultRowHeight="12.3" x14ac:dyDescent="0.4"/>
  <cols>
    <col min="1" max="1" width="3.44140625" style="163" customWidth="1"/>
    <col min="2" max="2" width="19.1640625" customWidth="1"/>
    <col min="3" max="3" width="3" customWidth="1"/>
    <col min="4" max="4" width="17.1640625" customWidth="1"/>
    <col min="5" max="5" width="1.71875" customWidth="1"/>
    <col min="6" max="6" width="15.1640625" customWidth="1"/>
    <col min="7" max="7" width="3.27734375" customWidth="1"/>
    <col min="8" max="8" width="12.44140625" customWidth="1"/>
  </cols>
  <sheetData>
    <row r="1" spans="2:8" s="163" customFormat="1" x14ac:dyDescent="0.4"/>
    <row r="2" spans="2:8" ht="15" x14ac:dyDescent="0.4">
      <c r="B2" s="20" t="s">
        <v>174</v>
      </c>
    </row>
    <row r="4" spans="2:8" x14ac:dyDescent="0.4">
      <c r="B4" s="1" t="s">
        <v>186</v>
      </c>
    </row>
    <row r="5" spans="2:8" x14ac:dyDescent="0.4">
      <c r="B5" s="1" t="s">
        <v>187</v>
      </c>
    </row>
    <row r="8" spans="2:8" ht="14.1" x14ac:dyDescent="0.4">
      <c r="B8" s="201" t="s">
        <v>175</v>
      </c>
    </row>
    <row r="10" spans="2:8" x14ac:dyDescent="0.4">
      <c r="B10" s="1" t="s">
        <v>176</v>
      </c>
    </row>
    <row r="12" spans="2:8" s="203" customFormat="1" ht="75.599999999999994" x14ac:dyDescent="0.45">
      <c r="B12" s="202" t="s">
        <v>177</v>
      </c>
      <c r="D12" s="202" t="s">
        <v>190</v>
      </c>
      <c r="F12" s="202" t="s">
        <v>191</v>
      </c>
      <c r="H12" s="202" t="s">
        <v>188</v>
      </c>
    </row>
    <row r="19" spans="2:2" ht="16.5" customHeight="1" x14ac:dyDescent="0.4"/>
    <row r="21" spans="2:2" ht="14.1" x14ac:dyDescent="0.4">
      <c r="B21" s="201" t="s">
        <v>178</v>
      </c>
    </row>
    <row r="23" spans="2:2" x14ac:dyDescent="0.4">
      <c r="B23" s="204" t="s">
        <v>180</v>
      </c>
    </row>
    <row r="24" spans="2:2" x14ac:dyDescent="0.4">
      <c r="B24" s="1" t="s">
        <v>181</v>
      </c>
    </row>
    <row r="25" spans="2:2" x14ac:dyDescent="0.4">
      <c r="B25" s="1" t="s">
        <v>182</v>
      </c>
    </row>
    <row r="26" spans="2:2" s="163" customFormat="1" x14ac:dyDescent="0.4">
      <c r="B26" s="1" t="s">
        <v>183</v>
      </c>
    </row>
    <row r="28" spans="2:2" x14ac:dyDescent="0.4">
      <c r="B28" s="204" t="s">
        <v>185</v>
      </c>
    </row>
    <row r="29" spans="2:2" x14ac:dyDescent="0.4">
      <c r="B29" s="1" t="s">
        <v>193</v>
      </c>
    </row>
    <row r="30" spans="2:2" x14ac:dyDescent="0.4">
      <c r="B30" s="1" t="s">
        <v>192</v>
      </c>
    </row>
    <row r="31" spans="2:2" x14ac:dyDescent="0.4">
      <c r="B31" s="1" t="s">
        <v>184</v>
      </c>
    </row>
  </sheetData>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K29"/>
  <sheetViews>
    <sheetView workbookViewId="0">
      <selection activeCell="H5" sqref="H5"/>
    </sheetView>
  </sheetViews>
  <sheetFormatPr defaultColWidth="8.83203125" defaultRowHeight="12.3" x14ac:dyDescent="0.4"/>
  <cols>
    <col min="2" max="2" width="29.71875" customWidth="1"/>
    <col min="8" max="8" width="24.27734375" customWidth="1"/>
  </cols>
  <sheetData>
    <row r="4" spans="2:11" x14ac:dyDescent="0.4">
      <c r="G4" s="84"/>
      <c r="H4" s="84"/>
      <c r="I4" s="84"/>
      <c r="J4" s="84"/>
      <c r="K4" s="84"/>
    </row>
    <row r="5" spans="2:11" ht="24.6" x14ac:dyDescent="0.4">
      <c r="B5" s="35" t="s">
        <v>3</v>
      </c>
      <c r="C5" s="36" t="s">
        <v>24</v>
      </c>
      <c r="D5" s="37" t="s">
        <v>25</v>
      </c>
      <c r="E5" s="85" t="s">
        <v>36</v>
      </c>
      <c r="G5" s="84"/>
    </row>
    <row r="6" spans="2:11" ht="14.25" customHeight="1" x14ac:dyDescent="0.4">
      <c r="B6" s="55" t="str">
        <f>'3V_Connected'!B6</f>
        <v>Wake Up &amp; Pre-processing</v>
      </c>
      <c r="C6" s="106">
        <f>'3V_Connected'!C6</f>
        <v>1283.8888888888889</v>
      </c>
      <c r="D6" s="105">
        <f>('3V_Connected'!D6)*3/3.6</f>
        <v>2.5843888888888884</v>
      </c>
      <c r="E6" s="62">
        <f t="shared" ref="E6:E11" si="0">C6*D6</f>
        <v>3318.0681790123449</v>
      </c>
      <c r="G6" s="84"/>
    </row>
    <row r="7" spans="2:11" ht="12" customHeight="1" x14ac:dyDescent="0.4">
      <c r="B7" s="55" t="str">
        <f>'3V_Connected'!B7</f>
        <v xml:space="preserve">Preparation for Recieve </v>
      </c>
      <c r="C7" s="106">
        <f>'3V_Connected'!C7</f>
        <v>394.22222222222223</v>
      </c>
      <c r="D7" s="105">
        <f>('3V_Connected'!D7)*3/3.6</f>
        <v>2.9796018518518514</v>
      </c>
      <c r="E7" s="62">
        <f t="shared" si="0"/>
        <v>1174.6252633744855</v>
      </c>
      <c r="G7" s="84"/>
    </row>
    <row r="8" spans="2:11" x14ac:dyDescent="0.4">
      <c r="B8" s="55" t="str">
        <f>'3V_Connected'!B8</f>
        <v>Recieve (RX)</v>
      </c>
      <c r="C8" s="106">
        <f>'3V_Connected'!C8</f>
        <v>461.33333333333331</v>
      </c>
      <c r="D8" s="105">
        <f>('3V_Connected'!D8)*3/3.6</f>
        <v>5.574250000000001</v>
      </c>
      <c r="E8" s="62">
        <f t="shared" si="0"/>
        <v>2571.5873333333338</v>
      </c>
      <c r="G8" s="84"/>
    </row>
    <row r="9" spans="2:11" x14ac:dyDescent="0.4">
      <c r="B9" s="55" t="str">
        <f>'3V_Connected'!B9</f>
        <v>RX to TX transition</v>
      </c>
      <c r="C9" s="106">
        <f>'3V_Connected'!C9</f>
        <v>109.22222222222223</v>
      </c>
      <c r="D9" s="105">
        <f>('3V_Connected'!D9)*3/3.6</f>
        <v>4.3411018518518514</v>
      </c>
      <c r="E9" s="62">
        <f t="shared" si="0"/>
        <v>474.14479115226334</v>
      </c>
      <c r="G9" s="84"/>
    </row>
    <row r="10" spans="2:11" x14ac:dyDescent="0.4">
      <c r="B10" s="55" t="str">
        <f>'3V_Connected'!B10</f>
        <v>Transmit (TX)</v>
      </c>
      <c r="C10" s="106">
        <f>'3V_Connected'!C10</f>
        <v>84.39</v>
      </c>
      <c r="D10" s="105">
        <f>('3V_Connected'!D10)*3/3.6</f>
        <v>6.116833333333334</v>
      </c>
      <c r="E10" s="62">
        <f t="shared" si="0"/>
        <v>516.19956500000001</v>
      </c>
      <c r="G10" s="84"/>
    </row>
    <row r="11" spans="2:11" x14ac:dyDescent="0.4">
      <c r="B11" s="55" t="str">
        <f>'3V_Connected'!B11</f>
        <v>Post-Processing</v>
      </c>
      <c r="C11" s="106">
        <f>'3V_Connected'!C11</f>
        <v>853.44444444444446</v>
      </c>
      <c r="D11" s="105">
        <f>('3V_Connected'!D11)*3/3.6</f>
        <v>2.186851851851852</v>
      </c>
      <c r="E11" s="62">
        <f t="shared" si="0"/>
        <v>1866.3565637860083</v>
      </c>
      <c r="G11" s="84"/>
    </row>
    <row r="12" spans="2:11" x14ac:dyDescent="0.4">
      <c r="B12" s="55"/>
      <c r="C12" s="126"/>
      <c r="D12" s="126"/>
      <c r="E12" s="128"/>
      <c r="G12" s="84"/>
    </row>
    <row r="13" spans="2:11" x14ac:dyDescent="0.4">
      <c r="B13" s="55"/>
      <c r="C13" s="126"/>
      <c r="D13" s="126"/>
      <c r="E13" s="128"/>
      <c r="G13" s="84"/>
    </row>
    <row r="14" spans="2:11" x14ac:dyDescent="0.4">
      <c r="B14" s="55"/>
      <c r="C14" s="126"/>
      <c r="D14" s="126"/>
      <c r="E14" s="128"/>
      <c r="G14" s="84"/>
    </row>
    <row r="15" spans="2:11" x14ac:dyDescent="0.4">
      <c r="B15" s="55"/>
      <c r="C15" s="126"/>
      <c r="D15" s="126"/>
      <c r="E15" s="128"/>
      <c r="G15" s="84"/>
    </row>
    <row r="16" spans="2:11" x14ac:dyDescent="0.4">
      <c r="B16" s="55"/>
      <c r="C16" s="126"/>
      <c r="D16" s="126"/>
      <c r="E16" s="128"/>
      <c r="G16" s="84"/>
    </row>
    <row r="17" spans="2:11" x14ac:dyDescent="0.4">
      <c r="B17" s="55"/>
      <c r="C17" s="126"/>
      <c r="D17" s="126"/>
      <c r="E17" s="128"/>
      <c r="G17" s="84"/>
    </row>
    <row r="18" spans="2:11" x14ac:dyDescent="0.4">
      <c r="B18" s="55"/>
      <c r="C18" s="126"/>
      <c r="D18" s="126"/>
      <c r="E18" s="128"/>
      <c r="G18" s="84"/>
    </row>
    <row r="19" spans="2:11" x14ac:dyDescent="0.4">
      <c r="B19" s="55"/>
      <c r="C19" s="128"/>
      <c r="D19" s="138"/>
      <c r="E19" s="128"/>
      <c r="G19" s="84"/>
    </row>
    <row r="20" spans="2:11" x14ac:dyDescent="0.4">
      <c r="B20" s="137"/>
      <c r="C20" s="128"/>
      <c r="D20" s="138"/>
      <c r="E20" s="128"/>
      <c r="G20" s="84"/>
    </row>
    <row r="21" spans="2:11" x14ac:dyDescent="0.4">
      <c r="B21" s="59"/>
      <c r="C21" s="53"/>
      <c r="D21" s="49"/>
      <c r="E21" s="53"/>
      <c r="G21" s="84"/>
    </row>
    <row r="22" spans="2:11" x14ac:dyDescent="0.4">
      <c r="B22" s="52"/>
      <c r="C22" s="54"/>
      <c r="D22" s="50"/>
      <c r="E22" s="54"/>
      <c r="G22" s="84"/>
    </row>
    <row r="23" spans="2:11" x14ac:dyDescent="0.4">
      <c r="B23" s="17" t="s">
        <v>42</v>
      </c>
      <c r="C23" s="115">
        <f>SUM(C6:C19)</f>
        <v>3186.5011111111107</v>
      </c>
      <c r="D23" s="6"/>
      <c r="E23" s="3"/>
      <c r="G23" s="84"/>
      <c r="H23" s="84"/>
      <c r="I23" s="84"/>
      <c r="J23" s="84"/>
      <c r="K23" s="84"/>
    </row>
    <row r="24" spans="2:11" x14ac:dyDescent="0.4">
      <c r="B24" s="17" t="s">
        <v>43</v>
      </c>
      <c r="C24" s="25"/>
      <c r="D24" s="7"/>
      <c r="E24" s="66">
        <f>SUM(E6:E19)</f>
        <v>9920.9816956584364</v>
      </c>
      <c r="G24" s="84"/>
      <c r="H24" s="84"/>
      <c r="I24" s="84"/>
      <c r="J24" s="84"/>
      <c r="K24" s="84"/>
    </row>
    <row r="25" spans="2:11" ht="24.6" x14ac:dyDescent="0.4">
      <c r="B25" s="32" t="s">
        <v>55</v>
      </c>
      <c r="C25" s="83"/>
      <c r="D25" s="9"/>
      <c r="E25" s="63">
        <f>IF(E24=0,0,1000*E24/C23)</f>
        <v>3113.4405260568255</v>
      </c>
    </row>
    <row r="26" spans="2:11" x14ac:dyDescent="0.4">
      <c r="B26" s="5"/>
      <c r="C26" s="2"/>
      <c r="D26" s="2"/>
      <c r="E26" s="2"/>
    </row>
    <row r="27" spans="2:11" ht="24.6" x14ac:dyDescent="0.4">
      <c r="B27" s="99" t="s">
        <v>32</v>
      </c>
      <c r="C27" s="86">
        <f>((E25*C23)+((('BLE - Peripheral'!D10*1000)-C23)*'Input arguments'!L4))/('BLE - Peripheral'!D10*1000)</f>
        <v>100.46839244213992</v>
      </c>
      <c r="D27" s="102" t="s">
        <v>38</v>
      </c>
    </row>
    <row r="28" spans="2:11" ht="15" x14ac:dyDescent="0.4">
      <c r="B28" s="18" t="s">
        <v>33</v>
      </c>
      <c r="C28" s="100">
        <f>'BLE - Peripheral'!D4/(C27/1000)</f>
        <v>2239.5103029998045</v>
      </c>
      <c r="D28" s="103" t="s">
        <v>18</v>
      </c>
    </row>
    <row r="29" spans="2:11" ht="15" x14ac:dyDescent="0.4">
      <c r="B29" s="18" t="s">
        <v>33</v>
      </c>
      <c r="C29" s="93">
        <f>C28/24</f>
        <v>93.31292929165852</v>
      </c>
      <c r="D29" s="102" t="s">
        <v>21</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H47"/>
  <sheetViews>
    <sheetView workbookViewId="0">
      <selection activeCell="D9" sqref="D9"/>
    </sheetView>
  </sheetViews>
  <sheetFormatPr defaultColWidth="8.83203125" defaultRowHeight="12.3" x14ac:dyDescent="0.4"/>
  <cols>
    <col min="2" max="2" width="41.83203125" customWidth="1"/>
    <col min="3" max="3" width="11.5546875" customWidth="1"/>
    <col min="4" max="4" width="11.27734375" customWidth="1"/>
  </cols>
  <sheetData>
    <row r="4" spans="2:8" x14ac:dyDescent="0.4">
      <c r="G4" s="2"/>
      <c r="H4" s="2"/>
    </row>
    <row r="5" spans="2:8" ht="24.6" x14ac:dyDescent="0.4">
      <c r="B5" s="35" t="s">
        <v>3</v>
      </c>
      <c r="C5" s="134" t="s">
        <v>24</v>
      </c>
      <c r="D5" s="37" t="s">
        <v>25</v>
      </c>
      <c r="E5" s="85" t="s">
        <v>36</v>
      </c>
      <c r="G5" s="84"/>
      <c r="H5" s="84"/>
    </row>
    <row r="6" spans="2:8" ht="15" customHeight="1" x14ac:dyDescent="0.4">
      <c r="B6" s="55" t="s">
        <v>15</v>
      </c>
      <c r="C6" s="62">
        <v>1317.8</v>
      </c>
      <c r="D6" s="104">
        <v>3.0618222222222222</v>
      </c>
      <c r="E6" s="62">
        <f t="shared" ref="E6:E17" si="0">C6*D6</f>
        <v>4034.8693244444444</v>
      </c>
      <c r="G6" s="84"/>
      <c r="H6" s="84"/>
    </row>
    <row r="7" spans="2:8" x14ac:dyDescent="0.4">
      <c r="B7" s="55" t="s">
        <v>14</v>
      </c>
      <c r="C7" s="62">
        <v>328</v>
      </c>
      <c r="D7" s="104">
        <v>4.0637999999999996</v>
      </c>
      <c r="E7" s="62">
        <f t="shared" si="0"/>
        <v>1332.9263999999998</v>
      </c>
      <c r="G7" s="84"/>
      <c r="H7" s="84"/>
    </row>
    <row r="8" spans="2:8" x14ac:dyDescent="0.4">
      <c r="B8" s="55" t="s">
        <v>7</v>
      </c>
      <c r="C8" s="62">
        <v>1118.7</v>
      </c>
      <c r="D8" s="104">
        <f>VLOOKUP('BLE - Peripheral'!$D$6,B41:C46,2)</f>
        <v>7.0700999999999992</v>
      </c>
      <c r="E8" s="62">
        <f t="shared" si="0"/>
        <v>7909.3208699999996</v>
      </c>
      <c r="G8" s="84"/>
      <c r="H8" s="84"/>
    </row>
    <row r="9" spans="2:8" x14ac:dyDescent="0.4">
      <c r="B9" s="55" t="s">
        <v>115</v>
      </c>
      <c r="C9" s="62">
        <v>570</v>
      </c>
      <c r="D9" s="104">
        <v>3.6073666666666671</v>
      </c>
      <c r="E9" s="62">
        <f t="shared" si="0"/>
        <v>2056.1990000000001</v>
      </c>
      <c r="G9" s="84"/>
      <c r="H9" s="84"/>
    </row>
    <row r="10" spans="2:8" x14ac:dyDescent="0.4">
      <c r="B10" s="55" t="s">
        <v>7</v>
      </c>
      <c r="C10" s="62">
        <f>C8</f>
        <v>1118.7</v>
      </c>
      <c r="D10" s="104">
        <f>D8</f>
        <v>7.0700999999999992</v>
      </c>
      <c r="E10" s="62">
        <f t="shared" si="0"/>
        <v>7909.3208699999996</v>
      </c>
      <c r="G10" s="84"/>
      <c r="H10" s="84"/>
    </row>
    <row r="11" spans="2:8" x14ac:dyDescent="0.4">
      <c r="B11" s="55" t="s">
        <v>115</v>
      </c>
      <c r="C11" s="62">
        <f>C9</f>
        <v>570</v>
      </c>
      <c r="D11" s="104">
        <v>3.6073666666666671</v>
      </c>
      <c r="E11" s="62">
        <f t="shared" si="0"/>
        <v>2056.1990000000001</v>
      </c>
      <c r="G11" s="84"/>
      <c r="H11" s="84"/>
    </row>
    <row r="12" spans="2:8" x14ac:dyDescent="0.4">
      <c r="B12" s="55" t="s">
        <v>7</v>
      </c>
      <c r="C12" s="62">
        <f>C8</f>
        <v>1118.7</v>
      </c>
      <c r="D12" s="104">
        <f>D8</f>
        <v>7.0700999999999992</v>
      </c>
      <c r="E12" s="62">
        <f t="shared" si="0"/>
        <v>7909.3208699999996</v>
      </c>
      <c r="G12" s="84"/>
      <c r="H12" s="84"/>
    </row>
    <row r="13" spans="2:8" x14ac:dyDescent="0.4">
      <c r="B13" s="55" t="s">
        <v>115</v>
      </c>
      <c r="C13" s="62">
        <f>C9</f>
        <v>570</v>
      </c>
      <c r="D13" s="104">
        <v>3.6073666666666671</v>
      </c>
      <c r="E13" s="62">
        <f t="shared" si="0"/>
        <v>2056.1990000000001</v>
      </c>
      <c r="G13" s="84"/>
      <c r="H13" s="84"/>
    </row>
    <row r="14" spans="2:8" x14ac:dyDescent="0.4">
      <c r="B14" s="55" t="s">
        <v>116</v>
      </c>
      <c r="C14" s="62">
        <f>1336.6+63.324*('BLE - Peripheral'!$D$9-2)</f>
        <v>1653.2199999999998</v>
      </c>
      <c r="D14" s="104">
        <f>IF('BLE - Peripheral'!$D$6=B41,C41,IF('BLE - Peripheral'!$D$6=B42,C42,IF('BLE - Peripheral'!$D$6=B43,C43,IF('BLE - Peripheral'!$D$6=B44,C44,IF('BLE - Peripheral'!$D$6=B45,C45,IF('BLE - Peripheral'!$D$6=B46,C46))))))</f>
        <v>7.0700999999999992</v>
      </c>
      <c r="E14" s="62">
        <f t="shared" si="0"/>
        <v>11688.430721999997</v>
      </c>
      <c r="G14" s="84"/>
      <c r="H14" s="84"/>
    </row>
    <row r="15" spans="2:8" x14ac:dyDescent="0.4">
      <c r="B15" s="55" t="s">
        <v>9</v>
      </c>
      <c r="C15" s="62">
        <v>145.56</v>
      </c>
      <c r="D15" s="104">
        <v>5.8626666666666667</v>
      </c>
      <c r="E15" s="62">
        <f t="shared" si="0"/>
        <v>853.36976000000004</v>
      </c>
      <c r="G15" s="84"/>
      <c r="H15" s="84"/>
    </row>
    <row r="16" spans="2:8" ht="13.5" customHeight="1" x14ac:dyDescent="0.4">
      <c r="B16" s="55" t="s">
        <v>117</v>
      </c>
      <c r="C16" s="62">
        <v>456.78</v>
      </c>
      <c r="D16" s="104">
        <v>6.7313444444444439</v>
      </c>
      <c r="E16" s="62">
        <f t="shared" si="0"/>
        <v>3074.7435153333331</v>
      </c>
      <c r="G16" s="84"/>
      <c r="H16" s="84"/>
    </row>
    <row r="17" spans="2:8" x14ac:dyDescent="0.4">
      <c r="B17" s="55" t="s">
        <v>16</v>
      </c>
      <c r="C17" s="62">
        <v>887.44</v>
      </c>
      <c r="D17" s="104">
        <v>2.8241111111111112</v>
      </c>
      <c r="E17" s="62">
        <f t="shared" si="0"/>
        <v>2506.2291644444449</v>
      </c>
      <c r="G17" s="84"/>
      <c r="H17" s="84"/>
    </row>
    <row r="18" spans="2:8" x14ac:dyDescent="0.4">
      <c r="B18" s="55"/>
      <c r="C18" s="62"/>
      <c r="D18" s="104"/>
      <c r="E18" s="62"/>
      <c r="G18" s="84"/>
      <c r="H18" s="84"/>
    </row>
    <row r="19" spans="2:8" x14ac:dyDescent="0.4">
      <c r="B19" s="55"/>
      <c r="C19" s="62"/>
      <c r="D19" s="104"/>
      <c r="E19" s="62"/>
      <c r="G19" s="84"/>
      <c r="H19" s="84"/>
    </row>
    <row r="20" spans="2:8" x14ac:dyDescent="0.4">
      <c r="B20" s="55"/>
      <c r="C20" s="62"/>
      <c r="D20" s="62"/>
      <c r="E20" s="62"/>
      <c r="G20" s="84"/>
      <c r="H20" s="84"/>
    </row>
    <row r="21" spans="2:8" x14ac:dyDescent="0.4">
      <c r="B21" s="55"/>
      <c r="C21" s="62"/>
      <c r="D21" s="62"/>
      <c r="E21" s="62"/>
      <c r="G21" s="2"/>
      <c r="H21" s="2"/>
    </row>
    <row r="22" spans="2:8" x14ac:dyDescent="0.4">
      <c r="B22" s="55"/>
      <c r="C22" s="125"/>
      <c r="D22" s="129"/>
      <c r="E22" s="124"/>
      <c r="G22" s="2"/>
      <c r="H22" s="2"/>
    </row>
    <row r="23" spans="2:8" x14ac:dyDescent="0.4">
      <c r="B23" s="87" t="s">
        <v>56</v>
      </c>
      <c r="C23" s="120">
        <f>SUM(C6:C20)</f>
        <v>9854.9</v>
      </c>
      <c r="D23" s="6"/>
      <c r="E23" s="3"/>
    </row>
    <row r="24" spans="2:8" x14ac:dyDescent="0.4">
      <c r="B24" s="17" t="s">
        <v>43</v>
      </c>
      <c r="C24" s="64"/>
      <c r="D24" s="7"/>
      <c r="E24" s="66">
        <f>SUM(E6:E20)</f>
        <v>53387.128496222227</v>
      </c>
    </row>
    <row r="25" spans="2:8" x14ac:dyDescent="0.4">
      <c r="B25" s="32" t="s">
        <v>37</v>
      </c>
      <c r="C25" s="83"/>
      <c r="D25" s="9"/>
      <c r="E25" s="63">
        <f>1000*IF(E24=0,0,E24/C23)</f>
        <v>5417.3181357722788</v>
      </c>
    </row>
    <row r="26" spans="2:8" x14ac:dyDescent="0.4">
      <c r="B26" s="5"/>
      <c r="C26" s="2"/>
      <c r="D26" s="2"/>
      <c r="E26" s="2"/>
    </row>
    <row r="27" spans="2:8" ht="15" x14ac:dyDescent="0.4">
      <c r="B27" s="18" t="s">
        <v>54</v>
      </c>
      <c r="C27" s="86">
        <f>((E25*C23)+((('BLE - Peripheral'!D7*1000)-C23)*'Input arguments'!L4))/('BLE - Peripheral'!D7*1000)</f>
        <v>535.04317126222236</v>
      </c>
      <c r="D27" s="102" t="s">
        <v>38</v>
      </c>
    </row>
    <row r="28" spans="2:8" ht="15" x14ac:dyDescent="0.4">
      <c r="B28" s="18" t="s">
        <v>33</v>
      </c>
      <c r="C28" s="101">
        <f>'BLE - Peripheral'!D4/(C27/1000)</f>
        <v>420.52681369468127</v>
      </c>
      <c r="D28" s="103" t="s">
        <v>18</v>
      </c>
    </row>
    <row r="29" spans="2:8" ht="15" x14ac:dyDescent="0.4">
      <c r="B29" s="99" t="s">
        <v>33</v>
      </c>
      <c r="C29" s="93">
        <f>C28/24</f>
        <v>17.521950570611718</v>
      </c>
      <c r="D29" s="102" t="s">
        <v>21</v>
      </c>
    </row>
    <row r="31" spans="2:8" ht="16.5" customHeight="1" x14ac:dyDescent="0.4"/>
    <row r="32" spans="2:8" ht="33" customHeight="1" x14ac:dyDescent="0.55000000000000004">
      <c r="B32" s="121" t="s">
        <v>119</v>
      </c>
      <c r="C32" s="122" t="s">
        <v>62</v>
      </c>
      <c r="D32" s="122"/>
    </row>
    <row r="33" spans="2:3" ht="14.4" x14ac:dyDescent="0.55000000000000004">
      <c r="B33" s="109">
        <v>-21</v>
      </c>
      <c r="C33" s="147">
        <v>4.6253777777777785</v>
      </c>
    </row>
    <row r="34" spans="2:3" ht="14.4" x14ac:dyDescent="0.55000000000000004">
      <c r="B34" s="109">
        <v>-15</v>
      </c>
      <c r="C34" s="147">
        <v>4.9641555555555552</v>
      </c>
    </row>
    <row r="35" spans="2:3" ht="14.4" x14ac:dyDescent="0.55000000000000004">
      <c r="B35" s="109">
        <v>-9</v>
      </c>
      <c r="C35" s="147">
        <v>5.4559999999999995</v>
      </c>
    </row>
    <row r="36" spans="2:3" ht="14.4" x14ac:dyDescent="0.55000000000000004">
      <c r="B36" s="109">
        <v>0</v>
      </c>
      <c r="C36" s="147">
        <v>7.0700999999999992</v>
      </c>
    </row>
    <row r="37" spans="2:3" ht="14.4" x14ac:dyDescent="0.55000000000000004">
      <c r="B37" s="109">
        <v>3</v>
      </c>
      <c r="C37" s="147">
        <v>8.4259000000000004</v>
      </c>
    </row>
    <row r="38" spans="2:3" ht="14.4" x14ac:dyDescent="0.55000000000000004">
      <c r="B38" s="109">
        <v>5</v>
      </c>
      <c r="C38" s="147">
        <v>10.177444444444445</v>
      </c>
    </row>
    <row r="39" spans="2:3" ht="14.4" x14ac:dyDescent="0.55000000000000004">
      <c r="B39" s="109"/>
      <c r="C39" s="109"/>
    </row>
    <row r="40" spans="2:3" ht="28.8" x14ac:dyDescent="0.55000000000000004">
      <c r="B40" s="121" t="s">
        <v>120</v>
      </c>
      <c r="C40" s="122" t="s">
        <v>62</v>
      </c>
    </row>
    <row r="41" spans="2:3" ht="14.4" x14ac:dyDescent="0.55000000000000004">
      <c r="B41" s="109">
        <v>-21</v>
      </c>
      <c r="C41" s="148">
        <v>4.6253777777777785</v>
      </c>
    </row>
    <row r="42" spans="2:3" ht="14.4" x14ac:dyDescent="0.55000000000000004">
      <c r="B42" s="109">
        <v>-15</v>
      </c>
      <c r="C42" s="148">
        <v>4.9641555555555552</v>
      </c>
    </row>
    <row r="43" spans="2:3" ht="14.4" x14ac:dyDescent="0.55000000000000004">
      <c r="B43" s="109">
        <v>-9</v>
      </c>
      <c r="C43" s="148">
        <v>5.4559999999999995</v>
      </c>
    </row>
    <row r="44" spans="2:3" ht="14.4" x14ac:dyDescent="0.55000000000000004">
      <c r="B44" s="109">
        <v>0</v>
      </c>
      <c r="C44" s="148">
        <v>7.0700999999999992</v>
      </c>
    </row>
    <row r="45" spans="2:3" ht="14.4" x14ac:dyDescent="0.55000000000000004">
      <c r="B45" s="109">
        <v>3</v>
      </c>
      <c r="C45" s="148">
        <v>8.4259000000000004</v>
      </c>
    </row>
    <row r="46" spans="2:3" ht="14.4" x14ac:dyDescent="0.55000000000000004">
      <c r="B46" s="109">
        <v>5</v>
      </c>
      <c r="C46" s="148">
        <v>10.177444444444445</v>
      </c>
    </row>
    <row r="47" spans="2:3" x14ac:dyDescent="0.4">
      <c r="C47" s="123" t="s">
        <v>133</v>
      </c>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G29"/>
  <sheetViews>
    <sheetView workbookViewId="0">
      <selection activeCell="H19" sqref="H19"/>
    </sheetView>
  </sheetViews>
  <sheetFormatPr defaultColWidth="8.83203125" defaultRowHeight="12.3" x14ac:dyDescent="0.4"/>
  <cols>
    <col min="2" max="2" width="27.44140625" customWidth="1"/>
  </cols>
  <sheetData>
    <row r="4" spans="2:7" x14ac:dyDescent="0.4">
      <c r="G4" s="2"/>
    </row>
    <row r="5" spans="2:7" ht="24.6" x14ac:dyDescent="0.4">
      <c r="B5" s="35" t="s">
        <v>3</v>
      </c>
      <c r="C5" s="134" t="s">
        <v>24</v>
      </c>
      <c r="D5" s="37" t="s">
        <v>25</v>
      </c>
      <c r="E5" s="16" t="s">
        <v>36</v>
      </c>
      <c r="G5" s="84"/>
    </row>
    <row r="6" spans="2:7" x14ac:dyDescent="0.4">
      <c r="B6" s="55" t="str">
        <f>'3V_LongRangeS8Advertisement'!B6</f>
        <v>Wake Up &amp; Pre-Processing</v>
      </c>
      <c r="C6" s="132">
        <f>'3V_LongRangeS8Advertisement'!C6</f>
        <v>1317.8</v>
      </c>
      <c r="D6" s="105">
        <f>('3V_LongRangeS8Advertisement'!D6)*3/1.8</f>
        <v>5.103037037037037</v>
      </c>
      <c r="E6" s="62">
        <f t="shared" ref="E6:E17" si="0">C6*D6</f>
        <v>6724.7822074074074</v>
      </c>
      <c r="G6" s="84"/>
    </row>
    <row r="7" spans="2:7" x14ac:dyDescent="0.4">
      <c r="B7" s="55" t="str">
        <f>'3V_LongRangeS8Advertisement'!B7</f>
        <v>Radio Preparation</v>
      </c>
      <c r="C7" s="133">
        <f>'3V_LongRangeS8Advertisement'!C7</f>
        <v>328</v>
      </c>
      <c r="D7" s="105">
        <f>('3V_LongRangeS8Advertisement'!D7)*3/1.8</f>
        <v>6.7729999999999988</v>
      </c>
      <c r="E7" s="62">
        <f t="shared" si="0"/>
        <v>2221.5439999999994</v>
      </c>
      <c r="G7" s="84"/>
    </row>
    <row r="8" spans="2:7" x14ac:dyDescent="0.4">
      <c r="B8" s="55" t="str">
        <f>'3V_LongRangeS8Advertisement'!B8</f>
        <v>Transmit (TX)</v>
      </c>
      <c r="C8" s="133">
        <f>'3V_LongRangeS8Advertisement'!C8</f>
        <v>1118.7</v>
      </c>
      <c r="D8" s="105">
        <f>('3V_LongRangeS8Advertisement'!D8)*3/1.8</f>
        <v>11.783499999999998</v>
      </c>
      <c r="E8" s="62">
        <f t="shared" si="0"/>
        <v>13182.201449999999</v>
      </c>
      <c r="G8" s="84"/>
    </row>
    <row r="9" spans="2:7" x14ac:dyDescent="0.4">
      <c r="B9" s="55" t="str">
        <f>'3V_LongRangeS8Advertisement'!B9</f>
        <v>TX to TX transition</v>
      </c>
      <c r="C9" s="133">
        <f>'3V_LongRangeS8Advertisement'!C9</f>
        <v>570</v>
      </c>
      <c r="D9" s="105">
        <f>('3V_LongRangeS8Advertisement'!D9)*3/1.8</f>
        <v>6.0122777777777783</v>
      </c>
      <c r="E9" s="62">
        <f t="shared" si="0"/>
        <v>3426.9983333333334</v>
      </c>
      <c r="G9" s="84"/>
    </row>
    <row r="10" spans="2:7" x14ac:dyDescent="0.4">
      <c r="B10" s="55" t="str">
        <f>'3V_LongRangeS8Advertisement'!B10</f>
        <v>Transmit (TX)</v>
      </c>
      <c r="C10" s="133">
        <f>'3V_LongRangeS8Advertisement'!C10</f>
        <v>1118.7</v>
      </c>
      <c r="D10" s="105">
        <f>('3V_LongRangeS8Advertisement'!D10)*3/1.8</f>
        <v>11.783499999999998</v>
      </c>
      <c r="E10" s="62">
        <f t="shared" si="0"/>
        <v>13182.201449999999</v>
      </c>
      <c r="G10" s="84"/>
    </row>
    <row r="11" spans="2:7" x14ac:dyDescent="0.4">
      <c r="B11" s="55" t="str">
        <f>'3V_LongRangeS8Advertisement'!B11</f>
        <v>TX to TX transition</v>
      </c>
      <c r="C11" s="133">
        <f>'3V_LongRangeS8Advertisement'!C11</f>
        <v>570</v>
      </c>
      <c r="D11" s="105">
        <f>('3V_LongRangeS8Advertisement'!D11)*3/1.8</f>
        <v>6.0122777777777783</v>
      </c>
      <c r="E11" s="62">
        <f t="shared" si="0"/>
        <v>3426.9983333333334</v>
      </c>
      <c r="G11" s="84"/>
    </row>
    <row r="12" spans="2:7" x14ac:dyDescent="0.4">
      <c r="B12" s="55" t="str">
        <f>'3V_LongRangeS8Advertisement'!B12</f>
        <v>Transmit (TX)</v>
      </c>
      <c r="C12" s="133">
        <f>'3V_LongRangeS8Advertisement'!C12</f>
        <v>1118.7</v>
      </c>
      <c r="D12" s="105">
        <f>('3V_LongRangeS8Advertisement'!D12)*3/1.8</f>
        <v>11.783499999999998</v>
      </c>
      <c r="E12" s="62">
        <f t="shared" si="0"/>
        <v>13182.201449999999</v>
      </c>
      <c r="G12" s="84"/>
    </row>
    <row r="13" spans="2:7" x14ac:dyDescent="0.4">
      <c r="B13" s="55" t="str">
        <f>'3V_LongRangeS8Advertisement'!B13</f>
        <v>TX to TX transition</v>
      </c>
      <c r="C13" s="133">
        <f>'3V_LongRangeS8Advertisement'!C13</f>
        <v>570</v>
      </c>
      <c r="D13" s="105">
        <f>('3V_LongRangeS8Advertisement'!D13)*3/1.8</f>
        <v>6.0122777777777783</v>
      </c>
      <c r="E13" s="62">
        <f t="shared" si="0"/>
        <v>3426.9983333333334</v>
      </c>
      <c r="G13" s="84"/>
    </row>
    <row r="14" spans="2:7" ht="24.6" x14ac:dyDescent="0.4">
      <c r="B14" s="55" t="str">
        <f>'3V_LongRangeS8Advertisement'!B14</f>
        <v>Transmit (TX) – on secondary channel</v>
      </c>
      <c r="C14" s="133">
        <f>'3V_LongRangeS8Advertisement'!C14</f>
        <v>1653.2199999999998</v>
      </c>
      <c r="D14" s="105">
        <f>('3V_LongRangeS8Advertisement'!D14)*3/1.8</f>
        <v>11.783499999999998</v>
      </c>
      <c r="E14" s="62">
        <f t="shared" si="0"/>
        <v>19480.717869999993</v>
      </c>
      <c r="G14" s="84"/>
    </row>
    <row r="15" spans="2:7" x14ac:dyDescent="0.4">
      <c r="B15" s="55" t="str">
        <f>'3V_LongRangeS8Advertisement'!B15</f>
        <v>TX to RX transition</v>
      </c>
      <c r="C15" s="133">
        <f>'3V_LongRangeS8Advertisement'!C15</f>
        <v>145.56</v>
      </c>
      <c r="D15" s="105">
        <f>('3V_LongRangeS8Advertisement'!D15)*3/1.8</f>
        <v>9.7711111111111109</v>
      </c>
      <c r="E15" s="62">
        <f t="shared" si="0"/>
        <v>1422.2829333333334</v>
      </c>
      <c r="G15" s="84"/>
    </row>
    <row r="16" spans="2:7" ht="24.6" x14ac:dyDescent="0.4">
      <c r="B16" s="55" t="str">
        <f>'3V_LongRangeS8Advertisement'!B16</f>
        <v>Receive (RX) – on secondary channel</v>
      </c>
      <c r="C16" s="133">
        <f>'3V_LongRangeS8Advertisement'!C16</f>
        <v>456.78</v>
      </c>
      <c r="D16" s="105">
        <f>('3V_LongRangeS8Advertisement'!D16)*3/1.8</f>
        <v>11.218907407407405</v>
      </c>
      <c r="E16" s="62">
        <f t="shared" si="0"/>
        <v>5124.5725255555544</v>
      </c>
      <c r="G16" s="84"/>
    </row>
    <row r="17" spans="2:7" x14ac:dyDescent="0.4">
      <c r="B17" s="55" t="str">
        <f>'3V_LongRangeS8Advertisement'!B17</f>
        <v>Post-Processing</v>
      </c>
      <c r="C17" s="133">
        <f>'3V_LongRangeS8Advertisement'!C17</f>
        <v>887.44</v>
      </c>
      <c r="D17" s="105">
        <f>('3V_LongRangeS8Advertisement'!D17)*3/1.8</f>
        <v>4.7068518518518516</v>
      </c>
      <c r="E17" s="62">
        <f t="shared" si="0"/>
        <v>4177.0486074074079</v>
      </c>
      <c r="G17" s="84"/>
    </row>
    <row r="18" spans="2:7" x14ac:dyDescent="0.4">
      <c r="B18" s="55"/>
      <c r="C18" s="62"/>
      <c r="D18" s="139"/>
      <c r="E18" s="62"/>
      <c r="G18" s="84"/>
    </row>
    <row r="19" spans="2:7" x14ac:dyDescent="0.4">
      <c r="B19" s="55"/>
      <c r="C19" s="62"/>
      <c r="D19" s="104"/>
      <c r="E19" s="62"/>
      <c r="G19" s="84"/>
    </row>
    <row r="20" spans="2:7" x14ac:dyDescent="0.4">
      <c r="B20" s="55"/>
      <c r="C20" s="62"/>
      <c r="D20" s="62"/>
      <c r="E20" s="62"/>
      <c r="G20" s="84"/>
    </row>
    <row r="21" spans="2:7" x14ac:dyDescent="0.4">
      <c r="B21" s="55"/>
      <c r="C21" s="62"/>
      <c r="D21" s="62"/>
      <c r="E21" s="62"/>
      <c r="G21" s="2"/>
    </row>
    <row r="22" spans="2:7" x14ac:dyDescent="0.4">
      <c r="B22" s="55"/>
      <c r="C22" s="125"/>
      <c r="D22" s="129"/>
      <c r="E22" s="124"/>
      <c r="G22" s="2"/>
    </row>
    <row r="23" spans="2:7" ht="24.6" x14ac:dyDescent="0.4">
      <c r="B23" s="87" t="s">
        <v>56</v>
      </c>
      <c r="C23" s="120">
        <f>SUM(C6:C20)</f>
        <v>9854.9</v>
      </c>
      <c r="D23" s="6"/>
      <c r="E23" s="3"/>
    </row>
    <row r="24" spans="2:7" x14ac:dyDescent="0.4">
      <c r="B24" s="17" t="s">
        <v>43</v>
      </c>
      <c r="C24" s="64"/>
      <c r="D24" s="7"/>
      <c r="E24" s="66">
        <f>SUM(E6:E20)</f>
        <v>88978.547493703707</v>
      </c>
    </row>
    <row r="25" spans="2:7" ht="24.6" x14ac:dyDescent="0.4">
      <c r="B25" s="32" t="s">
        <v>37</v>
      </c>
      <c r="C25" s="83"/>
      <c r="D25" s="9"/>
      <c r="E25" s="63">
        <f>1000*IF(E24=0,0,E24/C23)</f>
        <v>9028.863559620464</v>
      </c>
    </row>
    <row r="26" spans="2:7" x14ac:dyDescent="0.4">
      <c r="B26" s="5"/>
      <c r="C26" s="2"/>
      <c r="D26" s="2"/>
      <c r="E26" s="2"/>
    </row>
    <row r="27" spans="2:7" ht="24.6" x14ac:dyDescent="0.4">
      <c r="B27" s="18" t="s">
        <v>54</v>
      </c>
      <c r="C27" s="86">
        <f>((E25*C23)+((('BLE - Peripheral'!D7*1000)-C23)*'Input arguments'!L4))/('BLE - Peripheral'!D7*1000)</f>
        <v>890.95736123703705</v>
      </c>
      <c r="D27" s="102" t="s">
        <v>38</v>
      </c>
    </row>
    <row r="28" spans="2:7" ht="15" x14ac:dyDescent="0.4">
      <c r="B28" s="18" t="s">
        <v>33</v>
      </c>
      <c r="C28" s="101">
        <f>'BLE - Peripheral'!D4/(C27/1000)</f>
        <v>252.53733768763294</v>
      </c>
      <c r="D28" s="103" t="s">
        <v>18</v>
      </c>
    </row>
    <row r="29" spans="2:7" ht="15" x14ac:dyDescent="0.4">
      <c r="B29" s="99" t="s">
        <v>33</v>
      </c>
      <c r="C29" s="93">
        <f>C28/24</f>
        <v>10.52238907031804</v>
      </c>
      <c r="D29" s="102" t="s">
        <v>21</v>
      </c>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G29"/>
  <sheetViews>
    <sheetView workbookViewId="0">
      <selection activeCell="F10" sqref="F10"/>
    </sheetView>
  </sheetViews>
  <sheetFormatPr defaultColWidth="8.83203125" defaultRowHeight="12.3" x14ac:dyDescent="0.4"/>
  <cols>
    <col min="2" max="2" width="25.27734375" customWidth="1"/>
  </cols>
  <sheetData>
    <row r="4" spans="2:7" x14ac:dyDescent="0.4">
      <c r="G4" s="84"/>
    </row>
    <row r="5" spans="2:7" ht="24.6" x14ac:dyDescent="0.4">
      <c r="B5" s="35" t="s">
        <v>3</v>
      </c>
      <c r="C5" s="134" t="s">
        <v>24</v>
      </c>
      <c r="D5" s="37" t="s">
        <v>25</v>
      </c>
      <c r="E5" s="16" t="s">
        <v>36</v>
      </c>
      <c r="G5" s="84"/>
    </row>
    <row r="6" spans="2:7" ht="14.25" customHeight="1" x14ac:dyDescent="0.4">
      <c r="B6" s="55" t="str">
        <f>'3V_LongRangeS8Advertisement'!B6</f>
        <v>Wake Up &amp; Pre-Processing</v>
      </c>
      <c r="C6" s="133">
        <f>'3V_LongRangeS8Advertisement'!C6</f>
        <v>1317.8</v>
      </c>
      <c r="D6" s="105">
        <f>('3V_LongRangeS8Advertisement'!D6)*3/3.6</f>
        <v>2.5515185185185185</v>
      </c>
      <c r="E6" s="62">
        <f t="shared" ref="E6:E17" si="0">C6*D6</f>
        <v>3362.3911037037037</v>
      </c>
      <c r="G6" s="84"/>
    </row>
    <row r="7" spans="2:7" x14ac:dyDescent="0.4">
      <c r="B7" s="55" t="str">
        <f>'3V_LongRangeS8Advertisement'!B7</f>
        <v>Radio Preparation</v>
      </c>
      <c r="C7" s="133">
        <f>'3V_LongRangeS8Advertisement'!C7</f>
        <v>328</v>
      </c>
      <c r="D7" s="105">
        <f>('3V_LongRangeS8Advertisement'!D7)*3/3.6</f>
        <v>3.3864999999999994</v>
      </c>
      <c r="E7" s="62">
        <f t="shared" si="0"/>
        <v>1110.7719999999997</v>
      </c>
      <c r="G7" s="84"/>
    </row>
    <row r="8" spans="2:7" x14ac:dyDescent="0.4">
      <c r="B8" s="55" t="str">
        <f>'3V_LongRangeS8Advertisement'!B8</f>
        <v>Transmit (TX)</v>
      </c>
      <c r="C8" s="133">
        <f>'3V_LongRangeS8Advertisement'!C8</f>
        <v>1118.7</v>
      </c>
      <c r="D8" s="105">
        <f>('3V_LongRangeS8Advertisement'!D8)*3/3.6</f>
        <v>5.8917499999999992</v>
      </c>
      <c r="E8" s="62">
        <f t="shared" si="0"/>
        <v>6591.1007249999993</v>
      </c>
      <c r="G8" s="84"/>
    </row>
    <row r="9" spans="2:7" x14ac:dyDescent="0.4">
      <c r="B9" s="55" t="str">
        <f>'3V_LongRangeS8Advertisement'!B9</f>
        <v>TX to TX transition</v>
      </c>
      <c r="C9" s="133">
        <f>'3V_LongRangeS8Advertisement'!C9</f>
        <v>570</v>
      </c>
      <c r="D9" s="105">
        <f>('3V_LongRangeS8Advertisement'!D9)*3/3.6</f>
        <v>3.0061388888888891</v>
      </c>
      <c r="E9" s="62">
        <f t="shared" si="0"/>
        <v>1713.4991666666667</v>
      </c>
      <c r="G9" s="84"/>
    </row>
    <row r="10" spans="2:7" x14ac:dyDescent="0.4">
      <c r="B10" s="55" t="str">
        <f>'3V_LongRangeS8Advertisement'!B10</f>
        <v>Transmit (TX)</v>
      </c>
      <c r="C10" s="133">
        <f>'3V_LongRangeS8Advertisement'!C10</f>
        <v>1118.7</v>
      </c>
      <c r="D10" s="105">
        <f>('3V_LongRangeS8Advertisement'!D10)*3/3.6</f>
        <v>5.8917499999999992</v>
      </c>
      <c r="E10" s="62">
        <f t="shared" si="0"/>
        <v>6591.1007249999993</v>
      </c>
      <c r="G10" s="84"/>
    </row>
    <row r="11" spans="2:7" x14ac:dyDescent="0.4">
      <c r="B11" s="55" t="str">
        <f>'3V_LongRangeS8Advertisement'!B11</f>
        <v>TX to TX transition</v>
      </c>
      <c r="C11" s="133">
        <f>'3V_LongRangeS8Advertisement'!C11</f>
        <v>570</v>
      </c>
      <c r="D11" s="105">
        <f>('3V_LongRangeS8Advertisement'!D11)*3/3.6</f>
        <v>3.0061388888888891</v>
      </c>
      <c r="E11" s="62">
        <f t="shared" si="0"/>
        <v>1713.4991666666667</v>
      </c>
      <c r="G11" s="84"/>
    </row>
    <row r="12" spans="2:7" x14ac:dyDescent="0.4">
      <c r="B12" s="55" t="str">
        <f>'3V_LongRangeS8Advertisement'!B12</f>
        <v>Transmit (TX)</v>
      </c>
      <c r="C12" s="133">
        <f>'3V_LongRangeS8Advertisement'!C12</f>
        <v>1118.7</v>
      </c>
      <c r="D12" s="105">
        <f>('3V_LongRangeS8Advertisement'!D12)*3/3.6</f>
        <v>5.8917499999999992</v>
      </c>
      <c r="E12" s="62">
        <f t="shared" si="0"/>
        <v>6591.1007249999993</v>
      </c>
      <c r="G12" s="84"/>
    </row>
    <row r="13" spans="2:7" x14ac:dyDescent="0.4">
      <c r="B13" s="55" t="str">
        <f>'3V_LongRangeS8Advertisement'!B13</f>
        <v>TX to TX transition</v>
      </c>
      <c r="C13" s="133">
        <f>'3V_LongRangeS8Advertisement'!C13</f>
        <v>570</v>
      </c>
      <c r="D13" s="105">
        <f>('3V_LongRangeS8Advertisement'!D13)*3/3.6</f>
        <v>3.0061388888888891</v>
      </c>
      <c r="E13" s="62">
        <f t="shared" si="0"/>
        <v>1713.4991666666667</v>
      </c>
      <c r="G13" s="84"/>
    </row>
    <row r="14" spans="2:7" ht="24.6" x14ac:dyDescent="0.4">
      <c r="B14" s="55" t="str">
        <f>'3V_LongRangeS8Advertisement'!B14</f>
        <v>Transmit (TX) – on secondary channel</v>
      </c>
      <c r="C14" s="133">
        <f>'3V_LongRangeS8Advertisement'!C14</f>
        <v>1653.2199999999998</v>
      </c>
      <c r="D14" s="105">
        <f>('3V_LongRangeS8Advertisement'!D14)*3/3.6</f>
        <v>5.8917499999999992</v>
      </c>
      <c r="E14" s="62">
        <f t="shared" si="0"/>
        <v>9740.3589349999966</v>
      </c>
      <c r="G14" s="84"/>
    </row>
    <row r="15" spans="2:7" x14ac:dyDescent="0.4">
      <c r="B15" s="55" t="str">
        <f>'3V_LongRangeS8Advertisement'!B15</f>
        <v>TX to RX transition</v>
      </c>
      <c r="C15" s="133">
        <f>'3V_LongRangeS8Advertisement'!C15</f>
        <v>145.56</v>
      </c>
      <c r="D15" s="105">
        <f>('3V_LongRangeS8Advertisement'!D15)*3/3.6</f>
        <v>4.8855555555555554</v>
      </c>
      <c r="E15" s="62">
        <f t="shared" si="0"/>
        <v>711.1414666666667</v>
      </c>
      <c r="G15" s="84"/>
    </row>
    <row r="16" spans="2:7" ht="24.6" x14ac:dyDescent="0.4">
      <c r="B16" s="55" t="str">
        <f>'3V_LongRangeS8Advertisement'!B16</f>
        <v>Receive (RX) – on secondary channel</v>
      </c>
      <c r="C16" s="133">
        <f>'3V_LongRangeS8Advertisement'!C16</f>
        <v>456.78</v>
      </c>
      <c r="D16" s="105">
        <f>('3V_LongRangeS8Advertisement'!D16)*3/3.6</f>
        <v>5.6094537037037027</v>
      </c>
      <c r="E16" s="62">
        <f t="shared" si="0"/>
        <v>2562.2862627777772</v>
      </c>
      <c r="G16" s="84"/>
    </row>
    <row r="17" spans="2:7" x14ac:dyDescent="0.4">
      <c r="B17" s="55" t="str">
        <f>'3V_LongRangeS8Advertisement'!B17</f>
        <v>Post-Processing</v>
      </c>
      <c r="C17" s="133">
        <f>'3V_LongRangeS8Advertisement'!C17</f>
        <v>887.44</v>
      </c>
      <c r="D17" s="105">
        <f>('3V_LongRangeS8Advertisement'!D17)*3/3.6</f>
        <v>2.3534259259259258</v>
      </c>
      <c r="E17" s="62">
        <f t="shared" si="0"/>
        <v>2088.5243037037039</v>
      </c>
      <c r="G17" s="84"/>
    </row>
    <row r="18" spans="2:7" x14ac:dyDescent="0.4">
      <c r="B18" s="55"/>
      <c r="C18" s="62"/>
      <c r="D18" s="104"/>
      <c r="E18" s="62"/>
      <c r="G18" s="84"/>
    </row>
    <row r="19" spans="2:7" x14ac:dyDescent="0.4">
      <c r="B19" s="55"/>
      <c r="C19" s="62"/>
      <c r="D19" s="104"/>
      <c r="E19" s="62"/>
      <c r="G19" s="84"/>
    </row>
    <row r="20" spans="2:7" x14ac:dyDescent="0.4">
      <c r="B20" s="55"/>
      <c r="C20" s="62"/>
      <c r="D20" s="62"/>
      <c r="E20" s="62"/>
      <c r="G20" s="84"/>
    </row>
    <row r="21" spans="2:7" x14ac:dyDescent="0.4">
      <c r="B21" s="55"/>
      <c r="C21" s="62"/>
      <c r="D21" s="62"/>
      <c r="E21" s="62"/>
      <c r="G21" s="84"/>
    </row>
    <row r="22" spans="2:7" x14ac:dyDescent="0.4">
      <c r="B22" s="55"/>
      <c r="C22" s="125"/>
      <c r="D22" s="129"/>
      <c r="E22" s="124"/>
      <c r="G22" s="84"/>
    </row>
    <row r="23" spans="2:7" ht="24.6" x14ac:dyDescent="0.4">
      <c r="B23" s="87" t="s">
        <v>56</v>
      </c>
      <c r="C23" s="120">
        <f>SUM(C6:C20)</f>
        <v>9854.9</v>
      </c>
      <c r="D23" s="6"/>
      <c r="E23" s="3"/>
      <c r="G23" s="84"/>
    </row>
    <row r="24" spans="2:7" x14ac:dyDescent="0.4">
      <c r="B24" s="17" t="s">
        <v>43</v>
      </c>
      <c r="C24" s="64"/>
      <c r="D24" s="7"/>
      <c r="E24" s="66">
        <f>SUM(E6:E20)</f>
        <v>44489.273746851854</v>
      </c>
      <c r="G24" s="84"/>
    </row>
    <row r="25" spans="2:7" ht="24.6" x14ac:dyDescent="0.4">
      <c r="B25" s="32" t="s">
        <v>37</v>
      </c>
      <c r="C25" s="83"/>
      <c r="D25" s="9"/>
      <c r="E25" s="63">
        <f>1000*IF(E24=0,0,E24/C23)</f>
        <v>4514.431779810232</v>
      </c>
    </row>
    <row r="26" spans="2:7" x14ac:dyDescent="0.4">
      <c r="B26" s="5"/>
      <c r="C26" s="2"/>
      <c r="D26" s="2"/>
      <c r="E26" s="2"/>
    </row>
    <row r="27" spans="2:7" ht="24.6" x14ac:dyDescent="0.4">
      <c r="B27" s="18" t="s">
        <v>54</v>
      </c>
      <c r="C27" s="86">
        <f>((E25*C23)+((('BLE - Peripheral'!D7*1000)-C23)*'Input arguments'!L4))/('BLE - Peripheral'!D7*1000)</f>
        <v>446.06462376851857</v>
      </c>
      <c r="D27" s="102" t="s">
        <v>38</v>
      </c>
    </row>
    <row r="28" spans="2:7" ht="15" x14ac:dyDescent="0.4">
      <c r="B28" s="18" t="s">
        <v>33</v>
      </c>
      <c r="C28" s="101">
        <f>'BLE - Peripheral'!D4/(C27/1000)</f>
        <v>504.41121759245772</v>
      </c>
      <c r="D28" s="103" t="s">
        <v>18</v>
      </c>
    </row>
    <row r="29" spans="2:7" ht="15" x14ac:dyDescent="0.4">
      <c r="B29" s="99" t="s">
        <v>33</v>
      </c>
      <c r="C29" s="93">
        <f>C28/24</f>
        <v>21.017134066352405</v>
      </c>
      <c r="D29" s="102" t="s">
        <v>21</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H47"/>
  <sheetViews>
    <sheetView topLeftCell="A7" workbookViewId="0">
      <selection activeCell="D15" sqref="D15"/>
    </sheetView>
  </sheetViews>
  <sheetFormatPr defaultColWidth="8.83203125" defaultRowHeight="12.3" x14ac:dyDescent="0.4"/>
  <cols>
    <col min="2" max="2" width="41.83203125" customWidth="1"/>
    <col min="3" max="3" width="11.5546875" customWidth="1"/>
    <col min="4" max="4" width="11.27734375" customWidth="1"/>
  </cols>
  <sheetData>
    <row r="4" spans="2:8" x14ac:dyDescent="0.4">
      <c r="G4" s="2"/>
      <c r="H4" s="2"/>
    </row>
    <row r="5" spans="2:8" ht="24.6" x14ac:dyDescent="0.4">
      <c r="B5" s="35" t="s">
        <v>3</v>
      </c>
      <c r="C5" s="134" t="s">
        <v>24</v>
      </c>
      <c r="D5" s="37" t="s">
        <v>25</v>
      </c>
      <c r="E5" s="85" t="s">
        <v>36</v>
      </c>
      <c r="G5" s="84"/>
      <c r="H5" s="84"/>
    </row>
    <row r="6" spans="2:8" ht="15" customHeight="1" x14ac:dyDescent="0.4">
      <c r="B6" s="55" t="s">
        <v>15</v>
      </c>
      <c r="C6" s="62">
        <v>1332.8888888888889</v>
      </c>
      <c r="D6" s="104">
        <v>3.0618222222222222</v>
      </c>
      <c r="E6" s="62">
        <f t="shared" ref="E6:E17" si="0">C6*D6</f>
        <v>4081.0688197530867</v>
      </c>
      <c r="G6" s="84"/>
      <c r="H6" s="84"/>
    </row>
    <row r="7" spans="2:8" x14ac:dyDescent="0.4">
      <c r="B7" s="55" t="s">
        <v>14</v>
      </c>
      <c r="C7" s="62">
        <v>325.33333333333331</v>
      </c>
      <c r="D7" s="104">
        <v>4.0637999999999996</v>
      </c>
      <c r="E7" s="62">
        <f t="shared" si="0"/>
        <v>1322.0895999999998</v>
      </c>
      <c r="G7" s="84"/>
      <c r="H7" s="84"/>
    </row>
    <row r="8" spans="2:8" x14ac:dyDescent="0.4">
      <c r="B8" s="55" t="s">
        <v>7</v>
      </c>
      <c r="C8" s="62">
        <v>511</v>
      </c>
      <c r="D8" s="104">
        <f>VLOOKUP('BLE - Peripheral'!$D$6,B33:C38,2)</f>
        <v>7.1235222222222223</v>
      </c>
      <c r="E8" s="62">
        <f t="shared" si="0"/>
        <v>3640.1198555555557</v>
      </c>
      <c r="G8" s="84"/>
      <c r="H8" s="84"/>
    </row>
    <row r="9" spans="2:8" x14ac:dyDescent="0.4">
      <c r="B9" s="55" t="s">
        <v>115</v>
      </c>
      <c r="C9" s="62">
        <v>582.66666666666663</v>
      </c>
      <c r="D9" s="104">
        <v>3.6073666666666671</v>
      </c>
      <c r="E9" s="62">
        <f t="shared" si="0"/>
        <v>2101.8923111111112</v>
      </c>
      <c r="G9" s="84"/>
      <c r="H9" s="84"/>
    </row>
    <row r="10" spans="2:8" x14ac:dyDescent="0.4">
      <c r="B10" s="55" t="s">
        <v>7</v>
      </c>
      <c r="C10" s="62">
        <f>C8</f>
        <v>511</v>
      </c>
      <c r="D10" s="104">
        <f>D8</f>
        <v>7.1235222222222223</v>
      </c>
      <c r="E10" s="62">
        <f t="shared" si="0"/>
        <v>3640.1198555555557</v>
      </c>
      <c r="G10" s="84"/>
      <c r="H10" s="84"/>
    </row>
    <row r="11" spans="2:8" x14ac:dyDescent="0.4">
      <c r="B11" s="55" t="s">
        <v>115</v>
      </c>
      <c r="C11" s="62">
        <f>C9</f>
        <v>582.66666666666663</v>
      </c>
      <c r="D11" s="104">
        <v>3.6073666666666671</v>
      </c>
      <c r="E11" s="62">
        <f t="shared" si="0"/>
        <v>2101.8923111111112</v>
      </c>
      <c r="G11" s="84"/>
      <c r="H11" s="84"/>
    </row>
    <row r="12" spans="2:8" x14ac:dyDescent="0.4">
      <c r="B12" s="55" t="s">
        <v>7</v>
      </c>
      <c r="C12" s="62">
        <f>C8</f>
        <v>511</v>
      </c>
      <c r="D12" s="104">
        <f>D8</f>
        <v>7.1235222222222223</v>
      </c>
      <c r="E12" s="62">
        <f t="shared" si="0"/>
        <v>3640.1198555555557</v>
      </c>
      <c r="G12" s="84"/>
      <c r="H12" s="84"/>
    </row>
    <row r="13" spans="2:8" x14ac:dyDescent="0.4">
      <c r="B13" s="55" t="s">
        <v>115</v>
      </c>
      <c r="C13" s="62">
        <f>C9</f>
        <v>582.66666666666663</v>
      </c>
      <c r="D13" s="104">
        <v>3.6073666666666671</v>
      </c>
      <c r="E13" s="62">
        <f t="shared" si="0"/>
        <v>2101.8923111111112</v>
      </c>
      <c r="G13" s="84"/>
      <c r="H13" s="84"/>
    </row>
    <row r="14" spans="2:8" x14ac:dyDescent="0.4">
      <c r="B14" s="55" t="s">
        <v>116</v>
      </c>
      <c r="C14" s="62">
        <f>571.73+15.913*('BLE - Peripheral'!$D$9-2)</f>
        <v>651.29500000000007</v>
      </c>
      <c r="D14" s="104">
        <f>VLOOKUP('BLE - Peripheral'!$D$6,B41:C46,2)</f>
        <v>7.1235222222222223</v>
      </c>
      <c r="E14" s="62">
        <f t="shared" si="0"/>
        <v>4639.5144057222224</v>
      </c>
      <c r="G14" s="84"/>
      <c r="H14" s="84"/>
    </row>
    <row r="15" spans="2:8" x14ac:dyDescent="0.4">
      <c r="B15" s="55" t="s">
        <v>9</v>
      </c>
      <c r="C15" s="62">
        <v>156.22222222222223</v>
      </c>
      <c r="D15" s="104">
        <v>5.8626666666666667</v>
      </c>
      <c r="E15" s="62">
        <f t="shared" si="0"/>
        <v>915.87881481481486</v>
      </c>
      <c r="G15" s="84"/>
      <c r="H15" s="84"/>
    </row>
    <row r="16" spans="2:8" ht="13.5" customHeight="1" x14ac:dyDescent="0.4">
      <c r="B16" s="55" t="s">
        <v>117</v>
      </c>
      <c r="C16" s="62">
        <v>452.22222222222223</v>
      </c>
      <c r="D16" s="104">
        <v>6.7313444444444439</v>
      </c>
      <c r="E16" s="62">
        <f t="shared" si="0"/>
        <v>3044.0635432098766</v>
      </c>
      <c r="G16" s="84"/>
      <c r="H16" s="84"/>
    </row>
    <row r="17" spans="2:8" x14ac:dyDescent="0.4">
      <c r="B17" s="55" t="s">
        <v>16</v>
      </c>
      <c r="C17" s="62">
        <v>851.88888888888891</v>
      </c>
      <c r="D17" s="104">
        <v>2.8241111111111112</v>
      </c>
      <c r="E17" s="62">
        <f t="shared" si="0"/>
        <v>2405.8288765432098</v>
      </c>
      <c r="G17" s="84"/>
      <c r="H17" s="84"/>
    </row>
    <row r="18" spans="2:8" x14ac:dyDescent="0.4">
      <c r="B18" s="55"/>
      <c r="C18" s="62"/>
      <c r="D18" s="104"/>
      <c r="E18" s="62"/>
      <c r="G18" s="84"/>
      <c r="H18" s="84"/>
    </row>
    <row r="19" spans="2:8" x14ac:dyDescent="0.4">
      <c r="B19" s="55"/>
      <c r="C19" s="62"/>
      <c r="D19" s="104"/>
      <c r="E19" s="62"/>
      <c r="G19" s="84"/>
      <c r="H19" s="84"/>
    </row>
    <row r="20" spans="2:8" x14ac:dyDescent="0.4">
      <c r="B20" s="55"/>
      <c r="C20" s="62"/>
      <c r="D20" s="62"/>
      <c r="E20" s="62"/>
      <c r="G20" s="84"/>
      <c r="H20" s="84"/>
    </row>
    <row r="21" spans="2:8" x14ac:dyDescent="0.4">
      <c r="B21" s="55"/>
      <c r="C21" s="62"/>
      <c r="D21" s="62"/>
      <c r="E21" s="62"/>
      <c r="G21" s="2"/>
      <c r="H21" s="2"/>
    </row>
    <row r="22" spans="2:8" x14ac:dyDescent="0.4">
      <c r="B22" s="55"/>
      <c r="C22" s="125"/>
      <c r="D22" s="129"/>
      <c r="E22" s="124"/>
      <c r="G22" s="2"/>
      <c r="H22" s="2"/>
    </row>
    <row r="23" spans="2:8" x14ac:dyDescent="0.4">
      <c r="B23" s="87" t="s">
        <v>56</v>
      </c>
      <c r="C23" s="120">
        <f>SUM(C6:C20)</f>
        <v>7050.8505555555557</v>
      </c>
      <c r="D23" s="6"/>
      <c r="E23" s="3"/>
    </row>
    <row r="24" spans="2:8" x14ac:dyDescent="0.4">
      <c r="B24" s="17" t="s">
        <v>43</v>
      </c>
      <c r="C24" s="64"/>
      <c r="D24" s="7"/>
      <c r="E24" s="66">
        <f>SUM(E6:E20)</f>
        <v>33634.480560043216</v>
      </c>
    </row>
    <row r="25" spans="2:8" x14ac:dyDescent="0.4">
      <c r="B25" s="32" t="s">
        <v>37</v>
      </c>
      <c r="C25" s="83"/>
      <c r="D25" s="9"/>
      <c r="E25" s="63">
        <f>1000*IF(E24=0,0,E24/C23)</f>
        <v>4770.2727912083883</v>
      </c>
    </row>
    <row r="26" spans="2:8" x14ac:dyDescent="0.4">
      <c r="B26" s="5"/>
      <c r="C26" s="2"/>
      <c r="D26" s="2"/>
      <c r="E26" s="2"/>
    </row>
    <row r="27" spans="2:8" ht="15" x14ac:dyDescent="0.4">
      <c r="B27" s="18" t="s">
        <v>54</v>
      </c>
      <c r="C27" s="86">
        <f>((E25*C23)+((('BLE - Peripheral'!D7*1000)-C23)*'Input arguments'!L4))/('BLE - Peripheral'!D7*1000)</f>
        <v>337.55314454320995</v>
      </c>
      <c r="D27" s="102" t="s">
        <v>38</v>
      </c>
    </row>
    <row r="28" spans="2:8" ht="15" x14ac:dyDescent="0.4">
      <c r="B28" s="18" t="s">
        <v>33</v>
      </c>
      <c r="C28" s="101">
        <f>'BLE - Peripheral'!D4/(C27/1000)</f>
        <v>666.56170631880423</v>
      </c>
      <c r="D28" s="103" t="s">
        <v>18</v>
      </c>
    </row>
    <row r="29" spans="2:8" ht="15" x14ac:dyDescent="0.4">
      <c r="B29" s="99" t="s">
        <v>33</v>
      </c>
      <c r="C29" s="93">
        <f>C28/24</f>
        <v>27.773404429950176</v>
      </c>
      <c r="D29" s="102" t="s">
        <v>21</v>
      </c>
    </row>
    <row r="31" spans="2:8" ht="16.5" customHeight="1" x14ac:dyDescent="0.4"/>
    <row r="32" spans="2:8" ht="33" customHeight="1" x14ac:dyDescent="0.55000000000000004">
      <c r="B32" s="121" t="s">
        <v>119</v>
      </c>
      <c r="C32" s="122" t="s">
        <v>62</v>
      </c>
      <c r="D32" s="122"/>
    </row>
    <row r="33" spans="2:3" ht="14.4" x14ac:dyDescent="0.55000000000000004">
      <c r="B33" s="109">
        <v>-21</v>
      </c>
      <c r="C33" s="145">
        <v>4.6699000000000011</v>
      </c>
    </row>
    <row r="34" spans="2:3" ht="14.4" x14ac:dyDescent="0.55000000000000004">
      <c r="B34" s="109">
        <v>-15</v>
      </c>
      <c r="C34" s="145">
        <v>4.9915777777777786</v>
      </c>
    </row>
    <row r="35" spans="2:3" ht="14.4" x14ac:dyDescent="0.55000000000000004">
      <c r="B35" s="109">
        <v>-9</v>
      </c>
      <c r="C35" s="145">
        <v>5.4852500000000006</v>
      </c>
    </row>
    <row r="36" spans="2:3" ht="14.4" x14ac:dyDescent="0.55000000000000004">
      <c r="B36" s="109">
        <v>0</v>
      </c>
      <c r="C36" s="146">
        <v>7.1235222222222223</v>
      </c>
    </row>
    <row r="37" spans="2:3" ht="14.4" x14ac:dyDescent="0.55000000000000004">
      <c r="B37" s="109">
        <v>3</v>
      </c>
      <c r="C37" s="145">
        <v>8.5030000000000001</v>
      </c>
    </row>
    <row r="38" spans="2:3" ht="14.4" x14ac:dyDescent="0.55000000000000004">
      <c r="B38" s="109">
        <v>5</v>
      </c>
      <c r="C38" s="145">
        <v>9.9921000000000006</v>
      </c>
    </row>
    <row r="39" spans="2:3" ht="14.4" x14ac:dyDescent="0.55000000000000004">
      <c r="B39" s="109"/>
      <c r="C39" s="109"/>
    </row>
    <row r="40" spans="2:3" ht="28.8" x14ac:dyDescent="0.55000000000000004">
      <c r="B40" s="121" t="s">
        <v>120</v>
      </c>
      <c r="C40" s="122" t="s">
        <v>62</v>
      </c>
    </row>
    <row r="41" spans="2:3" ht="14.4" x14ac:dyDescent="0.55000000000000004">
      <c r="B41" s="109">
        <v>-21</v>
      </c>
      <c r="C41" s="141">
        <v>4.6699000000000011</v>
      </c>
    </row>
    <row r="42" spans="2:3" ht="14.4" x14ac:dyDescent="0.55000000000000004">
      <c r="B42" s="109">
        <v>-15</v>
      </c>
      <c r="C42" s="141">
        <v>4.9915777777777786</v>
      </c>
    </row>
    <row r="43" spans="2:3" ht="14.4" x14ac:dyDescent="0.55000000000000004">
      <c r="B43" s="109">
        <v>-9</v>
      </c>
      <c r="C43" s="141">
        <v>5.4852500000000006</v>
      </c>
    </row>
    <row r="44" spans="2:3" ht="14.4" x14ac:dyDescent="0.55000000000000004">
      <c r="B44" s="109">
        <v>0</v>
      </c>
      <c r="C44" s="148">
        <v>7.1235222222222223</v>
      </c>
    </row>
    <row r="45" spans="2:3" ht="14.4" x14ac:dyDescent="0.55000000000000004">
      <c r="B45" s="109">
        <v>3</v>
      </c>
      <c r="C45" s="141">
        <v>8.5030000000000001</v>
      </c>
    </row>
    <row r="46" spans="2:3" ht="14.4" x14ac:dyDescent="0.55000000000000004">
      <c r="B46" s="109">
        <v>5</v>
      </c>
      <c r="C46" s="141">
        <v>9.9921000000000006</v>
      </c>
    </row>
    <row r="47" spans="2:3" x14ac:dyDescent="0.4">
      <c r="C47" s="123" t="s">
        <v>133</v>
      </c>
    </row>
  </sheetData>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G29"/>
  <sheetViews>
    <sheetView workbookViewId="0">
      <selection activeCell="F25" sqref="F25"/>
    </sheetView>
  </sheetViews>
  <sheetFormatPr defaultColWidth="8.83203125" defaultRowHeight="12.3" x14ac:dyDescent="0.4"/>
  <cols>
    <col min="2" max="2" width="27.44140625" customWidth="1"/>
  </cols>
  <sheetData>
    <row r="4" spans="2:7" x14ac:dyDescent="0.4">
      <c r="G4" s="2"/>
    </row>
    <row r="5" spans="2:7" ht="24.6" x14ac:dyDescent="0.4">
      <c r="B5" s="35" t="s">
        <v>3</v>
      </c>
      <c r="C5" s="134" t="s">
        <v>24</v>
      </c>
      <c r="D5" s="37" t="s">
        <v>25</v>
      </c>
      <c r="E5" s="16" t="s">
        <v>36</v>
      </c>
      <c r="G5" s="84"/>
    </row>
    <row r="6" spans="2:7" x14ac:dyDescent="0.4">
      <c r="B6" s="55" t="str">
        <f>'3V_LongRangeS2Advertisement'!B6</f>
        <v>Wake Up &amp; Pre-Processing</v>
      </c>
      <c r="C6" s="133">
        <f>'3V_LongRangeS2Advertisement'!C6</f>
        <v>1332.8888888888889</v>
      </c>
      <c r="D6" s="105">
        <f>('3V_LongRangeS2Advertisement'!D6)*3/1.8</f>
        <v>5.103037037037037</v>
      </c>
      <c r="E6" s="62">
        <f t="shared" ref="E6:E17" si="0">C6*D6</f>
        <v>6801.7813662551443</v>
      </c>
      <c r="G6" s="84"/>
    </row>
    <row r="7" spans="2:7" x14ac:dyDescent="0.4">
      <c r="B7" s="55" t="str">
        <f>'3V_LongRangeS2Advertisement'!B7</f>
        <v>Radio Preparation</v>
      </c>
      <c r="C7" s="133">
        <f>'3V_LongRangeS2Advertisement'!C7</f>
        <v>325.33333333333331</v>
      </c>
      <c r="D7" s="105">
        <f>('3V_LongRangeS2Advertisement'!D7)*3/1.8</f>
        <v>6.7729999999999988</v>
      </c>
      <c r="E7" s="62">
        <f t="shared" si="0"/>
        <v>2203.4826666666663</v>
      </c>
      <c r="G7" s="84"/>
    </row>
    <row r="8" spans="2:7" x14ac:dyDescent="0.4">
      <c r="B8" s="55" t="str">
        <f>'3V_LongRangeS2Advertisement'!B8</f>
        <v>Transmit (TX)</v>
      </c>
      <c r="C8" s="133">
        <f>'3V_LongRangeS2Advertisement'!C8</f>
        <v>511</v>
      </c>
      <c r="D8" s="105">
        <f>('3V_LongRangeS2Advertisement'!D8)*3/1.8</f>
        <v>11.872537037037038</v>
      </c>
      <c r="E8" s="62">
        <f t="shared" si="0"/>
        <v>6066.8664259259267</v>
      </c>
      <c r="G8" s="84"/>
    </row>
    <row r="9" spans="2:7" x14ac:dyDescent="0.4">
      <c r="B9" s="55" t="str">
        <f>'3V_LongRangeS2Advertisement'!B9</f>
        <v>TX to TX transition</v>
      </c>
      <c r="C9" s="133">
        <f>'3V_LongRangeS2Advertisement'!C9</f>
        <v>582.66666666666663</v>
      </c>
      <c r="D9" s="105">
        <f>('3V_LongRangeS2Advertisement'!D9)*3/1.8</f>
        <v>6.0122777777777783</v>
      </c>
      <c r="E9" s="62">
        <f t="shared" si="0"/>
        <v>3503.1538518518519</v>
      </c>
      <c r="G9" s="84"/>
    </row>
    <row r="10" spans="2:7" x14ac:dyDescent="0.4">
      <c r="B10" s="55" t="str">
        <f>'3V_LongRangeS2Advertisement'!B10</f>
        <v>Transmit (TX)</v>
      </c>
      <c r="C10" s="133">
        <f>'3V_LongRangeS2Advertisement'!C10</f>
        <v>511</v>
      </c>
      <c r="D10" s="105">
        <f>('3V_LongRangeS2Advertisement'!D10)*3/1.8</f>
        <v>11.872537037037038</v>
      </c>
      <c r="E10" s="62">
        <f t="shared" si="0"/>
        <v>6066.8664259259267</v>
      </c>
      <c r="G10" s="84"/>
    </row>
    <row r="11" spans="2:7" x14ac:dyDescent="0.4">
      <c r="B11" s="55" t="str">
        <f>'3V_LongRangeS2Advertisement'!B11</f>
        <v>TX to TX transition</v>
      </c>
      <c r="C11" s="133">
        <f>'3V_LongRangeS2Advertisement'!C11</f>
        <v>582.66666666666663</v>
      </c>
      <c r="D11" s="105">
        <f>('3V_LongRangeS2Advertisement'!D11)*3/1.8</f>
        <v>6.0122777777777783</v>
      </c>
      <c r="E11" s="62">
        <f t="shared" si="0"/>
        <v>3503.1538518518519</v>
      </c>
      <c r="G11" s="84"/>
    </row>
    <row r="12" spans="2:7" x14ac:dyDescent="0.4">
      <c r="B12" s="55" t="str">
        <f>'3V_LongRangeS2Advertisement'!B12</f>
        <v>Transmit (TX)</v>
      </c>
      <c r="C12" s="133">
        <f>'3V_LongRangeS2Advertisement'!C12</f>
        <v>511</v>
      </c>
      <c r="D12" s="105">
        <f>('3V_LongRangeS2Advertisement'!D12)*3/1.8</f>
        <v>11.872537037037038</v>
      </c>
      <c r="E12" s="62">
        <f t="shared" si="0"/>
        <v>6066.8664259259267</v>
      </c>
      <c r="G12" s="84"/>
    </row>
    <row r="13" spans="2:7" x14ac:dyDescent="0.4">
      <c r="B13" s="55" t="str">
        <f>'3V_LongRangeS2Advertisement'!B13</f>
        <v>TX to TX transition</v>
      </c>
      <c r="C13" s="133">
        <f>'3V_LongRangeS2Advertisement'!C13</f>
        <v>582.66666666666663</v>
      </c>
      <c r="D13" s="105">
        <f>('3V_LongRangeS2Advertisement'!D13)*3/1.8</f>
        <v>6.0122777777777783</v>
      </c>
      <c r="E13" s="62">
        <f t="shared" si="0"/>
        <v>3503.1538518518519</v>
      </c>
      <c r="G13" s="84"/>
    </row>
    <row r="14" spans="2:7" ht="24.6" x14ac:dyDescent="0.4">
      <c r="B14" s="55" t="str">
        <f>'3V_LongRangeS2Advertisement'!B14</f>
        <v>Transmit (TX) – on secondary channel</v>
      </c>
      <c r="C14" s="133">
        <f>'3V_LongRangeS2Advertisement'!C14</f>
        <v>651.29500000000007</v>
      </c>
      <c r="D14" s="105">
        <f>('3V_LongRangeS2Advertisement'!D14)*3/1.8</f>
        <v>11.872537037037038</v>
      </c>
      <c r="E14" s="62">
        <f t="shared" si="0"/>
        <v>7732.5240095370382</v>
      </c>
      <c r="G14" s="84"/>
    </row>
    <row r="15" spans="2:7" x14ac:dyDescent="0.4">
      <c r="B15" s="55" t="str">
        <f>'3V_LongRangeS2Advertisement'!B15</f>
        <v>TX to RX transition</v>
      </c>
      <c r="C15" s="133">
        <f>'3V_LongRangeS2Advertisement'!C15</f>
        <v>156.22222222222223</v>
      </c>
      <c r="D15" s="105">
        <f>('3V_LongRangeS2Advertisement'!D15)*3/1.8</f>
        <v>9.7711111111111109</v>
      </c>
      <c r="E15" s="62">
        <f t="shared" si="0"/>
        <v>1526.4646913580248</v>
      </c>
      <c r="G15" s="84"/>
    </row>
    <row r="16" spans="2:7" ht="24.6" x14ac:dyDescent="0.4">
      <c r="B16" s="55" t="str">
        <f>'3V_LongRangeS2Advertisement'!B16</f>
        <v>Receive (RX) – on secondary channel</v>
      </c>
      <c r="C16" s="133">
        <f>'3V_LongRangeS2Advertisement'!C16</f>
        <v>452.22222222222223</v>
      </c>
      <c r="D16" s="105">
        <f>('3V_LongRangeS2Advertisement'!D16)*3/1.8</f>
        <v>11.218907407407405</v>
      </c>
      <c r="E16" s="62">
        <f t="shared" si="0"/>
        <v>5073.4392386831269</v>
      </c>
      <c r="G16" s="84"/>
    </row>
    <row r="17" spans="2:7" x14ac:dyDescent="0.4">
      <c r="B17" s="55" t="str">
        <f>'3V_LongRangeS2Advertisement'!B17</f>
        <v>Post-Processing</v>
      </c>
      <c r="C17" s="133">
        <f>'3V_LongRangeS2Advertisement'!C17</f>
        <v>851.88888888888891</v>
      </c>
      <c r="D17" s="105">
        <f>('3V_LongRangeS2Advertisement'!D17)*3/1.8</f>
        <v>4.7068518518518516</v>
      </c>
      <c r="E17" s="62">
        <f t="shared" si="0"/>
        <v>4009.7147942386832</v>
      </c>
      <c r="G17" s="84"/>
    </row>
    <row r="18" spans="2:7" x14ac:dyDescent="0.4">
      <c r="B18" s="55"/>
      <c r="C18" s="62"/>
      <c r="D18" s="104"/>
      <c r="E18" s="62"/>
      <c r="G18" s="84"/>
    </row>
    <row r="19" spans="2:7" x14ac:dyDescent="0.4">
      <c r="B19" s="55"/>
      <c r="C19" s="62"/>
      <c r="D19" s="104"/>
      <c r="E19" s="62"/>
      <c r="G19" s="84"/>
    </row>
    <row r="20" spans="2:7" x14ac:dyDescent="0.4">
      <c r="B20" s="55"/>
      <c r="C20" s="62"/>
      <c r="D20" s="62"/>
      <c r="E20" s="62"/>
      <c r="G20" s="84"/>
    </row>
    <row r="21" spans="2:7" x14ac:dyDescent="0.4">
      <c r="B21" s="55"/>
      <c r="C21" s="62"/>
      <c r="D21" s="62"/>
      <c r="E21" s="62"/>
      <c r="G21" s="2"/>
    </row>
    <row r="22" spans="2:7" x14ac:dyDescent="0.4">
      <c r="B22" s="55"/>
      <c r="C22" s="125"/>
      <c r="D22" s="129"/>
      <c r="E22" s="124"/>
      <c r="G22" s="2"/>
    </row>
    <row r="23" spans="2:7" ht="24.6" x14ac:dyDescent="0.4">
      <c r="B23" s="87" t="s">
        <v>56</v>
      </c>
      <c r="C23" s="120">
        <f>SUM(C6:C20)</f>
        <v>7050.8505555555557</v>
      </c>
      <c r="D23" s="6"/>
      <c r="E23" s="3"/>
    </row>
    <row r="24" spans="2:7" x14ac:dyDescent="0.4">
      <c r="B24" s="17" t="s">
        <v>43</v>
      </c>
      <c r="C24" s="64"/>
      <c r="D24" s="7"/>
      <c r="E24" s="66">
        <f>SUM(E6:E20)</f>
        <v>56057.467600072006</v>
      </c>
    </row>
    <row r="25" spans="2:7" ht="24.6" x14ac:dyDescent="0.4">
      <c r="B25" s="32" t="s">
        <v>37</v>
      </c>
      <c r="C25" s="83"/>
      <c r="D25" s="9"/>
      <c r="E25" s="63">
        <f>1000*IF(E24=0,0,E24/C23)</f>
        <v>7950.4546520139775</v>
      </c>
    </row>
    <row r="26" spans="2:7" x14ac:dyDescent="0.4">
      <c r="B26" s="5"/>
      <c r="C26" s="2"/>
      <c r="D26" s="2"/>
      <c r="E26" s="2"/>
    </row>
    <row r="27" spans="2:7" ht="24.6" x14ac:dyDescent="0.4">
      <c r="B27" s="18" t="s">
        <v>54</v>
      </c>
      <c r="C27" s="86">
        <f>((E25*C23)+((('BLE - Peripheral'!D7*1000)-C23)*'Input arguments'!L4))/('BLE - Peripheral'!D7*1000)</f>
        <v>561.78301494349785</v>
      </c>
      <c r="D27" s="102" t="s">
        <v>38</v>
      </c>
    </row>
    <row r="28" spans="2:7" ht="15" x14ac:dyDescent="0.4">
      <c r="B28" s="18" t="s">
        <v>33</v>
      </c>
      <c r="C28" s="101">
        <f>'BLE - Peripheral'!D4/(C27/1000)</f>
        <v>400.51050675255772</v>
      </c>
      <c r="D28" s="103" t="s">
        <v>18</v>
      </c>
    </row>
    <row r="29" spans="2:7" ht="15" x14ac:dyDescent="0.4">
      <c r="B29" s="99" t="s">
        <v>33</v>
      </c>
      <c r="C29" s="93">
        <f>C28/24</f>
        <v>16.68793778135657</v>
      </c>
      <c r="D29" s="102" t="s">
        <v>21</v>
      </c>
    </row>
  </sheetData>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G29"/>
  <sheetViews>
    <sheetView workbookViewId="0">
      <selection activeCell="F25" sqref="F25"/>
    </sheetView>
  </sheetViews>
  <sheetFormatPr defaultColWidth="8.83203125" defaultRowHeight="12.3" x14ac:dyDescent="0.4"/>
  <cols>
    <col min="2" max="2" width="25.5546875" customWidth="1"/>
    <col min="3" max="3" width="13" customWidth="1"/>
    <col min="4" max="4" width="12.71875" customWidth="1"/>
    <col min="5" max="5" width="13.83203125" customWidth="1"/>
  </cols>
  <sheetData>
    <row r="4" spans="2:7" x14ac:dyDescent="0.4">
      <c r="G4" s="84"/>
    </row>
    <row r="5" spans="2:7" ht="24.6" x14ac:dyDescent="0.4">
      <c r="B5" s="35" t="s">
        <v>3</v>
      </c>
      <c r="C5" s="134" t="s">
        <v>24</v>
      </c>
      <c r="D5" s="37" t="s">
        <v>25</v>
      </c>
      <c r="E5" s="16" t="s">
        <v>36</v>
      </c>
      <c r="G5" s="84"/>
    </row>
    <row r="6" spans="2:7" ht="14.25" customHeight="1" x14ac:dyDescent="0.4">
      <c r="B6" s="55" t="str">
        <f>'3V_LongRangeS2Advertisement'!B6</f>
        <v>Wake Up &amp; Pre-Processing</v>
      </c>
      <c r="C6" s="132">
        <f>'3V_LongRangeS2Advertisement'!C6</f>
        <v>1332.8888888888889</v>
      </c>
      <c r="D6" s="105">
        <f>('3V_LongRangeS2Advertisement'!D6)*3/3.6</f>
        <v>2.5515185185185185</v>
      </c>
      <c r="E6" s="62">
        <f t="shared" ref="E6:E17" si="0">C6*D6</f>
        <v>3400.8906831275722</v>
      </c>
      <c r="G6" s="84"/>
    </row>
    <row r="7" spans="2:7" x14ac:dyDescent="0.4">
      <c r="B7" s="55" t="str">
        <f>'3V_LongRangeS2Advertisement'!B7</f>
        <v>Radio Preparation</v>
      </c>
      <c r="C7" s="133">
        <f>'3V_LongRangeS2Advertisement'!C7</f>
        <v>325.33333333333331</v>
      </c>
      <c r="D7" s="105">
        <f>('3V_LongRangeS2Advertisement'!D7)*3/3.6</f>
        <v>3.3864999999999994</v>
      </c>
      <c r="E7" s="62">
        <f t="shared" si="0"/>
        <v>1101.7413333333332</v>
      </c>
      <c r="G7" s="84"/>
    </row>
    <row r="8" spans="2:7" x14ac:dyDescent="0.4">
      <c r="B8" s="55" t="str">
        <f>'3V_LongRangeS2Advertisement'!B8</f>
        <v>Transmit (TX)</v>
      </c>
      <c r="C8" s="133">
        <f>'3V_LongRangeS2Advertisement'!C8</f>
        <v>511</v>
      </c>
      <c r="D8" s="105">
        <f>('3V_LongRangeS2Advertisement'!D8)*3/3.6</f>
        <v>5.9362685185185189</v>
      </c>
      <c r="E8" s="62">
        <f t="shared" si="0"/>
        <v>3033.4332129629634</v>
      </c>
      <c r="G8" s="84"/>
    </row>
    <row r="9" spans="2:7" x14ac:dyDescent="0.4">
      <c r="B9" s="55" t="str">
        <f>'3V_LongRangeS2Advertisement'!B9</f>
        <v>TX to TX transition</v>
      </c>
      <c r="C9" s="133">
        <f>'3V_LongRangeS2Advertisement'!C9</f>
        <v>582.66666666666663</v>
      </c>
      <c r="D9" s="105">
        <f>('3V_LongRangeS2Advertisement'!D9)*3/3.6</f>
        <v>3.0061388888888891</v>
      </c>
      <c r="E9" s="62">
        <f t="shared" si="0"/>
        <v>1751.5769259259259</v>
      </c>
      <c r="G9" s="84"/>
    </row>
    <row r="10" spans="2:7" x14ac:dyDescent="0.4">
      <c r="B10" s="55" t="str">
        <f>'3V_LongRangeS2Advertisement'!B10</f>
        <v>Transmit (TX)</v>
      </c>
      <c r="C10" s="133">
        <f>'3V_LongRangeS2Advertisement'!C10</f>
        <v>511</v>
      </c>
      <c r="D10" s="105">
        <f>('3V_LongRangeS2Advertisement'!D10)*3/3.6</f>
        <v>5.9362685185185189</v>
      </c>
      <c r="E10" s="62">
        <f t="shared" si="0"/>
        <v>3033.4332129629634</v>
      </c>
      <c r="G10" s="84"/>
    </row>
    <row r="11" spans="2:7" x14ac:dyDescent="0.4">
      <c r="B11" s="55" t="str">
        <f>'3V_LongRangeS2Advertisement'!B11</f>
        <v>TX to TX transition</v>
      </c>
      <c r="C11" s="133">
        <f>'3V_LongRangeS2Advertisement'!C11</f>
        <v>582.66666666666663</v>
      </c>
      <c r="D11" s="105">
        <f>('3V_LongRangeS2Advertisement'!D11)*3/3.6</f>
        <v>3.0061388888888891</v>
      </c>
      <c r="E11" s="62">
        <f t="shared" si="0"/>
        <v>1751.5769259259259</v>
      </c>
      <c r="G11" s="84"/>
    </row>
    <row r="12" spans="2:7" x14ac:dyDescent="0.4">
      <c r="B12" s="55" t="str">
        <f>'3V_LongRangeS2Advertisement'!B12</f>
        <v>Transmit (TX)</v>
      </c>
      <c r="C12" s="133">
        <f>'3V_LongRangeS2Advertisement'!C12</f>
        <v>511</v>
      </c>
      <c r="D12" s="105">
        <f>('3V_LongRangeS2Advertisement'!D12)*3/3.6</f>
        <v>5.9362685185185189</v>
      </c>
      <c r="E12" s="62">
        <f t="shared" si="0"/>
        <v>3033.4332129629634</v>
      </c>
      <c r="G12" s="84"/>
    </row>
    <row r="13" spans="2:7" x14ac:dyDescent="0.4">
      <c r="B13" s="55" t="str">
        <f>'3V_LongRangeS2Advertisement'!B13</f>
        <v>TX to TX transition</v>
      </c>
      <c r="C13" s="133">
        <f>'3V_LongRangeS2Advertisement'!C13</f>
        <v>582.66666666666663</v>
      </c>
      <c r="D13" s="105">
        <f>('3V_LongRangeS2Advertisement'!D13)*3/3.6</f>
        <v>3.0061388888888891</v>
      </c>
      <c r="E13" s="62">
        <f t="shared" si="0"/>
        <v>1751.5769259259259</v>
      </c>
      <c r="G13" s="84"/>
    </row>
    <row r="14" spans="2:7" ht="24.6" x14ac:dyDescent="0.4">
      <c r="B14" s="55" t="str">
        <f>'3V_LongRangeS2Advertisement'!B14</f>
        <v>Transmit (TX) – on secondary channel</v>
      </c>
      <c r="C14" s="133">
        <f>'3V_LongRangeS2Advertisement'!C14</f>
        <v>651.29500000000007</v>
      </c>
      <c r="D14" s="105">
        <f>('3V_LongRangeS2Advertisement'!D14)*3/3.6</f>
        <v>5.9362685185185189</v>
      </c>
      <c r="E14" s="62">
        <f t="shared" si="0"/>
        <v>3866.2620047685191</v>
      </c>
      <c r="G14" s="84"/>
    </row>
    <row r="15" spans="2:7" x14ac:dyDescent="0.4">
      <c r="B15" s="55" t="str">
        <f>'3V_LongRangeS2Advertisement'!B15</f>
        <v>TX to RX transition</v>
      </c>
      <c r="C15" s="133">
        <f>'3V_LongRangeS2Advertisement'!C15</f>
        <v>156.22222222222223</v>
      </c>
      <c r="D15" s="105">
        <f>('3V_LongRangeS2Advertisement'!D15)*3/3.6</f>
        <v>4.8855555555555554</v>
      </c>
      <c r="E15" s="62">
        <f t="shared" si="0"/>
        <v>763.23234567901238</v>
      </c>
      <c r="G15" s="84"/>
    </row>
    <row r="16" spans="2:7" ht="24.6" x14ac:dyDescent="0.4">
      <c r="B16" s="55" t="str">
        <f>'3V_LongRangeS2Advertisement'!B16</f>
        <v>Receive (RX) – on secondary channel</v>
      </c>
      <c r="C16" s="133">
        <f>'3V_LongRangeS2Advertisement'!C16</f>
        <v>452.22222222222223</v>
      </c>
      <c r="D16" s="105">
        <f>('3V_LongRangeS2Advertisement'!D16)*3/3.6</f>
        <v>5.6094537037037027</v>
      </c>
      <c r="E16" s="62">
        <f t="shared" si="0"/>
        <v>2536.7196193415634</v>
      </c>
      <c r="G16" s="84"/>
    </row>
    <row r="17" spans="2:7" x14ac:dyDescent="0.4">
      <c r="B17" s="55" t="str">
        <f>'3V_LongRangeS2Advertisement'!B17</f>
        <v>Post-Processing</v>
      </c>
      <c r="C17" s="133">
        <f>'3V_LongRangeS2Advertisement'!C17</f>
        <v>851.88888888888891</v>
      </c>
      <c r="D17" s="105">
        <f>('3V_LongRangeS2Advertisement'!D17)*3/3.6</f>
        <v>2.3534259259259258</v>
      </c>
      <c r="E17" s="62">
        <f t="shared" si="0"/>
        <v>2004.8573971193416</v>
      </c>
      <c r="G17" s="84"/>
    </row>
    <row r="18" spans="2:7" x14ac:dyDescent="0.4">
      <c r="B18" s="55"/>
      <c r="C18" s="62"/>
      <c r="D18" s="104"/>
      <c r="E18" s="62"/>
      <c r="G18" s="84"/>
    </row>
    <row r="19" spans="2:7" x14ac:dyDescent="0.4">
      <c r="B19" s="55"/>
      <c r="C19" s="62"/>
      <c r="D19" s="104"/>
      <c r="E19" s="62"/>
      <c r="G19" s="84"/>
    </row>
    <row r="20" spans="2:7" x14ac:dyDescent="0.4">
      <c r="B20" s="55"/>
      <c r="C20" s="62"/>
      <c r="D20" s="62"/>
      <c r="E20" s="62"/>
      <c r="G20" s="84"/>
    </row>
    <row r="21" spans="2:7" x14ac:dyDescent="0.4">
      <c r="B21" s="55"/>
      <c r="C21" s="62"/>
      <c r="D21" s="62"/>
      <c r="E21" s="62"/>
      <c r="G21" s="84"/>
    </row>
    <row r="22" spans="2:7" x14ac:dyDescent="0.4">
      <c r="B22" s="55"/>
      <c r="C22" s="125"/>
      <c r="D22" s="129"/>
      <c r="E22" s="124"/>
      <c r="G22" s="84"/>
    </row>
    <row r="23" spans="2:7" ht="24.6" x14ac:dyDescent="0.4">
      <c r="B23" s="87" t="s">
        <v>56</v>
      </c>
      <c r="C23" s="120">
        <f>SUM(C6:C20)</f>
        <v>7050.8505555555557</v>
      </c>
      <c r="D23" s="6"/>
      <c r="E23" s="3"/>
      <c r="G23" s="84"/>
    </row>
    <row r="24" spans="2:7" x14ac:dyDescent="0.4">
      <c r="B24" s="17" t="s">
        <v>43</v>
      </c>
      <c r="C24" s="64"/>
      <c r="D24" s="7"/>
      <c r="E24" s="66">
        <f>SUM(E6:E20)</f>
        <v>28028.733800036003</v>
      </c>
      <c r="G24" s="84"/>
    </row>
    <row r="25" spans="2:7" ht="24.6" x14ac:dyDescent="0.4">
      <c r="B25" s="32" t="s">
        <v>37</v>
      </c>
      <c r="C25" s="83"/>
      <c r="D25" s="9"/>
      <c r="E25" s="63">
        <f>1000*IF(E24=0,0,E24/C23)</f>
        <v>3975.2273260069887</v>
      </c>
    </row>
    <row r="26" spans="2:7" x14ac:dyDescent="0.4">
      <c r="B26" s="5"/>
      <c r="C26" s="2"/>
      <c r="D26" s="2"/>
      <c r="E26" s="2"/>
    </row>
    <row r="27" spans="2:7" ht="24.6" x14ac:dyDescent="0.4">
      <c r="B27" s="18" t="s">
        <v>54</v>
      </c>
      <c r="C27" s="86">
        <f>((E25*C23)+((('BLE - Peripheral'!D7*1000)-C23)*'Input arguments'!L4))/('BLE - Peripheral'!D7*1000)</f>
        <v>281.49567694313777</v>
      </c>
      <c r="D27" s="102" t="s">
        <v>38</v>
      </c>
    </row>
    <row r="28" spans="2:7" ht="15" x14ac:dyDescent="0.4">
      <c r="B28" s="18" t="s">
        <v>33</v>
      </c>
      <c r="C28" s="101">
        <f>'BLE - Peripheral'!D4/(C27/1000)</f>
        <v>799.30179547819512</v>
      </c>
      <c r="D28" s="103" t="s">
        <v>18</v>
      </c>
    </row>
    <row r="29" spans="2:7" ht="15" x14ac:dyDescent="0.4">
      <c r="B29" s="99" t="s">
        <v>33</v>
      </c>
      <c r="C29" s="93">
        <f>C28/24</f>
        <v>33.304241478258128</v>
      </c>
      <c r="D29" s="102" t="s">
        <v>21</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H47"/>
  <sheetViews>
    <sheetView topLeftCell="A4" workbookViewId="0">
      <selection activeCell="I44" sqref="I44"/>
    </sheetView>
  </sheetViews>
  <sheetFormatPr defaultColWidth="8.83203125" defaultRowHeight="12.3" x14ac:dyDescent="0.4"/>
  <cols>
    <col min="2" max="2" width="41.83203125" customWidth="1"/>
    <col min="3" max="3" width="11.5546875" customWidth="1"/>
    <col min="4" max="4" width="11.27734375" customWidth="1"/>
  </cols>
  <sheetData>
    <row r="4" spans="2:8" x14ac:dyDescent="0.4">
      <c r="G4" s="2"/>
      <c r="H4" s="2"/>
    </row>
    <row r="5" spans="2:8" ht="24.6" x14ac:dyDescent="0.4">
      <c r="B5" s="35" t="s">
        <v>3</v>
      </c>
      <c r="C5" s="134" t="s">
        <v>24</v>
      </c>
      <c r="D5" s="37" t="s">
        <v>25</v>
      </c>
      <c r="E5" s="85" t="s">
        <v>36</v>
      </c>
      <c r="G5" s="84"/>
      <c r="H5" s="84"/>
    </row>
    <row r="6" spans="2:8" ht="15" customHeight="1" x14ac:dyDescent="0.4">
      <c r="B6" s="55" t="s">
        <v>15</v>
      </c>
      <c r="C6" s="62">
        <v>1315.3333333333333</v>
      </c>
      <c r="D6" s="104">
        <v>3.1727888888888884</v>
      </c>
      <c r="E6" s="62">
        <f t="shared" ref="E6:E17" si="0">C6*D6</f>
        <v>4173.2749851851841</v>
      </c>
      <c r="G6" s="84"/>
      <c r="H6" s="84"/>
    </row>
    <row r="7" spans="2:8" x14ac:dyDescent="0.4">
      <c r="B7" s="55" t="s">
        <v>14</v>
      </c>
      <c r="C7" s="62">
        <v>290.55555555555554</v>
      </c>
      <c r="D7" s="104">
        <v>4.1356111111111113</v>
      </c>
      <c r="E7" s="62">
        <f t="shared" si="0"/>
        <v>1201.6247839506173</v>
      </c>
      <c r="G7" s="84"/>
      <c r="H7" s="84"/>
    </row>
    <row r="8" spans="2:8" x14ac:dyDescent="0.4">
      <c r="B8" s="55" t="s">
        <v>7</v>
      </c>
      <c r="C8" s="62">
        <v>131.4</v>
      </c>
      <c r="D8" s="104">
        <f>IF('BLE - Peripheral'!$D$6=B33,C33,IF('BLE - Peripheral'!$D$6=B34,C34,IF('BLE - Peripheral'!$D$6=B35,C35,IF('BLE - Peripheral'!$D$6=B36,C36,IF('BLE - Peripheral'!$D$6=B37,C37,IF('BLE - Peripheral'!$D$6=B38,C38))))))</f>
        <v>7.2495111111111123</v>
      </c>
      <c r="E8" s="62">
        <f t="shared" si="0"/>
        <v>952.58576000000016</v>
      </c>
      <c r="G8" s="84"/>
      <c r="H8" s="84"/>
    </row>
    <row r="9" spans="2:8" x14ac:dyDescent="0.4">
      <c r="B9" s="55" t="s">
        <v>115</v>
      </c>
      <c r="C9" s="62">
        <v>523.79999999999995</v>
      </c>
      <c r="D9" s="104">
        <v>3.1539999999999999</v>
      </c>
      <c r="E9" s="62">
        <f t="shared" si="0"/>
        <v>1652.0651999999998</v>
      </c>
      <c r="G9" s="84"/>
      <c r="H9" s="84"/>
    </row>
    <row r="10" spans="2:8" x14ac:dyDescent="0.4">
      <c r="B10" s="55" t="s">
        <v>7</v>
      </c>
      <c r="C10" s="62">
        <f>C8</f>
        <v>131.4</v>
      </c>
      <c r="D10" s="104">
        <f>D8</f>
        <v>7.2495111111111123</v>
      </c>
      <c r="E10" s="62">
        <f t="shared" si="0"/>
        <v>952.58576000000016</v>
      </c>
      <c r="G10" s="84"/>
      <c r="H10" s="84"/>
    </row>
    <row r="11" spans="2:8" x14ac:dyDescent="0.4">
      <c r="B11" s="55" t="s">
        <v>115</v>
      </c>
      <c r="C11" s="62">
        <f>C9</f>
        <v>523.79999999999995</v>
      </c>
      <c r="D11" s="104">
        <f>D9</f>
        <v>3.1539999999999999</v>
      </c>
      <c r="E11" s="62">
        <f t="shared" si="0"/>
        <v>1652.0651999999998</v>
      </c>
      <c r="G11" s="84"/>
      <c r="H11" s="84"/>
    </row>
    <row r="12" spans="2:8" x14ac:dyDescent="0.4">
      <c r="B12" s="55" t="s">
        <v>7</v>
      </c>
      <c r="C12" s="62">
        <f>C8</f>
        <v>131.4</v>
      </c>
      <c r="D12" s="104">
        <f>D8</f>
        <v>7.2495111111111123</v>
      </c>
      <c r="E12" s="62">
        <f t="shared" si="0"/>
        <v>952.58576000000016</v>
      </c>
      <c r="G12" s="84"/>
      <c r="H12" s="84"/>
    </row>
    <row r="13" spans="2:8" x14ac:dyDescent="0.4">
      <c r="B13" s="55" t="s">
        <v>115</v>
      </c>
      <c r="C13" s="62">
        <f>C9</f>
        <v>523.79999999999995</v>
      </c>
      <c r="D13" s="104">
        <f>D9</f>
        <v>3.1539999999999999</v>
      </c>
      <c r="E13" s="62">
        <f t="shared" si="0"/>
        <v>1652.0651999999998</v>
      </c>
      <c r="G13" s="84"/>
      <c r="H13" s="84"/>
    </row>
    <row r="14" spans="2:8" x14ac:dyDescent="0.4">
      <c r="B14" s="55" t="s">
        <v>116</v>
      </c>
      <c r="C14" s="62">
        <f>156.11+7.9019*('BLE - Peripheral'!$D$9-2)</f>
        <v>195.61950000000002</v>
      </c>
      <c r="D14" s="104">
        <f>IF('BLE - Peripheral'!$D$6=B41,C41,IF('BLE - Peripheral'!$D$6=B42,C42,IF('BLE - Peripheral'!$D$6=B43,C43,IF('BLE - Peripheral'!$D$6=B44,C44,IF('BLE - Peripheral'!$D$6=B45,C45,IF('BLE - Peripheral'!$D$6=B46,C46))))))</f>
        <v>7.2495111111111123</v>
      </c>
      <c r="E14" s="62">
        <f t="shared" si="0"/>
        <v>1418.1457388000003</v>
      </c>
      <c r="G14" s="84"/>
      <c r="H14" s="84"/>
    </row>
    <row r="15" spans="2:8" x14ac:dyDescent="0.4">
      <c r="B15" s="55" t="s">
        <v>9</v>
      </c>
      <c r="C15" s="62">
        <v>121</v>
      </c>
      <c r="D15" s="104">
        <v>5.8782444444444444</v>
      </c>
      <c r="E15" s="62">
        <f t="shared" si="0"/>
        <v>711.26757777777777</v>
      </c>
      <c r="G15" s="84"/>
      <c r="H15" s="84"/>
    </row>
    <row r="16" spans="2:8" ht="13.5" customHeight="1" x14ac:dyDescent="0.4">
      <c r="B16" s="55" t="s">
        <v>117</v>
      </c>
      <c r="C16" s="62">
        <v>114.22222222222223</v>
      </c>
      <c r="D16" s="104">
        <v>6.7132555555555555</v>
      </c>
      <c r="E16" s="62">
        <f t="shared" si="0"/>
        <v>766.80296790123464</v>
      </c>
      <c r="G16" s="84"/>
      <c r="H16" s="84"/>
    </row>
    <row r="17" spans="2:8" x14ac:dyDescent="0.4">
      <c r="B17" s="55" t="s">
        <v>16</v>
      </c>
      <c r="C17" s="62">
        <v>850.11111111111109</v>
      </c>
      <c r="D17" s="104">
        <v>2.7233444444444448</v>
      </c>
      <c r="E17" s="62">
        <f t="shared" si="0"/>
        <v>2315.1453716049386</v>
      </c>
      <c r="G17" s="84"/>
      <c r="H17" s="84"/>
    </row>
    <row r="18" spans="2:8" x14ac:dyDescent="0.4">
      <c r="B18" s="55"/>
      <c r="C18" s="62"/>
      <c r="D18" s="104"/>
      <c r="E18" s="62"/>
      <c r="G18" s="84"/>
      <c r="H18" s="84"/>
    </row>
    <row r="19" spans="2:8" x14ac:dyDescent="0.4">
      <c r="B19" s="55"/>
      <c r="C19" s="62"/>
      <c r="D19" s="104"/>
      <c r="E19" s="62"/>
      <c r="G19" s="84"/>
      <c r="H19" s="84"/>
    </row>
    <row r="20" spans="2:8" x14ac:dyDescent="0.4">
      <c r="B20" s="55"/>
      <c r="C20" s="62"/>
      <c r="D20" s="62"/>
      <c r="E20" s="62"/>
      <c r="G20" s="84"/>
      <c r="H20" s="84"/>
    </row>
    <row r="21" spans="2:8" x14ac:dyDescent="0.4">
      <c r="B21" s="55"/>
      <c r="C21" s="62"/>
      <c r="D21" s="62"/>
      <c r="E21" s="62"/>
      <c r="G21" s="2"/>
      <c r="H21" s="2"/>
    </row>
    <row r="22" spans="2:8" x14ac:dyDescent="0.4">
      <c r="B22" s="55"/>
      <c r="C22" s="125"/>
      <c r="D22" s="129"/>
      <c r="E22" s="124"/>
      <c r="G22" s="2"/>
      <c r="H22" s="2"/>
    </row>
    <row r="23" spans="2:8" x14ac:dyDescent="0.4">
      <c r="B23" s="87" t="s">
        <v>56</v>
      </c>
      <c r="C23" s="120">
        <f>SUM(C6:C20)</f>
        <v>4852.441722222221</v>
      </c>
      <c r="D23" s="6"/>
      <c r="E23" s="3"/>
    </row>
    <row r="24" spans="2:8" x14ac:dyDescent="0.4">
      <c r="B24" s="17" t="s">
        <v>43</v>
      </c>
      <c r="C24" s="64"/>
      <c r="D24" s="7"/>
      <c r="E24" s="66">
        <f>SUM(E6:E20)</f>
        <v>18400.214305219753</v>
      </c>
    </row>
    <row r="25" spans="2:8" x14ac:dyDescent="0.4">
      <c r="B25" s="32" t="s">
        <v>37</v>
      </c>
      <c r="C25" s="83"/>
      <c r="D25" s="9"/>
      <c r="E25" s="63">
        <f>1000*IF(E24=0,0,E24/C23)</f>
        <v>3791.9495706572243</v>
      </c>
    </row>
    <row r="26" spans="2:8" x14ac:dyDescent="0.4">
      <c r="B26" s="5"/>
      <c r="C26" s="2"/>
      <c r="D26" s="2"/>
      <c r="E26" s="2"/>
    </row>
    <row r="27" spans="2:8" ht="15" x14ac:dyDescent="0.4">
      <c r="B27" s="18" t="s">
        <v>54</v>
      </c>
      <c r="C27" s="86">
        <f>((E25*C23)+((('BLE - Peripheral'!D7*1000)-C23)*'Input arguments'!L4))/('BLE - Peripheral'!D7*1000)</f>
        <v>185.23906130980865</v>
      </c>
      <c r="D27" s="102" t="s">
        <v>38</v>
      </c>
    </row>
    <row r="28" spans="2:8" ht="15" x14ac:dyDescent="0.4">
      <c r="B28" s="18" t="s">
        <v>33</v>
      </c>
      <c r="C28" s="101">
        <f>'BLE - Peripheral'!D4/(C27/1000)</f>
        <v>1214.6466215551154</v>
      </c>
      <c r="D28" s="103" t="s">
        <v>18</v>
      </c>
    </row>
    <row r="29" spans="2:8" ht="15" x14ac:dyDescent="0.4">
      <c r="B29" s="99" t="s">
        <v>33</v>
      </c>
      <c r="C29" s="93">
        <f>C28/24</f>
        <v>50.610275898129807</v>
      </c>
      <c r="D29" s="102" t="s">
        <v>21</v>
      </c>
    </row>
    <row r="31" spans="2:8" ht="16.5" customHeight="1" x14ac:dyDescent="0.4"/>
    <row r="32" spans="2:8" ht="33" customHeight="1" x14ac:dyDescent="0.55000000000000004">
      <c r="B32" s="121" t="s">
        <v>119</v>
      </c>
      <c r="C32" s="122" t="s">
        <v>62</v>
      </c>
      <c r="D32" s="122"/>
    </row>
    <row r="33" spans="2:3" ht="14.4" x14ac:dyDescent="0.55000000000000004">
      <c r="B33" s="109">
        <v>-21</v>
      </c>
      <c r="C33" s="142">
        <v>4.7794444444444455</v>
      </c>
    </row>
    <row r="34" spans="2:3" ht="14.4" x14ac:dyDescent="0.55000000000000004">
      <c r="B34" s="109">
        <v>-15</v>
      </c>
      <c r="C34" s="142">
        <v>5.0636666666666672</v>
      </c>
    </row>
    <row r="35" spans="2:3" ht="14.4" x14ac:dyDescent="0.55000000000000004">
      <c r="B35" s="109">
        <v>-9</v>
      </c>
      <c r="C35" s="142">
        <v>5.5392777777777775</v>
      </c>
    </row>
    <row r="36" spans="2:3" ht="14.4" x14ac:dyDescent="0.55000000000000004">
      <c r="B36" s="109">
        <v>0</v>
      </c>
      <c r="C36" s="143">
        <v>7.2495111111111123</v>
      </c>
    </row>
    <row r="37" spans="2:3" ht="14.4" x14ac:dyDescent="0.55000000000000004">
      <c r="B37" s="109">
        <v>3</v>
      </c>
      <c r="C37" s="142">
        <v>8.5097333333333331</v>
      </c>
    </row>
    <row r="38" spans="2:3" ht="14.4" x14ac:dyDescent="0.55000000000000004">
      <c r="B38" s="109">
        <v>5</v>
      </c>
      <c r="C38" s="142">
        <v>9.5018999999999991</v>
      </c>
    </row>
    <row r="39" spans="2:3" ht="14.4" x14ac:dyDescent="0.55000000000000004">
      <c r="B39" s="109"/>
      <c r="C39" s="109"/>
    </row>
    <row r="40" spans="2:3" ht="28.8" x14ac:dyDescent="0.55000000000000004">
      <c r="B40" s="121" t="s">
        <v>120</v>
      </c>
      <c r="C40" s="122" t="s">
        <v>62</v>
      </c>
    </row>
    <row r="41" spans="2:3" ht="14.4" x14ac:dyDescent="0.55000000000000004">
      <c r="B41" s="109">
        <v>-21</v>
      </c>
      <c r="C41" s="141">
        <v>4.7794444444444455</v>
      </c>
    </row>
    <row r="42" spans="2:3" ht="14.4" x14ac:dyDescent="0.55000000000000004">
      <c r="B42" s="109">
        <v>-15</v>
      </c>
      <c r="C42" s="141">
        <v>5.0636666666666672</v>
      </c>
    </row>
    <row r="43" spans="2:3" ht="14.4" x14ac:dyDescent="0.55000000000000004">
      <c r="B43" s="109">
        <v>-9</v>
      </c>
      <c r="C43" s="141">
        <v>5.5392777777777775</v>
      </c>
    </row>
    <row r="44" spans="2:3" ht="14.4" x14ac:dyDescent="0.55000000000000004">
      <c r="B44" s="109">
        <v>0</v>
      </c>
      <c r="C44" s="148">
        <v>7.2495111111111123</v>
      </c>
    </row>
    <row r="45" spans="2:3" ht="14.4" x14ac:dyDescent="0.55000000000000004">
      <c r="B45" s="109">
        <v>3</v>
      </c>
      <c r="C45" s="141">
        <v>8.5097333333333331</v>
      </c>
    </row>
    <row r="46" spans="2:3" ht="14.4" x14ac:dyDescent="0.55000000000000004">
      <c r="B46" s="109">
        <v>5</v>
      </c>
      <c r="C46" s="141">
        <v>9.5018999999999991</v>
      </c>
    </row>
    <row r="47" spans="2:3" x14ac:dyDescent="0.4">
      <c r="C47" s="123" t="s">
        <v>118</v>
      </c>
    </row>
  </sheetData>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G29"/>
  <sheetViews>
    <sheetView workbookViewId="0">
      <selection activeCell="G32" sqref="G32"/>
    </sheetView>
  </sheetViews>
  <sheetFormatPr defaultColWidth="8.83203125" defaultRowHeight="12.3" x14ac:dyDescent="0.4"/>
  <cols>
    <col min="2" max="2" width="27.44140625" customWidth="1"/>
  </cols>
  <sheetData>
    <row r="4" spans="2:7" x14ac:dyDescent="0.4">
      <c r="G4" s="2"/>
    </row>
    <row r="5" spans="2:7" ht="24.6" x14ac:dyDescent="0.4">
      <c r="B5" s="35" t="s">
        <v>3</v>
      </c>
      <c r="C5" s="134" t="s">
        <v>24</v>
      </c>
      <c r="D5" s="37" t="s">
        <v>25</v>
      </c>
      <c r="E5" s="16" t="s">
        <v>36</v>
      </c>
      <c r="G5" s="84"/>
    </row>
    <row r="6" spans="2:7" x14ac:dyDescent="0.4">
      <c r="B6" s="55" t="str">
        <f>'3V_1M_ExtendedAdvertisement'!B6</f>
        <v>Wake Up &amp; Pre-Processing</v>
      </c>
      <c r="C6" s="133">
        <f>'3V_1M_ExtendedAdvertisement'!C6</f>
        <v>1315.3333333333333</v>
      </c>
      <c r="D6" s="105">
        <f>('3V_1M_ExtendedAdvertisement'!D6)*3/1.8</f>
        <v>5.2879814814814807</v>
      </c>
      <c r="E6" s="62">
        <f t="shared" ref="E6:E17" si="0">C6*D6</f>
        <v>6955.4583086419743</v>
      </c>
      <c r="G6" s="84"/>
    </row>
    <row r="7" spans="2:7" x14ac:dyDescent="0.4">
      <c r="B7" s="55" t="str">
        <f>'3V_1M_ExtendedAdvertisement'!B7</f>
        <v>Radio Preparation</v>
      </c>
      <c r="C7" s="133">
        <f>'3V_1M_ExtendedAdvertisement'!C7</f>
        <v>290.55555555555554</v>
      </c>
      <c r="D7" s="105">
        <f>('3V_1M_ExtendedAdvertisement'!D7)*3/1.8</f>
        <v>6.8926851851851856</v>
      </c>
      <c r="E7" s="62">
        <f t="shared" si="0"/>
        <v>2002.7079732510288</v>
      </c>
      <c r="G7" s="84"/>
    </row>
    <row r="8" spans="2:7" x14ac:dyDescent="0.4">
      <c r="B8" s="55" t="str">
        <f>'3V_1M_ExtendedAdvertisement'!B8</f>
        <v>Transmit (TX)</v>
      </c>
      <c r="C8" s="133">
        <f>'3V_1M_ExtendedAdvertisement'!C8</f>
        <v>131.4</v>
      </c>
      <c r="D8" s="105">
        <f>('3V_1M_ExtendedAdvertisement'!D8)*3/1.8</f>
        <v>12.082518518518521</v>
      </c>
      <c r="E8" s="62">
        <f t="shared" si="0"/>
        <v>1587.6429333333338</v>
      </c>
      <c r="G8" s="84"/>
    </row>
    <row r="9" spans="2:7" x14ac:dyDescent="0.4">
      <c r="B9" s="55" t="str">
        <f>'3V_1M_ExtendedAdvertisement'!B9</f>
        <v>TX to TX transition</v>
      </c>
      <c r="C9" s="133">
        <f>'3V_1M_ExtendedAdvertisement'!C9</f>
        <v>523.79999999999995</v>
      </c>
      <c r="D9" s="105">
        <f>('3V_1M_ExtendedAdvertisement'!D9)*3/1.8</f>
        <v>5.2566666666666668</v>
      </c>
      <c r="E9" s="62">
        <f t="shared" si="0"/>
        <v>2753.442</v>
      </c>
      <c r="G9" s="84"/>
    </row>
    <row r="10" spans="2:7" x14ac:dyDescent="0.4">
      <c r="B10" s="55" t="str">
        <f>'3V_1M_ExtendedAdvertisement'!B10</f>
        <v>Transmit (TX)</v>
      </c>
      <c r="C10" s="133">
        <f>'3V_1M_ExtendedAdvertisement'!C10</f>
        <v>131.4</v>
      </c>
      <c r="D10" s="105">
        <f>('3V_1M_ExtendedAdvertisement'!D10)*3/1.8</f>
        <v>12.082518518518521</v>
      </c>
      <c r="E10" s="62">
        <f t="shared" si="0"/>
        <v>1587.6429333333338</v>
      </c>
      <c r="G10" s="84"/>
    </row>
    <row r="11" spans="2:7" x14ac:dyDescent="0.4">
      <c r="B11" s="55" t="str">
        <f>'3V_1M_ExtendedAdvertisement'!B11</f>
        <v>TX to TX transition</v>
      </c>
      <c r="C11" s="133">
        <f>'3V_1M_ExtendedAdvertisement'!C11</f>
        <v>523.79999999999995</v>
      </c>
      <c r="D11" s="105">
        <f>('3V_1M_ExtendedAdvertisement'!D11)*3/1.8</f>
        <v>5.2566666666666668</v>
      </c>
      <c r="E11" s="62">
        <f t="shared" si="0"/>
        <v>2753.442</v>
      </c>
      <c r="G11" s="84"/>
    </row>
    <row r="12" spans="2:7" x14ac:dyDescent="0.4">
      <c r="B12" s="55" t="str">
        <f>'3V_1M_ExtendedAdvertisement'!B12</f>
        <v>Transmit (TX)</v>
      </c>
      <c r="C12" s="133">
        <f>'3V_1M_ExtendedAdvertisement'!C12</f>
        <v>131.4</v>
      </c>
      <c r="D12" s="105">
        <f>('3V_1M_ExtendedAdvertisement'!D12)*3/1.8</f>
        <v>12.082518518518521</v>
      </c>
      <c r="E12" s="62">
        <f t="shared" si="0"/>
        <v>1587.6429333333338</v>
      </c>
      <c r="G12" s="84"/>
    </row>
    <row r="13" spans="2:7" x14ac:dyDescent="0.4">
      <c r="B13" s="55" t="str">
        <f>'3V_1M_ExtendedAdvertisement'!B13</f>
        <v>TX to TX transition</v>
      </c>
      <c r="C13" s="133">
        <f>'3V_1M_ExtendedAdvertisement'!C13</f>
        <v>523.79999999999995</v>
      </c>
      <c r="D13" s="105">
        <f>('3V_1M_ExtendedAdvertisement'!D13)*3/1.8</f>
        <v>5.2566666666666668</v>
      </c>
      <c r="E13" s="62">
        <f t="shared" si="0"/>
        <v>2753.442</v>
      </c>
      <c r="G13" s="84"/>
    </row>
    <row r="14" spans="2:7" ht="24.6" x14ac:dyDescent="0.4">
      <c r="B14" s="55" t="str">
        <f>'3V_1M_ExtendedAdvertisement'!B14</f>
        <v>Transmit (TX) – on secondary channel</v>
      </c>
      <c r="C14" s="133">
        <f>'3V_1M_ExtendedAdvertisement'!C14</f>
        <v>195.61950000000002</v>
      </c>
      <c r="D14" s="105">
        <f>('3V_1M_ExtendedAdvertisement'!D14)*3/1.8</f>
        <v>12.082518518518521</v>
      </c>
      <c r="E14" s="62">
        <f t="shared" si="0"/>
        <v>2363.5762313333339</v>
      </c>
      <c r="G14" s="84"/>
    </row>
    <row r="15" spans="2:7" x14ac:dyDescent="0.4">
      <c r="B15" s="55" t="str">
        <f>'3V_1M_ExtendedAdvertisement'!B15</f>
        <v>TX to RX transition</v>
      </c>
      <c r="C15" s="133">
        <f>'3V_1M_ExtendedAdvertisement'!C15</f>
        <v>121</v>
      </c>
      <c r="D15" s="105">
        <f>('3V_1M_ExtendedAdvertisement'!D15)*3/1.8</f>
        <v>9.7970740740740734</v>
      </c>
      <c r="E15" s="62">
        <f t="shared" si="0"/>
        <v>1185.4459629629628</v>
      </c>
      <c r="G15" s="84"/>
    </row>
    <row r="16" spans="2:7" ht="24.6" x14ac:dyDescent="0.4">
      <c r="B16" s="55" t="str">
        <f>'3V_1M_ExtendedAdvertisement'!B16</f>
        <v>Receive (RX) – on secondary channel</v>
      </c>
      <c r="C16" s="133">
        <f>'3V_1M_ExtendedAdvertisement'!C16</f>
        <v>114.22222222222223</v>
      </c>
      <c r="D16" s="105">
        <f>('3V_1M_ExtendedAdvertisement'!D16)*3/1.8</f>
        <v>11.188759259259259</v>
      </c>
      <c r="E16" s="62">
        <f t="shared" si="0"/>
        <v>1278.0049465020577</v>
      </c>
      <c r="G16" s="84"/>
    </row>
    <row r="17" spans="2:7" x14ac:dyDescent="0.4">
      <c r="B17" s="55" t="str">
        <f>'3V_1M_ExtendedAdvertisement'!B17</f>
        <v>Post-Processing</v>
      </c>
      <c r="C17" s="133">
        <f>'3V_1M_ExtendedAdvertisement'!C17</f>
        <v>850.11111111111109</v>
      </c>
      <c r="D17" s="105">
        <f>('3V_1M_ExtendedAdvertisement'!D17)*3/1.8</f>
        <v>4.5389074074074083</v>
      </c>
      <c r="E17" s="62">
        <f t="shared" si="0"/>
        <v>3858.5756193415646</v>
      </c>
      <c r="G17" s="84"/>
    </row>
    <row r="18" spans="2:7" x14ac:dyDescent="0.4">
      <c r="B18" s="55"/>
      <c r="C18" s="62"/>
      <c r="D18" s="104"/>
      <c r="E18" s="62"/>
      <c r="G18" s="84"/>
    </row>
    <row r="19" spans="2:7" x14ac:dyDescent="0.4">
      <c r="B19" s="55"/>
      <c r="C19" s="62"/>
      <c r="D19" s="104"/>
      <c r="E19" s="62"/>
      <c r="G19" s="84"/>
    </row>
    <row r="20" spans="2:7" x14ac:dyDescent="0.4">
      <c r="B20" s="55"/>
      <c r="C20" s="62"/>
      <c r="D20" s="62"/>
      <c r="E20" s="62"/>
      <c r="G20" s="84"/>
    </row>
    <row r="21" spans="2:7" x14ac:dyDescent="0.4">
      <c r="B21" s="55"/>
      <c r="C21" s="62"/>
      <c r="D21" s="62"/>
      <c r="E21" s="62"/>
      <c r="G21" s="2"/>
    </row>
    <row r="22" spans="2:7" x14ac:dyDescent="0.4">
      <c r="B22" s="55"/>
      <c r="C22" s="125"/>
      <c r="D22" s="129"/>
      <c r="E22" s="124"/>
      <c r="G22" s="2"/>
    </row>
    <row r="23" spans="2:7" ht="24.6" x14ac:dyDescent="0.4">
      <c r="B23" s="87" t="s">
        <v>56</v>
      </c>
      <c r="C23" s="120">
        <f>SUM(C6:C20)</f>
        <v>4852.441722222221</v>
      </c>
      <c r="D23" s="6"/>
      <c r="E23" s="3"/>
    </row>
    <row r="24" spans="2:7" x14ac:dyDescent="0.4">
      <c r="B24" s="17" t="s">
        <v>43</v>
      </c>
      <c r="C24" s="64"/>
      <c r="D24" s="7"/>
      <c r="E24" s="66">
        <f>SUM(E6:E20)</f>
        <v>30667.023842032922</v>
      </c>
    </row>
    <row r="25" spans="2:7" ht="24.6" x14ac:dyDescent="0.4">
      <c r="B25" s="32" t="s">
        <v>37</v>
      </c>
      <c r="C25" s="83"/>
      <c r="D25" s="9"/>
      <c r="E25" s="63">
        <f>1000*IF(E24=0,0,E24/C23)</f>
        <v>6319.9159510953741</v>
      </c>
    </row>
    <row r="26" spans="2:7" x14ac:dyDescent="0.4">
      <c r="B26" s="5"/>
      <c r="C26" s="2"/>
      <c r="D26" s="2"/>
      <c r="E26" s="2"/>
    </row>
    <row r="27" spans="2:7" ht="24.6" x14ac:dyDescent="0.4">
      <c r="B27" s="18" t="s">
        <v>54</v>
      </c>
      <c r="C27" s="86">
        <f>((E25*C23)+((('BLE - Peripheral'!D7*1000)-C23)*'Input arguments'!L4))/('BLE - Peripheral'!D7*1000)</f>
        <v>307.90715667794035</v>
      </c>
      <c r="D27" s="102" t="s">
        <v>38</v>
      </c>
    </row>
    <row r="28" spans="2:7" ht="15" x14ac:dyDescent="0.4">
      <c r="B28" s="18" t="s">
        <v>33</v>
      </c>
      <c r="C28" s="101">
        <f>'BLE - Peripheral'!D4/(C27/1000)</f>
        <v>730.73975424137939</v>
      </c>
      <c r="D28" s="103" t="s">
        <v>18</v>
      </c>
    </row>
    <row r="29" spans="2:7" ht="15" x14ac:dyDescent="0.4">
      <c r="B29" s="99" t="s">
        <v>33</v>
      </c>
      <c r="C29" s="93">
        <f>C28/24</f>
        <v>30.447489760057476</v>
      </c>
      <c r="D29" s="102" t="s">
        <v>21</v>
      </c>
    </row>
  </sheetData>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G29"/>
  <sheetViews>
    <sheetView workbookViewId="0">
      <selection activeCell="D11" sqref="D11"/>
    </sheetView>
  </sheetViews>
  <sheetFormatPr defaultColWidth="8.83203125" defaultRowHeight="12.3" x14ac:dyDescent="0.4"/>
  <cols>
    <col min="2" max="2" width="25.5546875" customWidth="1"/>
    <col min="3" max="3" width="13" customWidth="1"/>
    <col min="4" max="4" width="12.71875" customWidth="1"/>
    <col min="5" max="5" width="13.83203125" customWidth="1"/>
  </cols>
  <sheetData>
    <row r="4" spans="2:7" x14ac:dyDescent="0.4">
      <c r="G4" s="84"/>
    </row>
    <row r="5" spans="2:7" ht="24.6" x14ac:dyDescent="0.4">
      <c r="B5" s="35" t="s">
        <v>3</v>
      </c>
      <c r="C5" s="134" t="s">
        <v>24</v>
      </c>
      <c r="D5" s="37" t="s">
        <v>25</v>
      </c>
      <c r="E5" s="16" t="s">
        <v>36</v>
      </c>
      <c r="G5" s="84"/>
    </row>
    <row r="6" spans="2:7" ht="14.25" customHeight="1" x14ac:dyDescent="0.4">
      <c r="B6" s="55" t="str">
        <f>'3V_1M_ExtendedAdvertisement'!B6</f>
        <v>Wake Up &amp; Pre-Processing</v>
      </c>
      <c r="C6" s="132">
        <f>'3V_1M_ExtendedAdvertisement'!C6</f>
        <v>1315.3333333333333</v>
      </c>
      <c r="D6" s="105">
        <f>('3V_1M_ExtendedAdvertisement'!D6)*3/3.6</f>
        <v>2.6439907407407404</v>
      </c>
      <c r="E6" s="62">
        <f t="shared" ref="E6:E17" si="0">C6*D6</f>
        <v>3477.7291543209872</v>
      </c>
      <c r="G6" s="84"/>
    </row>
    <row r="7" spans="2:7" x14ac:dyDescent="0.4">
      <c r="B7" s="55" t="str">
        <f>'3V_1M_ExtendedAdvertisement'!B7</f>
        <v>Radio Preparation</v>
      </c>
      <c r="C7" s="133">
        <f>'3V_1M_ExtendedAdvertisement'!C7</f>
        <v>290.55555555555554</v>
      </c>
      <c r="D7" s="105">
        <f>('3V_1M_ExtendedAdvertisement'!D7)*3/3.6</f>
        <v>3.4463425925925928</v>
      </c>
      <c r="E7" s="62">
        <f t="shared" si="0"/>
        <v>1001.3539866255144</v>
      </c>
      <c r="G7" s="84"/>
    </row>
    <row r="8" spans="2:7" x14ac:dyDescent="0.4">
      <c r="B8" s="55" t="str">
        <f>'3V_1M_ExtendedAdvertisement'!B8</f>
        <v>Transmit (TX)</v>
      </c>
      <c r="C8" s="133">
        <f>'3V_1M_ExtendedAdvertisement'!C8</f>
        <v>131.4</v>
      </c>
      <c r="D8" s="105">
        <f>('3V_1M_ExtendedAdvertisement'!D8)*3/3.6</f>
        <v>6.0412592592592604</v>
      </c>
      <c r="E8" s="62">
        <f t="shared" si="0"/>
        <v>793.82146666666688</v>
      </c>
      <c r="G8" s="84"/>
    </row>
    <row r="9" spans="2:7" x14ac:dyDescent="0.4">
      <c r="B9" s="55" t="str">
        <f>'3V_1M_ExtendedAdvertisement'!B9</f>
        <v>TX to TX transition</v>
      </c>
      <c r="C9" s="133">
        <f>'3V_1M_ExtendedAdvertisement'!C9</f>
        <v>523.79999999999995</v>
      </c>
      <c r="D9" s="105">
        <f>('3V_1M_ExtendedAdvertisement'!D9)*3/3.6</f>
        <v>2.6283333333333334</v>
      </c>
      <c r="E9" s="62">
        <f t="shared" si="0"/>
        <v>1376.721</v>
      </c>
      <c r="G9" s="84"/>
    </row>
    <row r="10" spans="2:7" x14ac:dyDescent="0.4">
      <c r="B10" s="55" t="str">
        <f>'3V_1M_ExtendedAdvertisement'!B10</f>
        <v>Transmit (TX)</v>
      </c>
      <c r="C10" s="133">
        <f>'3V_1M_ExtendedAdvertisement'!C10</f>
        <v>131.4</v>
      </c>
      <c r="D10" s="105">
        <f>('3V_1M_ExtendedAdvertisement'!D10)*3/3.6</f>
        <v>6.0412592592592604</v>
      </c>
      <c r="E10" s="62">
        <f t="shared" si="0"/>
        <v>793.82146666666688</v>
      </c>
      <c r="G10" s="84"/>
    </row>
    <row r="11" spans="2:7" x14ac:dyDescent="0.4">
      <c r="B11" s="55" t="str">
        <f>'3V_1M_ExtendedAdvertisement'!B11</f>
        <v>TX to TX transition</v>
      </c>
      <c r="C11" s="133">
        <f>'3V_1M_ExtendedAdvertisement'!C11</f>
        <v>523.79999999999995</v>
      </c>
      <c r="D11" s="105">
        <f>('3V_1M_ExtendedAdvertisement'!D11)*3/3.6</f>
        <v>2.6283333333333334</v>
      </c>
      <c r="E11" s="62">
        <f t="shared" si="0"/>
        <v>1376.721</v>
      </c>
      <c r="G11" s="84"/>
    </row>
    <row r="12" spans="2:7" x14ac:dyDescent="0.4">
      <c r="B12" s="55" t="str">
        <f>'3V_1M_ExtendedAdvertisement'!B12</f>
        <v>Transmit (TX)</v>
      </c>
      <c r="C12" s="133">
        <f>'3V_1M_ExtendedAdvertisement'!C12</f>
        <v>131.4</v>
      </c>
      <c r="D12" s="105">
        <f>('3V_1M_ExtendedAdvertisement'!D12)*3/3.6</f>
        <v>6.0412592592592604</v>
      </c>
      <c r="E12" s="62">
        <f t="shared" si="0"/>
        <v>793.82146666666688</v>
      </c>
      <c r="G12" s="84"/>
    </row>
    <row r="13" spans="2:7" x14ac:dyDescent="0.4">
      <c r="B13" s="55" t="str">
        <f>'3V_1M_ExtendedAdvertisement'!B13</f>
        <v>TX to TX transition</v>
      </c>
      <c r="C13" s="133">
        <f>'3V_1M_ExtendedAdvertisement'!C13</f>
        <v>523.79999999999995</v>
      </c>
      <c r="D13" s="105">
        <f>('3V_1M_ExtendedAdvertisement'!D13)*3/3.6</f>
        <v>2.6283333333333334</v>
      </c>
      <c r="E13" s="62">
        <f t="shared" si="0"/>
        <v>1376.721</v>
      </c>
      <c r="G13" s="84"/>
    </row>
    <row r="14" spans="2:7" ht="24.6" x14ac:dyDescent="0.4">
      <c r="B14" s="55" t="str">
        <f>'3V_1M_ExtendedAdvertisement'!B14</f>
        <v>Transmit (TX) – on secondary channel</v>
      </c>
      <c r="C14" s="133">
        <f>'3V_1M_ExtendedAdvertisement'!C14</f>
        <v>195.61950000000002</v>
      </c>
      <c r="D14" s="105">
        <f>('3V_1M_ExtendedAdvertisement'!D14)*3/3.6</f>
        <v>6.0412592592592604</v>
      </c>
      <c r="E14" s="62">
        <f t="shared" si="0"/>
        <v>1181.788115666667</v>
      </c>
      <c r="G14" s="84"/>
    </row>
    <row r="15" spans="2:7" x14ac:dyDescent="0.4">
      <c r="B15" s="55" t="str">
        <f>'3V_1M_ExtendedAdvertisement'!B15</f>
        <v>TX to RX transition</v>
      </c>
      <c r="C15" s="133">
        <f>'3V_1M_ExtendedAdvertisement'!C15</f>
        <v>121</v>
      </c>
      <c r="D15" s="105">
        <f>('3V_1M_ExtendedAdvertisement'!D15)*3/3.6</f>
        <v>4.8985370370370367</v>
      </c>
      <c r="E15" s="62">
        <f t="shared" si="0"/>
        <v>592.72298148148138</v>
      </c>
      <c r="G15" s="84"/>
    </row>
    <row r="16" spans="2:7" ht="24.6" x14ac:dyDescent="0.4">
      <c r="B16" s="55" t="str">
        <f>'3V_1M_ExtendedAdvertisement'!B16</f>
        <v>Receive (RX) – on secondary channel</v>
      </c>
      <c r="C16" s="133">
        <f>'3V_1M_ExtendedAdvertisement'!C16</f>
        <v>114.22222222222223</v>
      </c>
      <c r="D16" s="105">
        <f>('3V_1M_ExtendedAdvertisement'!D16)*3/3.6</f>
        <v>5.5943796296296293</v>
      </c>
      <c r="E16" s="62">
        <f t="shared" si="0"/>
        <v>639.00247325102885</v>
      </c>
      <c r="G16" s="84"/>
    </row>
    <row r="17" spans="2:7" x14ac:dyDescent="0.4">
      <c r="B17" s="55" t="str">
        <f>'3V_1M_ExtendedAdvertisement'!B17</f>
        <v>Post-Processing</v>
      </c>
      <c r="C17" s="133">
        <f>'3V_1M_ExtendedAdvertisement'!C17</f>
        <v>850.11111111111109</v>
      </c>
      <c r="D17" s="105">
        <f>('3V_1M_ExtendedAdvertisement'!D17)*3/3.6</f>
        <v>2.2694537037037041</v>
      </c>
      <c r="E17" s="62">
        <f t="shared" si="0"/>
        <v>1929.2878096707823</v>
      </c>
      <c r="G17" s="84"/>
    </row>
    <row r="18" spans="2:7" x14ac:dyDescent="0.4">
      <c r="B18" s="55"/>
      <c r="C18" s="62"/>
      <c r="D18" s="104"/>
      <c r="E18" s="62"/>
      <c r="G18" s="84"/>
    </row>
    <row r="19" spans="2:7" x14ac:dyDescent="0.4">
      <c r="B19" s="55"/>
      <c r="C19" s="62"/>
      <c r="D19" s="104"/>
      <c r="E19" s="62"/>
      <c r="G19" s="84"/>
    </row>
    <row r="20" spans="2:7" x14ac:dyDescent="0.4">
      <c r="B20" s="55"/>
      <c r="C20" s="62"/>
      <c r="D20" s="62"/>
      <c r="E20" s="62"/>
      <c r="G20" s="84"/>
    </row>
    <row r="21" spans="2:7" x14ac:dyDescent="0.4">
      <c r="B21" s="55"/>
      <c r="C21" s="62"/>
      <c r="D21" s="62"/>
      <c r="E21" s="62"/>
      <c r="G21" s="84"/>
    </row>
    <row r="22" spans="2:7" x14ac:dyDescent="0.4">
      <c r="B22" s="55"/>
      <c r="C22" s="125"/>
      <c r="D22" s="129"/>
      <c r="E22" s="124"/>
      <c r="G22" s="84"/>
    </row>
    <row r="23" spans="2:7" ht="24.6" x14ac:dyDescent="0.4">
      <c r="B23" s="87" t="s">
        <v>56</v>
      </c>
      <c r="C23" s="120">
        <f>SUM(C6:C20)</f>
        <v>4852.441722222221</v>
      </c>
      <c r="D23" s="6"/>
      <c r="E23" s="3"/>
      <c r="G23" s="84"/>
    </row>
    <row r="24" spans="2:7" x14ac:dyDescent="0.4">
      <c r="B24" s="17" t="s">
        <v>43</v>
      </c>
      <c r="C24" s="64"/>
      <c r="D24" s="7"/>
      <c r="E24" s="66">
        <f>SUM(E6:E20)</f>
        <v>15333.511921016461</v>
      </c>
      <c r="G24" s="84"/>
    </row>
    <row r="25" spans="2:7" ht="24.6" x14ac:dyDescent="0.4">
      <c r="B25" s="32" t="s">
        <v>37</v>
      </c>
      <c r="C25" s="83"/>
      <c r="D25" s="9"/>
      <c r="E25" s="63">
        <f>1000*IF(E24=0,0,E24/C23)</f>
        <v>3159.9579755476871</v>
      </c>
    </row>
    <row r="26" spans="2:7" x14ac:dyDescent="0.4">
      <c r="B26" s="5"/>
      <c r="C26" s="2"/>
      <c r="D26" s="2"/>
      <c r="E26" s="2"/>
    </row>
    <row r="27" spans="2:7" ht="24.6" x14ac:dyDescent="0.4">
      <c r="B27" s="18" t="s">
        <v>54</v>
      </c>
      <c r="C27" s="86">
        <f>((E25*C23)+((('BLE - Peripheral'!D7*1000)-C23)*'Input arguments'!L4))/('BLE - Peripheral'!D7*1000)</f>
        <v>154.57203746777574</v>
      </c>
      <c r="D27" s="102" t="s">
        <v>38</v>
      </c>
    </row>
    <row r="28" spans="2:7" ht="15" x14ac:dyDescent="0.4">
      <c r="B28" s="18" t="s">
        <v>33</v>
      </c>
      <c r="C28" s="101">
        <f>'BLE - Peripheral'!D4/(C27/1000)</f>
        <v>1455.6319738420132</v>
      </c>
      <c r="D28" s="103" t="s">
        <v>18</v>
      </c>
    </row>
    <row r="29" spans="2:7" ht="15" x14ac:dyDescent="0.4">
      <c r="B29" s="99" t="s">
        <v>33</v>
      </c>
      <c r="C29" s="93">
        <f>C28/24</f>
        <v>60.651332243417215</v>
      </c>
      <c r="D29" s="102" t="s">
        <v>21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C57"/>
  <sheetViews>
    <sheetView showGridLines="0" showRowColHeaders="0" tabSelected="1" topLeftCell="B1" zoomScaleNormal="100" workbookViewId="0">
      <selection activeCell="H10" sqref="H10"/>
    </sheetView>
  </sheetViews>
  <sheetFormatPr defaultColWidth="8.83203125" defaultRowHeight="12.3" x14ac:dyDescent="0.4"/>
  <cols>
    <col min="1" max="1" width="5.1640625" customWidth="1"/>
    <col min="2" max="2" width="4.44140625" customWidth="1"/>
    <col min="3" max="3" width="46.83203125" style="4" bestFit="1" customWidth="1"/>
    <col min="4" max="4" width="16.1640625" bestFit="1" customWidth="1"/>
    <col min="5" max="5" width="8.44140625" customWidth="1"/>
    <col min="6" max="6" width="14.5546875" customWidth="1"/>
    <col min="7" max="7" width="2.27734375" customWidth="1"/>
    <col min="8" max="8" width="5.71875" customWidth="1"/>
    <col min="9" max="9" width="4.1640625" customWidth="1"/>
    <col min="10" max="10" width="46.83203125" customWidth="1"/>
    <col min="11" max="11" width="11" customWidth="1"/>
    <col min="12" max="12" width="11.83203125" customWidth="1"/>
    <col min="13" max="13" width="13.44140625" customWidth="1"/>
    <col min="14" max="14" width="2" customWidth="1"/>
    <col min="15" max="15" width="5.1640625" customWidth="1"/>
    <col min="16" max="16" width="4.27734375" customWidth="1"/>
    <col min="17" max="17" width="49.27734375" customWidth="1"/>
    <col min="18" max="18" width="12" bestFit="1" customWidth="1"/>
    <col min="20" max="20" width="15.1640625" customWidth="1"/>
    <col min="21" max="21" width="3.1640625" customWidth="1"/>
    <col min="22" max="22" width="2" customWidth="1"/>
    <col min="23" max="23" width="2.83203125" customWidth="1"/>
    <col min="24" max="24" width="27.44140625" customWidth="1"/>
    <col min="27" max="27" width="10.83203125" customWidth="1"/>
    <col min="28" max="28" width="6.1640625" bestFit="1" customWidth="1"/>
    <col min="29" max="29" width="5.83203125" bestFit="1" customWidth="1"/>
  </cols>
  <sheetData>
    <row r="1" spans="2:29" s="163" customFormat="1" x14ac:dyDescent="0.4">
      <c r="C1" s="4"/>
    </row>
    <row r="2" spans="2:29" ht="24.75" customHeight="1" x14ac:dyDescent="0.4">
      <c r="B2" s="20" t="s">
        <v>40</v>
      </c>
    </row>
    <row r="3" spans="2:29" ht="15" x14ac:dyDescent="0.5">
      <c r="C3" s="19" t="s">
        <v>0</v>
      </c>
      <c r="D3" s="67">
        <v>3</v>
      </c>
      <c r="E3" s="69"/>
      <c r="F3" s="208" t="s">
        <v>57</v>
      </c>
      <c r="G3" s="209"/>
      <c r="H3" s="209"/>
      <c r="I3" s="209"/>
      <c r="J3" s="209"/>
      <c r="K3" s="210"/>
      <c r="N3" s="211" t="s">
        <v>1</v>
      </c>
      <c r="O3" s="212"/>
      <c r="P3" s="213"/>
      <c r="Q3" s="112" t="s">
        <v>39</v>
      </c>
    </row>
    <row r="4" spans="2:29" x14ac:dyDescent="0.4">
      <c r="C4" s="15" t="s">
        <v>12</v>
      </c>
      <c r="D4" s="31">
        <v>225</v>
      </c>
      <c r="E4" s="69"/>
      <c r="F4" s="97" t="s">
        <v>59</v>
      </c>
      <c r="G4" s="33"/>
      <c r="H4" s="33"/>
      <c r="I4" s="33"/>
      <c r="J4" s="33"/>
      <c r="K4" s="98"/>
      <c r="N4" s="215" t="s">
        <v>2</v>
      </c>
      <c r="O4" s="215"/>
      <c r="P4" s="215"/>
      <c r="Q4" s="112" t="s">
        <v>73</v>
      </c>
    </row>
    <row r="5" spans="2:29" ht="12.75" customHeight="1" x14ac:dyDescent="0.4">
      <c r="C5" s="16" t="s">
        <v>41</v>
      </c>
      <c r="D5" s="92" t="s">
        <v>52</v>
      </c>
      <c r="E5" s="68" t="s">
        <v>58</v>
      </c>
      <c r="F5" s="43" t="s">
        <v>69</v>
      </c>
      <c r="G5" s="95"/>
      <c r="H5" s="95"/>
      <c r="I5" s="95"/>
      <c r="J5" s="95"/>
      <c r="K5" s="96"/>
      <c r="N5" s="215" t="s">
        <v>46</v>
      </c>
      <c r="O5" s="215"/>
      <c r="P5" s="215"/>
      <c r="Q5" s="149" t="s">
        <v>198</v>
      </c>
    </row>
    <row r="6" spans="2:29" ht="14.1" x14ac:dyDescent="0.5">
      <c r="C6" s="16" t="s">
        <v>44</v>
      </c>
      <c r="D6" s="144">
        <v>0</v>
      </c>
      <c r="F6" s="12" t="s">
        <v>72</v>
      </c>
      <c r="G6" s="9"/>
      <c r="H6" s="9"/>
      <c r="I6" s="9"/>
      <c r="J6" s="9"/>
      <c r="K6" s="11"/>
      <c r="N6" s="215" t="s">
        <v>47</v>
      </c>
      <c r="O6" s="215"/>
      <c r="P6" s="215"/>
      <c r="Q6" s="113">
        <v>43740</v>
      </c>
    </row>
    <row r="7" spans="2:29" ht="12.75" customHeight="1" x14ac:dyDescent="0.4">
      <c r="C7" s="16" t="s">
        <v>10</v>
      </c>
      <c r="D7" s="30">
        <v>100</v>
      </c>
      <c r="E7" s="69"/>
    </row>
    <row r="8" spans="2:29" ht="12.75" customHeight="1" x14ac:dyDescent="0.4">
      <c r="C8" s="16" t="s">
        <v>121</v>
      </c>
      <c r="D8" s="30">
        <v>7</v>
      </c>
      <c r="E8" s="1"/>
    </row>
    <row r="9" spans="2:29" ht="12.75" customHeight="1" x14ac:dyDescent="0.4">
      <c r="C9" s="16" t="s">
        <v>122</v>
      </c>
      <c r="D9" s="30">
        <v>7</v>
      </c>
      <c r="E9" s="1"/>
    </row>
    <row r="10" spans="2:29" ht="12.75" customHeight="1" x14ac:dyDescent="0.4">
      <c r="C10" s="16" t="s">
        <v>8</v>
      </c>
      <c r="D10" s="30">
        <v>100</v>
      </c>
      <c r="E10" s="94"/>
    </row>
    <row r="11" spans="2:29" ht="12.75" customHeight="1" x14ac:dyDescent="0.5">
      <c r="C11" s="16" t="s">
        <v>45</v>
      </c>
      <c r="D11" s="135">
        <v>0</v>
      </c>
      <c r="E11" s="94" t="s">
        <v>71</v>
      </c>
      <c r="F11" s="217" t="str">
        <f>IF(AND(D13='Input arguments'!$G$2, 'BLE - Peripheral'!D10&gt;999),'Input arguments'!$O$2, "")</f>
        <v/>
      </c>
      <c r="G11" s="217"/>
      <c r="H11" s="217"/>
      <c r="I11" s="217"/>
      <c r="J11" s="217"/>
      <c r="K11" s="136"/>
    </row>
    <row r="12" spans="2:29" ht="12.75" customHeight="1" x14ac:dyDescent="0.5">
      <c r="C12" s="16" t="s">
        <v>173</v>
      </c>
      <c r="D12" s="135">
        <v>27</v>
      </c>
      <c r="E12" s="94"/>
      <c r="F12" s="160"/>
      <c r="G12" s="160"/>
      <c r="H12" s="160"/>
      <c r="I12" s="160"/>
      <c r="J12" s="160"/>
      <c r="K12" s="136"/>
    </row>
    <row r="13" spans="2:29" ht="12.75" customHeight="1" x14ac:dyDescent="0.5">
      <c r="C13" s="16" t="s">
        <v>63</v>
      </c>
      <c r="D13" s="135" t="s">
        <v>64</v>
      </c>
      <c r="F13" s="136"/>
      <c r="G13" s="136"/>
      <c r="H13" s="136"/>
      <c r="I13" s="136"/>
      <c r="J13" s="136"/>
      <c r="K13" s="136"/>
    </row>
    <row r="14" spans="2:29" ht="12.75" customHeight="1" x14ac:dyDescent="0.4">
      <c r="E14" s="94"/>
      <c r="F14" s="136"/>
      <c r="G14" s="136"/>
      <c r="H14" s="136"/>
      <c r="I14" s="136"/>
      <c r="J14" s="136"/>
      <c r="K14" s="136"/>
    </row>
    <row r="15" spans="2:29" ht="15" customHeight="1" x14ac:dyDescent="0.5">
      <c r="C15" s="114" t="s">
        <v>79</v>
      </c>
      <c r="D15" s="23"/>
      <c r="E15" s="14"/>
      <c r="F15" s="13"/>
      <c r="J15" s="114" t="s">
        <v>80</v>
      </c>
      <c r="Q15" s="114" t="s">
        <v>81</v>
      </c>
    </row>
    <row r="16" spans="2:29" ht="18" customHeight="1" x14ac:dyDescent="0.5">
      <c r="B16" s="24"/>
      <c r="C16" s="150" t="s">
        <v>82</v>
      </c>
      <c r="D16" s="216" t="str">
        <f>IF(C16='Input arguments'!$B$7,"* PHY 1M is used for primary advertisement","")</f>
        <v/>
      </c>
      <c r="E16" s="216"/>
      <c r="F16" s="216"/>
      <c r="G16" s="8"/>
      <c r="H16" s="58"/>
      <c r="I16" s="8"/>
      <c r="J16" s="150" t="s">
        <v>84</v>
      </c>
      <c r="K16" s="216" t="str">
        <f>IF(J16='Input arguments'!$B$7,"* PHY 1M is used for primary advertisement","")</f>
        <v/>
      </c>
      <c r="L16" s="216"/>
      <c r="M16" s="216"/>
      <c r="N16" s="3"/>
      <c r="O16" s="10"/>
      <c r="P16" s="8"/>
      <c r="Q16" s="150" t="s">
        <v>85</v>
      </c>
      <c r="R16" s="216" t="str">
        <f>IF(Q16='Input arguments'!$B$7,"* PHY 1M is used for primary advertisement","")</f>
        <v/>
      </c>
      <c r="S16" s="216"/>
      <c r="T16" s="216"/>
      <c r="U16" s="3"/>
      <c r="X16" s="208" t="s">
        <v>35</v>
      </c>
      <c r="Y16" s="209"/>
      <c r="Z16" s="209"/>
      <c r="AA16" s="209"/>
      <c r="AB16" s="209"/>
      <c r="AC16" s="210"/>
    </row>
    <row r="17" spans="2:29" ht="14.25" customHeight="1" x14ac:dyDescent="0.5">
      <c r="B17" s="25"/>
      <c r="C17" s="5"/>
      <c r="D17" s="22"/>
      <c r="E17" s="26"/>
      <c r="F17" s="26"/>
      <c r="G17" s="10"/>
      <c r="H17" s="25"/>
      <c r="I17" s="25"/>
      <c r="J17" s="5"/>
      <c r="K17" s="22"/>
      <c r="L17" s="26"/>
      <c r="M17" s="26"/>
      <c r="N17" s="10"/>
      <c r="P17" s="25"/>
      <c r="Q17" s="5"/>
      <c r="R17" s="22"/>
      <c r="S17" s="26"/>
      <c r="T17" s="26"/>
      <c r="U17" s="10"/>
      <c r="X17" s="205" t="s">
        <v>34</v>
      </c>
      <c r="Y17" s="206"/>
      <c r="Z17" s="206"/>
      <c r="AA17" s="206"/>
      <c r="AB17" s="206"/>
      <c r="AC17" s="207"/>
    </row>
    <row r="18" spans="2:29" s="4" customFormat="1" ht="28.5" customHeight="1" x14ac:dyDescent="0.4">
      <c r="B18" s="21"/>
      <c r="C18" s="35" t="s">
        <v>3</v>
      </c>
      <c r="D18" s="36" t="s">
        <v>24</v>
      </c>
      <c r="E18" s="37" t="s">
        <v>25</v>
      </c>
      <c r="F18" s="16" t="s">
        <v>36</v>
      </c>
      <c r="G18" s="27"/>
      <c r="H18" s="21"/>
      <c r="I18" s="21"/>
      <c r="J18" s="35" t="s">
        <v>3</v>
      </c>
      <c r="K18" s="36" t="s">
        <v>23</v>
      </c>
      <c r="L18" s="37" t="s">
        <v>25</v>
      </c>
      <c r="M18" s="16" t="s">
        <v>36</v>
      </c>
      <c r="N18" s="27"/>
      <c r="P18" s="21"/>
      <c r="Q18" s="35" t="s">
        <v>3</v>
      </c>
      <c r="R18" s="36" t="s">
        <v>23</v>
      </c>
      <c r="S18" s="37" t="s">
        <v>25</v>
      </c>
      <c r="T18" s="16" t="s">
        <v>36</v>
      </c>
      <c r="U18" s="27"/>
      <c r="X18" s="41" t="s">
        <v>29</v>
      </c>
      <c r="Y18" s="39" t="s">
        <v>18</v>
      </c>
      <c r="Z18" s="39" t="s">
        <v>19</v>
      </c>
      <c r="AA18" s="46" t="s">
        <v>27</v>
      </c>
      <c r="AB18" s="60" t="s">
        <v>28</v>
      </c>
      <c r="AC18" s="70" t="s">
        <v>31</v>
      </c>
    </row>
    <row r="19" spans="2:29" x14ac:dyDescent="0.4">
      <c r="B19" s="25">
        <v>1</v>
      </c>
      <c r="C19" s="55" t="str">
        <f ca="1">IF(INDIRECT((ADDRESS(5+$B19,2,1,1,'DataSourceSelection - Periph'!$C$20)))="", "", INDIRECT((ADDRESS(5+$B19,2,1,1,'DataSourceSelection - Periph'!$C$20))))</f>
        <v>Wake Up &amp; Pre-Processing</v>
      </c>
      <c r="D19" s="126">
        <f ca="1">INDIRECT((ADDRESS(5+$B19,3,1,1,'DataSourceSelection - Periph'!$C$20)))</f>
        <v>1294.6666666666667</v>
      </c>
      <c r="E19" s="126">
        <f ca="1">INDIRECT((ADDRESS(5+$B19,4,1,1,'DataSourceSelection - Periph'!$C$20)))</f>
        <v>3.17794</v>
      </c>
      <c r="F19" s="127">
        <f ca="1">INDIRECT((ADDRESS(5+$B19,5,1,1,'DataSourceSelection - Periph'!$C$20)))</f>
        <v>4114.3729866666672</v>
      </c>
      <c r="G19" s="10"/>
      <c r="H19" s="25"/>
      <c r="I19" s="25">
        <v>1</v>
      </c>
      <c r="J19" s="55" t="str">
        <f ca="1">IF(INDIRECT((ADDRESS(5+$B19,2,1,1,'DataSourceSelection - Periph'!$C$25)))="", "", INDIRECT((ADDRESS(5+$B19,2,1,1,'DataSourceSelection - Periph'!$C$25))))</f>
        <v>Wake Up &amp; Pre-Processing</v>
      </c>
      <c r="K19" s="126">
        <f ca="1">INDIRECT((ADDRESS(5+$B19,3,1,1,'DataSourceSelection - Periph'!$C$25)))</f>
        <v>1317.8</v>
      </c>
      <c r="L19" s="126">
        <f ca="1">INDIRECT((ADDRESS(5+$B19,4,1,1,'DataSourceSelection - Periph'!$C$25)))</f>
        <v>3.0618222222222222</v>
      </c>
      <c r="M19" s="127">
        <f ca="1">INDIRECT((ADDRESS(5+$B19,5,1,1,'DataSourceSelection - Periph'!$C$25)))</f>
        <v>4034.8693244444444</v>
      </c>
      <c r="N19" s="10"/>
      <c r="P19" s="25">
        <v>1</v>
      </c>
      <c r="Q19" s="55" t="str">
        <f ca="1">IF(INDIRECT((ADDRESS(5+$B19,2,1,1,'DataSourceSelection - Periph'!$C$30)))="", "", INDIRECT((ADDRESS(5+$B19,2,1,1,'DataSourceSelection - Periph'!$C$30))))</f>
        <v>Wake Up &amp; Pre-processing</v>
      </c>
      <c r="R19" s="126">
        <f ca="1">INDIRECT((ADDRESS(5+$B19,3,1,1,'DataSourceSelection - Periph'!$C$30)))</f>
        <v>1283.8888888888889</v>
      </c>
      <c r="S19" s="126">
        <f ca="1">INDIRECT((ADDRESS(5+$B19,4,1,1,'DataSourceSelection - Periph'!$C$30)))</f>
        <v>3.1012666666666662</v>
      </c>
      <c r="T19" s="127">
        <f ca="1">INDIRECT((ADDRESS(5+$B19,5,1,1,'DataSourceSelection - Periph'!$C$30)))</f>
        <v>3981.6818148148141</v>
      </c>
      <c r="U19" s="10"/>
      <c r="X19" s="40" t="str">
        <f>C16</f>
        <v>Legacy Advertising</v>
      </c>
      <c r="Y19" s="33">
        <v>2</v>
      </c>
      <c r="Z19" s="34">
        <v>0</v>
      </c>
      <c r="AA19" s="47">
        <f ca="1">D39</f>
        <v>176.00623995594074</v>
      </c>
      <c r="AB19" s="61" t="s">
        <v>38</v>
      </c>
      <c r="AC19" s="71">
        <f>Y19/24+Z19/60/24</f>
        <v>8.3333333333333329E-2</v>
      </c>
    </row>
    <row r="20" spans="2:29" ht="13.5" customHeight="1" x14ac:dyDescent="0.4">
      <c r="B20" s="25">
        <v>2</v>
      </c>
      <c r="C20" s="55" t="str">
        <f ca="1">IF(INDIRECT((ADDRESS(5+$B20,2,1,1,'DataSourceSelection - Periph'!$C$20)))="", "", INDIRECT((ADDRESS(5+$B20,2,1,1,'DataSourceSelection - Periph'!$C$20))))</f>
        <v>Radio Preparation</v>
      </c>
      <c r="D20" s="126">
        <f ca="1">INDIRECT((ADDRESS(5+$B20,3,1,1,'DataSourceSelection - Periph'!$C$20)))</f>
        <v>329.11111111111109</v>
      </c>
      <c r="E20" s="126">
        <f ca="1">INDIRECT((ADDRESS(5+$B20,4,1,1,'DataSourceSelection - Periph'!$C$20)))</f>
        <v>3.7641813333333332</v>
      </c>
      <c r="F20" s="128">
        <f ca="1">INDIRECT((ADDRESS(5+$B20,5,1,1,'DataSourceSelection - Periph'!$C$20)))</f>
        <v>1238.8339010370369</v>
      </c>
      <c r="G20" s="10"/>
      <c r="H20" s="25"/>
      <c r="I20" s="25">
        <v>2</v>
      </c>
      <c r="J20" s="55" t="str">
        <f ca="1">IF(INDIRECT((ADDRESS(5+$B20,2,1,1,'DataSourceSelection - Periph'!$C$25)))="", "", INDIRECT((ADDRESS(5+$B20,2,1,1,'DataSourceSelection - Periph'!$C$25))))</f>
        <v>Radio Preparation</v>
      </c>
      <c r="K20" s="126">
        <f ca="1">INDIRECT((ADDRESS(5+$B20,3,1,1,'DataSourceSelection - Periph'!$C$25)))</f>
        <v>328</v>
      </c>
      <c r="L20" s="126">
        <f ca="1">INDIRECT((ADDRESS(5+$B20,4,1,1,'DataSourceSelection - Periph'!$C$25)))</f>
        <v>4.0637999999999996</v>
      </c>
      <c r="M20" s="128">
        <f ca="1">INDIRECT((ADDRESS(5+$B20,5,1,1,'DataSourceSelection - Periph'!$C$25)))</f>
        <v>1332.9263999999998</v>
      </c>
      <c r="N20" s="10"/>
      <c r="P20" s="25">
        <v>2</v>
      </c>
      <c r="Q20" s="55" t="str">
        <f ca="1">IF(INDIRECT((ADDRESS(5+$B20,2,1,1,'DataSourceSelection - Periph'!$C$30)))="", "", INDIRECT((ADDRESS(5+$B20,2,1,1,'DataSourceSelection - Periph'!$C$30))))</f>
        <v xml:space="preserve">Preparation for Recieve </v>
      </c>
      <c r="R20" s="126">
        <f ca="1">INDIRECT((ADDRESS(5+$B20,3,1,1,'DataSourceSelection - Periph'!$C$30)))</f>
        <v>394.22222222222223</v>
      </c>
      <c r="S20" s="126">
        <f ca="1">INDIRECT((ADDRESS(5+$B20,4,1,1,'DataSourceSelection - Periph'!$C$30)))</f>
        <v>3.5755222222222218</v>
      </c>
      <c r="T20" s="128">
        <f ca="1">INDIRECT((ADDRESS(5+$B20,5,1,1,'DataSourceSelection - Periph'!$C$30)))</f>
        <v>1409.5503160493827</v>
      </c>
      <c r="U20" s="10"/>
      <c r="X20" s="40" t="str">
        <f>J16</f>
        <v>Long Range (S8) Advertising</v>
      </c>
      <c r="Y20" s="33">
        <v>2</v>
      </c>
      <c r="Z20" s="34">
        <v>0</v>
      </c>
      <c r="AA20" s="47">
        <f ca="1">K39</f>
        <v>535.04317126222236</v>
      </c>
      <c r="AB20" s="61" t="s">
        <v>38</v>
      </c>
      <c r="AC20" s="71">
        <f>Y20/24+Z20/60/24</f>
        <v>8.3333333333333329E-2</v>
      </c>
    </row>
    <row r="21" spans="2:29" ht="12" customHeight="1" x14ac:dyDescent="0.4">
      <c r="B21" s="25">
        <v>3</v>
      </c>
      <c r="C21" s="55" t="str">
        <f ca="1">IF(INDIRECT((ADDRESS(5+$B21,2,1,1,'DataSourceSelection - Periph'!$C$20)))="", "", INDIRECT((ADDRESS(5+$B21,2,1,1,'DataSourceSelection - Periph'!$C$20))))</f>
        <v>Transmit (TX)</v>
      </c>
      <c r="D21" s="126">
        <f ca="1">INDIRECT((ADDRESS(5+$B21,3,1,1,'DataSourceSelection - Periph'!$C$20)))</f>
        <v>176.4975</v>
      </c>
      <c r="E21" s="126">
        <f ca="1">INDIRECT((ADDRESS(5+$B21,4,1,1,'DataSourceSelection - Periph'!$C$20)))</f>
        <v>7.4746973333333324</v>
      </c>
      <c r="F21" s="128">
        <f ca="1">INDIRECT((ADDRESS(5+$B21,5,1,1,'DataSourceSelection - Periph'!$C$20)))</f>
        <v>1319.2653925899999</v>
      </c>
      <c r="G21" s="10"/>
      <c r="H21" s="25"/>
      <c r="I21" s="25">
        <v>3</v>
      </c>
      <c r="J21" s="55" t="str">
        <f ca="1">IF(INDIRECT((ADDRESS(5+$B21,2,1,1,'DataSourceSelection - Periph'!$C$25)))="", "", INDIRECT((ADDRESS(5+$B21,2,1,1,'DataSourceSelection - Periph'!$C$25))))</f>
        <v>Transmit (TX)</v>
      </c>
      <c r="K21" s="126">
        <f ca="1">INDIRECT((ADDRESS(5+$B21,3,1,1,'DataSourceSelection - Periph'!$C$25)))</f>
        <v>1118.7</v>
      </c>
      <c r="L21" s="126">
        <f ca="1">INDIRECT((ADDRESS(5+$B21,4,1,1,'DataSourceSelection - Periph'!$C$25)))</f>
        <v>7.0700999999999992</v>
      </c>
      <c r="M21" s="128">
        <f ca="1">INDIRECT((ADDRESS(5+$B21,5,1,1,'DataSourceSelection - Periph'!$C$25)))</f>
        <v>7909.3208699999996</v>
      </c>
      <c r="N21" s="10"/>
      <c r="P21" s="25">
        <v>3</v>
      </c>
      <c r="Q21" s="55" t="str">
        <f ca="1">IF(INDIRECT((ADDRESS(5+$B21,2,1,1,'DataSourceSelection - Periph'!$C$30)))="", "", INDIRECT((ADDRESS(5+$B21,2,1,1,'DataSourceSelection - Periph'!$C$30))))</f>
        <v>Recieve (RX)</v>
      </c>
      <c r="R21" s="126">
        <f ca="1">INDIRECT((ADDRESS(5+$B21,3,1,1,'DataSourceSelection - Periph'!$C$30)))</f>
        <v>461.33333333333331</v>
      </c>
      <c r="S21" s="126">
        <f ca="1">INDIRECT((ADDRESS(5+$B21,4,1,1,'DataSourceSelection - Periph'!$C$30)))</f>
        <v>6.6891000000000007</v>
      </c>
      <c r="T21" s="128">
        <f ca="1">INDIRECT((ADDRESS(5+$B21,5,1,1,'DataSourceSelection - Periph'!$C$30)))</f>
        <v>3085.9048000000003</v>
      </c>
      <c r="U21" s="10"/>
      <c r="X21" s="40" t="str">
        <f>Q16</f>
        <v>Connected as Peripheral</v>
      </c>
      <c r="Y21" s="33">
        <v>4</v>
      </c>
      <c r="Z21" s="34">
        <v>0</v>
      </c>
      <c r="AA21" s="47">
        <f ca="1">R39</f>
        <v>120.3103558334568</v>
      </c>
      <c r="AB21" s="61" t="s">
        <v>38</v>
      </c>
      <c r="AC21" s="71">
        <f>Y21/24+Z21/60/24</f>
        <v>0.16666666666666666</v>
      </c>
    </row>
    <row r="22" spans="2:29" ht="11.25" customHeight="1" x14ac:dyDescent="0.4">
      <c r="B22" s="25">
        <v>4</v>
      </c>
      <c r="C22" s="55" t="str">
        <f ca="1">IF(INDIRECT((ADDRESS(5+$B22,2,1,1,'DataSourceSelection - Periph'!$C$20)))="", "", INDIRECT((ADDRESS(5+$B22,2,1,1,'DataSourceSelection - Periph'!$C$20))))</f>
        <v>TX to RX transition</v>
      </c>
      <c r="D22" s="126">
        <f ca="1">INDIRECT((ADDRESS(5+$B22,3,1,1,'DataSourceSelection - Periph'!$C$20)))</f>
        <v>131</v>
      </c>
      <c r="E22" s="126">
        <f ca="1">INDIRECT((ADDRESS(5+$B22,4,1,1,'DataSourceSelection - Periph'!$C$20)))</f>
        <v>4.6730444444444457</v>
      </c>
      <c r="F22" s="128">
        <f ca="1">INDIRECT((ADDRESS(5+$B22,5,1,1,'DataSourceSelection - Periph'!$C$20)))</f>
        <v>612.16882222222239</v>
      </c>
      <c r="G22" s="10"/>
      <c r="H22" s="25"/>
      <c r="I22" s="25">
        <v>4</v>
      </c>
      <c r="J22" s="55" t="str">
        <f ca="1">IF(INDIRECT((ADDRESS(5+$B22,2,1,1,'DataSourceSelection - Periph'!$C$25)))="", "", INDIRECT((ADDRESS(5+$B22,2,1,1,'DataSourceSelection - Periph'!$C$25))))</f>
        <v>TX to TX transition</v>
      </c>
      <c r="K22" s="126">
        <f ca="1">INDIRECT((ADDRESS(5+$B22,3,1,1,'DataSourceSelection - Periph'!$C$25)))</f>
        <v>570</v>
      </c>
      <c r="L22" s="126">
        <f ca="1">INDIRECT((ADDRESS(5+$B22,4,1,1,'DataSourceSelection - Periph'!$C$25)))</f>
        <v>3.6073666666666671</v>
      </c>
      <c r="M22" s="128">
        <f ca="1">INDIRECT((ADDRESS(5+$B22,5,1,1,'DataSourceSelection - Periph'!$C$25)))</f>
        <v>2056.1990000000001</v>
      </c>
      <c r="N22" s="10"/>
      <c r="P22" s="25">
        <v>4</v>
      </c>
      <c r="Q22" s="55" t="str">
        <f ca="1">IF(INDIRECT((ADDRESS(5+$B22,2,1,1,'DataSourceSelection - Periph'!$C$30)))="", "", INDIRECT((ADDRESS(5+$B22,2,1,1,'DataSourceSelection - Periph'!$C$30))))</f>
        <v>RX to TX transition</v>
      </c>
      <c r="R22" s="126">
        <f ca="1">INDIRECT((ADDRESS(5+$B22,3,1,1,'DataSourceSelection - Periph'!$C$30)))</f>
        <v>109.22222222222223</v>
      </c>
      <c r="S22" s="126">
        <f ca="1">INDIRECT((ADDRESS(5+$B22,4,1,1,'DataSourceSelection - Periph'!$C$30)))</f>
        <v>5.2093222222222222</v>
      </c>
      <c r="T22" s="128">
        <f ca="1">INDIRECT((ADDRESS(5+$B22,5,1,1,'DataSourceSelection - Periph'!$C$30)))</f>
        <v>568.97374938271605</v>
      </c>
      <c r="U22" s="10"/>
      <c r="X22" s="40" t="s">
        <v>26</v>
      </c>
      <c r="Y22" s="34">
        <v>1</v>
      </c>
      <c r="Z22" s="34">
        <v>0</v>
      </c>
      <c r="AA22" s="47">
        <v>100</v>
      </c>
      <c r="AB22" s="61" t="s">
        <v>38</v>
      </c>
      <c r="AC22" s="71">
        <f>Y22/24+Z22/60/24</f>
        <v>4.1666666666666664E-2</v>
      </c>
    </row>
    <row r="23" spans="2:29" ht="12" customHeight="1" x14ac:dyDescent="0.4">
      <c r="B23" s="25">
        <v>5</v>
      </c>
      <c r="C23" s="55" t="str">
        <f ca="1">IF(INDIRECT((ADDRESS(5+$B23,2,1,1,'DataSourceSelection - Periph'!$C$20)))="", "", INDIRECT((ADDRESS(5+$B23,2,1,1,'DataSourceSelection - Periph'!$C$20))))</f>
        <v>Recieve (RX)</v>
      </c>
      <c r="D23" s="126">
        <f ca="1">INDIRECT((ADDRESS(5+$B23,3,1,1,'DataSourceSelection - Periph'!$C$20)))</f>
        <v>104.11111111111111</v>
      </c>
      <c r="E23" s="126">
        <f ca="1">INDIRECT((ADDRESS(5+$B23,4,1,1,'DataSourceSelection - Periph'!$C$20)))</f>
        <v>6.636966666666666</v>
      </c>
      <c r="F23" s="128">
        <f ca="1">INDIRECT((ADDRESS(5+$B23,5,1,1,'DataSourceSelection - Periph'!$C$20)))</f>
        <v>690.98197407407406</v>
      </c>
      <c r="G23" s="10"/>
      <c r="H23" s="25"/>
      <c r="I23" s="25">
        <v>5</v>
      </c>
      <c r="J23" s="55" t="str">
        <f ca="1">IF(INDIRECT((ADDRESS(5+$B23,2,1,1,'DataSourceSelection - Periph'!$C$25)))="", "", INDIRECT((ADDRESS(5+$B23,2,1,1,'DataSourceSelection - Periph'!$C$25))))</f>
        <v>Transmit (TX)</v>
      </c>
      <c r="K23" s="126">
        <f ca="1">INDIRECT((ADDRESS(5+$B23,3,1,1,'DataSourceSelection - Periph'!$C$25)))</f>
        <v>1118.7</v>
      </c>
      <c r="L23" s="126">
        <f ca="1">INDIRECT((ADDRESS(5+$B23,4,1,1,'DataSourceSelection - Periph'!$C$25)))</f>
        <v>7.0700999999999992</v>
      </c>
      <c r="M23" s="128">
        <f ca="1">INDIRECT((ADDRESS(5+$B23,5,1,1,'DataSourceSelection - Periph'!$C$25)))</f>
        <v>7909.3208699999996</v>
      </c>
      <c r="N23" s="10"/>
      <c r="P23" s="25">
        <v>5</v>
      </c>
      <c r="Q23" s="55" t="str">
        <f ca="1">IF(INDIRECT((ADDRESS(5+$B23,2,1,1,'DataSourceSelection - Periph'!$C$30)))="", "", INDIRECT((ADDRESS(5+$B23,2,1,1,'DataSourceSelection - Periph'!$C$30))))</f>
        <v>Transmit (TX)</v>
      </c>
      <c r="R23" s="126">
        <f ca="1">INDIRECT((ADDRESS(5+$B23,3,1,1,'DataSourceSelection - Periph'!$C$30)))</f>
        <v>84.39</v>
      </c>
      <c r="S23" s="126">
        <f ca="1">INDIRECT((ADDRESS(5+$B23,4,1,1,'DataSourceSelection - Periph'!$C$30)))</f>
        <v>7.3402000000000003</v>
      </c>
      <c r="T23" s="128">
        <f ca="1">INDIRECT((ADDRESS(5+$B23,5,1,1,'DataSourceSelection - Periph'!$C$30)))</f>
        <v>619.43947800000001</v>
      </c>
      <c r="U23" s="10"/>
      <c r="X23" s="45" t="s">
        <v>11</v>
      </c>
      <c r="Y23" s="161">
        <f>24-SUM(Y19:Y22)-IF(SUM(Z19:Z22)=0,0,(SUM(Z19:Z22)+Z23)/60)</f>
        <v>15</v>
      </c>
      <c r="Z23" s="176">
        <f>MOD(60-MOD(SUM(Z19:Z22),60),60)</f>
        <v>0</v>
      </c>
      <c r="AA23" s="48">
        <v>0.105</v>
      </c>
      <c r="AB23" s="61" t="s">
        <v>38</v>
      </c>
      <c r="AC23" s="72">
        <f>(1-SUM(AC19:AC22))</f>
        <v>0.625</v>
      </c>
    </row>
    <row r="24" spans="2:29" ht="15" customHeight="1" x14ac:dyDescent="0.4">
      <c r="B24" s="25">
        <v>6</v>
      </c>
      <c r="C24" s="55" t="str">
        <f ca="1">IF(INDIRECT((ADDRESS(5+$B24,2,1,1,'DataSourceSelection - Periph'!$C$20)))="", "", INDIRECT((ADDRESS(5+$B24,2,1,1,'DataSourceSelection - Periph'!$C$20))))</f>
        <v>RX to TX transition</v>
      </c>
      <c r="D24" s="126">
        <f ca="1">INDIRECT((ADDRESS(5+$B24,3,1,1,'DataSourceSelection - Periph'!$C$20)))</f>
        <v>286.88888888888891</v>
      </c>
      <c r="E24" s="126">
        <f ca="1">INDIRECT((ADDRESS(5+$B24,4,1,1,'DataSourceSelection - Periph'!$C$20)))</f>
        <v>3.4826444444444444</v>
      </c>
      <c r="F24" s="128">
        <f ca="1">INDIRECT((ADDRESS(5+$B24,5,1,1,'DataSourceSelection - Periph'!$C$20)))</f>
        <v>999.1319950617285</v>
      </c>
      <c r="G24" s="10"/>
      <c r="H24" s="25"/>
      <c r="I24" s="25">
        <v>6</v>
      </c>
      <c r="J24" s="55" t="str">
        <f ca="1">IF(INDIRECT((ADDRESS(5+$B24,2,1,1,'DataSourceSelection - Periph'!$C$25)))="", "", INDIRECT((ADDRESS(5+$B24,2,1,1,'DataSourceSelection - Periph'!$C$25))))</f>
        <v>TX to TX transition</v>
      </c>
      <c r="K24" s="126">
        <f ca="1">INDIRECT((ADDRESS(5+$B24,3,1,1,'DataSourceSelection - Periph'!$C$25)))</f>
        <v>570</v>
      </c>
      <c r="L24" s="126">
        <f ca="1">INDIRECT((ADDRESS(5+$B24,4,1,1,'DataSourceSelection - Periph'!$C$25)))</f>
        <v>3.6073666666666671</v>
      </c>
      <c r="M24" s="128">
        <f ca="1">INDIRECT((ADDRESS(5+$B24,5,1,1,'DataSourceSelection - Periph'!$C$25)))</f>
        <v>2056.1990000000001</v>
      </c>
      <c r="N24" s="10"/>
      <c r="P24" s="25">
        <v>6</v>
      </c>
      <c r="Q24" s="55" t="str">
        <f ca="1">IF(INDIRECT((ADDRESS(5+$B24,2,1,1,'DataSourceSelection - Periph'!$C$30)))="", "", INDIRECT((ADDRESS(5+$B24,2,1,1,'DataSourceSelection - Periph'!$C$30))))</f>
        <v>Post-Processing</v>
      </c>
      <c r="R24" s="126">
        <f ca="1">INDIRECT((ADDRESS(5+$B24,3,1,1,'DataSourceSelection - Periph'!$C$30)))</f>
        <v>853.44444444444446</v>
      </c>
      <c r="S24" s="126">
        <f ca="1">INDIRECT((ADDRESS(5+$B24,4,1,1,'DataSourceSelection - Periph'!$C$30)))</f>
        <v>2.6242222222222225</v>
      </c>
      <c r="T24" s="128">
        <f ca="1">INDIRECT((ADDRESS(5+$B24,5,1,1,'DataSourceSelection - Periph'!$C$30)))</f>
        <v>2239.6278765432103</v>
      </c>
      <c r="U24" s="10"/>
      <c r="X24" s="73" t="s">
        <v>30</v>
      </c>
      <c r="Y24" s="56"/>
      <c r="Z24" s="56"/>
      <c r="AA24" s="57">
        <f ca="1">SUMPRODUCT(AA19:AA23,AC19:AC23)</f>
        <v>83.53813524042306</v>
      </c>
      <c r="AB24" s="56" t="s">
        <v>38</v>
      </c>
      <c r="AC24" s="74"/>
    </row>
    <row r="25" spans="2:29" x14ac:dyDescent="0.4">
      <c r="B25" s="25">
        <v>7</v>
      </c>
      <c r="C25" s="55" t="str">
        <f ca="1">IF(INDIRECT((ADDRESS(5+$B25,2,1,1,'DataSourceSelection - Periph'!$C$20)))="", "", INDIRECT((ADDRESS(5+$B25,2,1,1,'DataSourceSelection - Periph'!$C$20))))</f>
        <v>Transmit (TX)</v>
      </c>
      <c r="D25" s="126">
        <f ca="1">INDIRECT((ADDRESS(5+$B25,3,1,1,'DataSourceSelection - Periph'!$C$20)))</f>
        <v>176.4975</v>
      </c>
      <c r="E25" s="126">
        <f ca="1">INDIRECT((ADDRESS(5+$B25,4,1,1,'DataSourceSelection - Periph'!$C$20)))</f>
        <v>7.4746973333333324</v>
      </c>
      <c r="F25" s="128">
        <f ca="1">INDIRECT((ADDRESS(5+$B25,5,1,1,'DataSourceSelection - Periph'!$C$20)))</f>
        <v>1319.2653925899999</v>
      </c>
      <c r="G25" s="10"/>
      <c r="H25" s="25"/>
      <c r="I25" s="25">
        <v>7</v>
      </c>
      <c r="J25" s="55" t="str">
        <f ca="1">IF(INDIRECT((ADDRESS(5+$B25,2,1,1,'DataSourceSelection - Periph'!$C$25)))="", "", INDIRECT((ADDRESS(5+$B25,2,1,1,'DataSourceSelection - Periph'!$C$25))))</f>
        <v>Transmit (TX)</v>
      </c>
      <c r="K25" s="126">
        <f ca="1">INDIRECT((ADDRESS(5+$B25,3,1,1,'DataSourceSelection - Periph'!$C$25)))</f>
        <v>1118.7</v>
      </c>
      <c r="L25" s="126">
        <f ca="1">INDIRECT((ADDRESS(5+$B25,4,1,1,'DataSourceSelection - Periph'!$C$25)))</f>
        <v>7.0700999999999992</v>
      </c>
      <c r="M25" s="128">
        <f ca="1">INDIRECT((ADDRESS(5+$B25,5,1,1,'DataSourceSelection - Periph'!$C$25)))</f>
        <v>7909.3208699999996</v>
      </c>
      <c r="N25" s="10"/>
      <c r="P25" s="25">
        <v>7</v>
      </c>
      <c r="Q25" s="55" t="str">
        <f ca="1">IF(INDIRECT((ADDRESS(5+$B25,2,1,1,'DataSourceSelection - Periph'!$C$30)))="", "", INDIRECT((ADDRESS(5+$B25,2,1,1,'DataSourceSelection - Periph'!$C$30))))</f>
        <v/>
      </c>
      <c r="R25" s="126">
        <f ca="1">INDIRECT((ADDRESS(5+$B25,3,1,1,'DataSourceSelection - Periph'!$C$30)))</f>
        <v>0</v>
      </c>
      <c r="S25" s="126">
        <f ca="1">INDIRECT((ADDRESS(5+$B25,4,1,1,'DataSourceSelection - Periph'!$C$30)))</f>
        <v>0</v>
      </c>
      <c r="T25" s="128">
        <f ca="1">INDIRECT((ADDRESS(5+$B25,5,1,1,'DataSourceSelection - Periph'!$C$30)))</f>
        <v>0</v>
      </c>
      <c r="U25" s="10"/>
      <c r="X25" s="43"/>
      <c r="Y25" s="38"/>
      <c r="Z25" s="38"/>
      <c r="AA25" s="51">
        <f ca="1">D4/(AA24/1000)</f>
        <v>2693.3806859878928</v>
      </c>
      <c r="AB25" s="38" t="s">
        <v>18</v>
      </c>
      <c r="AC25" s="44"/>
    </row>
    <row r="26" spans="2:29" x14ac:dyDescent="0.4">
      <c r="B26" s="25">
        <v>8</v>
      </c>
      <c r="C26" s="55" t="str">
        <f ca="1">IF(INDIRECT((ADDRESS(5+$B26,2,1,1,'DataSourceSelection - Periph'!$C$20)))="", "", INDIRECT((ADDRESS(5+$B26,2,1,1,'DataSourceSelection - Periph'!$C$20))))</f>
        <v>TX to RX transition</v>
      </c>
      <c r="D26" s="126">
        <f ca="1">INDIRECT((ADDRESS(5+$B26,3,1,1,'DataSourceSelection - Periph'!$C$20)))</f>
        <v>130.77777777777777</v>
      </c>
      <c r="E26" s="126">
        <f ca="1">INDIRECT((ADDRESS(5+$B26,4,1,1,'DataSourceSelection - Periph'!$C$20)))</f>
        <v>4.7019555555555561</v>
      </c>
      <c r="F26" s="128">
        <f ca="1">INDIRECT((ADDRESS(5+$B26,5,1,1,'DataSourceSelection - Periph'!$C$20)))</f>
        <v>614.91129876543209</v>
      </c>
      <c r="G26" s="10"/>
      <c r="H26" s="25"/>
      <c r="I26" s="25">
        <v>8</v>
      </c>
      <c r="J26" s="55" t="str">
        <f ca="1">IF(INDIRECT((ADDRESS(5+$B26,2,1,1,'DataSourceSelection - Periph'!$C$25)))="", "", INDIRECT((ADDRESS(5+$B26,2,1,1,'DataSourceSelection - Periph'!$C$25))))</f>
        <v>TX to TX transition</v>
      </c>
      <c r="K26" s="126">
        <f ca="1">INDIRECT((ADDRESS(5+$B26,3,1,1,'DataSourceSelection - Periph'!$C$25)))</f>
        <v>570</v>
      </c>
      <c r="L26" s="126">
        <f ca="1">INDIRECT((ADDRESS(5+$B26,4,1,1,'DataSourceSelection - Periph'!$C$25)))</f>
        <v>3.6073666666666671</v>
      </c>
      <c r="M26" s="128">
        <f ca="1">INDIRECT((ADDRESS(5+$B26,5,1,1,'DataSourceSelection - Periph'!$C$25)))</f>
        <v>2056.1990000000001</v>
      </c>
      <c r="N26" s="10"/>
      <c r="P26" s="25">
        <v>8</v>
      </c>
      <c r="Q26" s="55" t="str">
        <f ca="1">IF(INDIRECT((ADDRESS(5+$B26,2,1,1,'DataSourceSelection - Periph'!$C$30)))="", "", INDIRECT((ADDRESS(5+$B26,2,1,1,'DataSourceSelection - Periph'!$C$30))))</f>
        <v/>
      </c>
      <c r="R26" s="126">
        <f ca="1">INDIRECT((ADDRESS(5+$B26,3,1,1,'DataSourceSelection - Periph'!$C$30)))</f>
        <v>0</v>
      </c>
      <c r="S26" s="126">
        <f ca="1">INDIRECT((ADDRESS(5+$B26,4,1,1,'DataSourceSelection - Periph'!$C$30)))</f>
        <v>0</v>
      </c>
      <c r="T26" s="128">
        <f ca="1">INDIRECT((ADDRESS(5+$B26,5,1,1,'DataSourceSelection - Periph'!$C$30)))</f>
        <v>0</v>
      </c>
      <c r="U26" s="10"/>
      <c r="X26" s="42" t="s">
        <v>20</v>
      </c>
      <c r="Y26" s="38"/>
      <c r="Z26" s="38"/>
      <c r="AA26" s="51">
        <f ca="1">AA25/24</f>
        <v>112.22419524949554</v>
      </c>
      <c r="AB26" s="38" t="s">
        <v>21</v>
      </c>
      <c r="AC26" s="44"/>
    </row>
    <row r="27" spans="2:29" x14ac:dyDescent="0.4">
      <c r="B27" s="25">
        <v>9</v>
      </c>
      <c r="C27" s="55" t="str">
        <f ca="1">IF(INDIRECT((ADDRESS(5+$B27,2,1,1,'DataSourceSelection - Periph'!$C$20)))="", "", INDIRECT((ADDRESS(5+$B27,2,1,1,'DataSourceSelection - Periph'!$C$20))))</f>
        <v>Recieve (RX)</v>
      </c>
      <c r="D27" s="126">
        <f ca="1">INDIRECT((ADDRESS(5+$B27,3,1,1,'DataSourceSelection - Periph'!$C$20)))</f>
        <v>108.11111111111111</v>
      </c>
      <c r="E27" s="126">
        <f ca="1">INDIRECT((ADDRESS(5+$B27,4,1,1,'DataSourceSelection - Periph'!$C$20)))</f>
        <v>6.6446999999999994</v>
      </c>
      <c r="F27" s="128">
        <f ca="1">INDIRECT((ADDRESS(5+$B27,5,1,1,'DataSourceSelection - Periph'!$C$20)))</f>
        <v>718.36590000000001</v>
      </c>
      <c r="G27" s="10"/>
      <c r="H27" s="25"/>
      <c r="I27" s="25">
        <v>9</v>
      </c>
      <c r="J27" s="55" t="str">
        <f ca="1">IF(INDIRECT((ADDRESS(5+$B27,2,1,1,'DataSourceSelection - Periph'!$C$25)))="", "", INDIRECT((ADDRESS(5+$B27,2,1,1,'DataSourceSelection - Periph'!$C$25))))</f>
        <v>Transmit (TX) – on secondary channel</v>
      </c>
      <c r="K27" s="126">
        <f ca="1">INDIRECT((ADDRESS(5+$B27,3,1,1,'DataSourceSelection - Periph'!$C$25)))</f>
        <v>1653.2199999999998</v>
      </c>
      <c r="L27" s="126">
        <f ca="1">INDIRECT((ADDRESS(5+$B27,4,1,1,'DataSourceSelection - Periph'!$C$25)))</f>
        <v>7.0700999999999992</v>
      </c>
      <c r="M27" s="128">
        <f ca="1">INDIRECT((ADDRESS(5+$B27,5,1,1,'DataSourceSelection - Periph'!$C$25)))</f>
        <v>11688.430721999997</v>
      </c>
      <c r="N27" s="10"/>
      <c r="P27" s="25">
        <v>9</v>
      </c>
      <c r="Q27" s="55" t="str">
        <f ca="1">IF(INDIRECT((ADDRESS(5+$B27,2,1,1,'DataSourceSelection - Periph'!$C$30)))="", "", INDIRECT((ADDRESS(5+$B27,2,1,1,'DataSourceSelection - Periph'!$C$30))))</f>
        <v/>
      </c>
      <c r="R27" s="126">
        <f ca="1">INDIRECT((ADDRESS(5+$B27,3,1,1,'DataSourceSelection - Periph'!$C$30)))</f>
        <v>0</v>
      </c>
      <c r="S27" s="126">
        <f ca="1">INDIRECT((ADDRESS(5+$B27,4,1,1,'DataSourceSelection - Periph'!$C$30)))</f>
        <v>0</v>
      </c>
      <c r="T27" s="128">
        <f ca="1">INDIRECT((ADDRESS(5+$B27,5,1,1,'DataSourceSelection - Periph'!$C$30)))</f>
        <v>0</v>
      </c>
      <c r="U27" s="10"/>
      <c r="X27" s="75"/>
      <c r="Y27" s="76"/>
      <c r="Z27" s="76"/>
      <c r="AA27" s="77">
        <f ca="1">AA26/365</f>
        <v>0.30746354862875491</v>
      </c>
      <c r="AB27" s="76" t="s">
        <v>22</v>
      </c>
      <c r="AC27" s="78"/>
    </row>
    <row r="28" spans="2:29" x14ac:dyDescent="0.4">
      <c r="B28" s="25">
        <v>10</v>
      </c>
      <c r="C28" s="55" t="str">
        <f ca="1">IF(INDIRECT((ADDRESS(5+$B28,2,1,1,'DataSourceSelection - Periph'!$C$20)))="", "", INDIRECT((ADDRESS(5+$B28,2,1,1,'DataSourceSelection - Periph'!$C$20))))</f>
        <v>RX to TX transition</v>
      </c>
      <c r="D28" s="126">
        <f ca="1">INDIRECT((ADDRESS(5+$B28,3,1,1,'DataSourceSelection - Periph'!$C$20)))</f>
        <v>286.88888888888891</v>
      </c>
      <c r="E28" s="126">
        <f ca="1">INDIRECT((ADDRESS(5+$B28,4,1,1,'DataSourceSelection - Periph'!$C$20)))</f>
        <v>3.5186333333333328</v>
      </c>
      <c r="F28" s="128">
        <f ca="1">INDIRECT((ADDRESS(5+$B28,5,1,1,'DataSourceSelection - Periph'!$C$20)))</f>
        <v>1009.4568074074074</v>
      </c>
      <c r="G28" s="10"/>
      <c r="H28" s="25"/>
      <c r="I28" s="25">
        <v>10</v>
      </c>
      <c r="J28" s="55" t="str">
        <f ca="1">IF(INDIRECT((ADDRESS(5+$B28,2,1,1,'DataSourceSelection - Periph'!$C$25)))="", "", INDIRECT((ADDRESS(5+$B28,2,1,1,'DataSourceSelection - Periph'!$C$25))))</f>
        <v>TX to RX transition</v>
      </c>
      <c r="K28" s="126">
        <f ca="1">INDIRECT((ADDRESS(5+$B28,3,1,1,'DataSourceSelection - Periph'!$C$25)))</f>
        <v>145.56</v>
      </c>
      <c r="L28" s="126">
        <f ca="1">INDIRECT((ADDRESS(5+$B28,4,1,1,'DataSourceSelection - Periph'!$C$25)))</f>
        <v>5.8626666666666667</v>
      </c>
      <c r="M28" s="128">
        <f ca="1">INDIRECT((ADDRESS(5+$B28,5,1,1,'DataSourceSelection - Periph'!$C$25)))</f>
        <v>853.36976000000004</v>
      </c>
      <c r="N28" s="10"/>
      <c r="P28" s="25">
        <v>10</v>
      </c>
      <c r="Q28" s="55" t="str">
        <f ca="1">IF(INDIRECT((ADDRESS(5+$B28,2,1,1,'DataSourceSelection - Periph'!$C$30)))="", "", INDIRECT((ADDRESS(5+$B28,2,1,1,'DataSourceSelection - Periph'!$C$30))))</f>
        <v/>
      </c>
      <c r="R28" s="126">
        <f ca="1">INDIRECT((ADDRESS(5+$B28,3,1,1,'DataSourceSelection - Periph'!$C$30)))</f>
        <v>0</v>
      </c>
      <c r="S28" s="126">
        <f ca="1">INDIRECT((ADDRESS(5+$B28,4,1,1,'DataSourceSelection - Periph'!$C$30)))</f>
        <v>0</v>
      </c>
      <c r="T28" s="128">
        <f ca="1">INDIRECT((ADDRESS(5+$B28,5,1,1,'DataSourceSelection - Periph'!$C$30)))</f>
        <v>0</v>
      </c>
      <c r="U28" s="10"/>
      <c r="X28" s="24"/>
      <c r="Y28" s="8"/>
      <c r="Z28" s="8"/>
      <c r="AA28" s="8"/>
      <c r="AB28" s="8"/>
      <c r="AC28" s="3"/>
    </row>
    <row r="29" spans="2:29" ht="12" customHeight="1" x14ac:dyDescent="0.4">
      <c r="B29" s="25">
        <v>11</v>
      </c>
      <c r="C29" s="55" t="str">
        <f ca="1">IF(INDIRECT((ADDRESS(5+$B29,2,1,1,'DataSourceSelection - Periph'!$C$20)))="", "", INDIRECT((ADDRESS(5+$B29,2,1,1,'DataSourceSelection - Periph'!$C$20))))</f>
        <v>Transmit (TX)</v>
      </c>
      <c r="D29" s="126">
        <f ca="1">INDIRECT((ADDRESS(5+$B29,3,1,1,'DataSourceSelection - Periph'!$C$20)))</f>
        <v>176.4975</v>
      </c>
      <c r="E29" s="126">
        <f ca="1">INDIRECT((ADDRESS(5+$B29,4,1,1,'DataSourceSelection - Periph'!$C$20)))</f>
        <v>7.4746973333333324</v>
      </c>
      <c r="F29" s="128">
        <f ca="1">INDIRECT((ADDRESS(5+$B29,5,1,1,'DataSourceSelection - Periph'!$C$20)))</f>
        <v>1319.2653925899999</v>
      </c>
      <c r="G29" s="10"/>
      <c r="H29" s="25"/>
      <c r="I29" s="25">
        <v>11</v>
      </c>
      <c r="J29" s="55" t="str">
        <f ca="1">IF(INDIRECT((ADDRESS(5+$B29,2,1,1,'DataSourceSelection - Periph'!$C$25)))="", "", INDIRECT((ADDRESS(5+$B29,2,1,1,'DataSourceSelection - Periph'!$C$25))))</f>
        <v>Receive (RX) – on secondary channel</v>
      </c>
      <c r="K29" s="126">
        <f ca="1">INDIRECT((ADDRESS(5+$B29,3,1,1,'DataSourceSelection - Periph'!$C$25)))</f>
        <v>456.78</v>
      </c>
      <c r="L29" s="126">
        <f ca="1">INDIRECT((ADDRESS(5+$B29,4,1,1,'DataSourceSelection - Periph'!$C$25)))</f>
        <v>6.7313444444444439</v>
      </c>
      <c r="M29" s="128">
        <f ca="1">INDIRECT((ADDRESS(5+$B29,5,1,1,'DataSourceSelection - Periph'!$C$25)))</f>
        <v>3074.7435153333331</v>
      </c>
      <c r="N29" s="10"/>
      <c r="P29" s="25">
        <v>11</v>
      </c>
      <c r="Q29" s="55" t="str">
        <f ca="1">IF(INDIRECT((ADDRESS(5+$B29,2,1,1,'DataSourceSelection - Periph'!$C$30)))="", "", INDIRECT((ADDRESS(5+$B29,2,1,1,'DataSourceSelection - Periph'!$C$30))))</f>
        <v/>
      </c>
      <c r="R29" s="126">
        <f ca="1">INDIRECT((ADDRESS(5+$B29,3,1,1,'DataSourceSelection - Periph'!$C$30)))</f>
        <v>0</v>
      </c>
      <c r="S29" s="126">
        <f ca="1">INDIRECT((ADDRESS(5+$B29,4,1,1,'DataSourceSelection - Periph'!$C$30)))</f>
        <v>0</v>
      </c>
      <c r="T29" s="128">
        <f ca="1">INDIRECT((ADDRESS(5+$B29,5,1,1,'DataSourceSelection - Periph'!$C$30)))</f>
        <v>0</v>
      </c>
      <c r="U29" s="10"/>
      <c r="X29" s="25"/>
      <c r="Y29" s="2"/>
      <c r="Z29" s="2"/>
      <c r="AA29" s="2"/>
      <c r="AB29" s="2"/>
      <c r="AC29" s="10"/>
    </row>
    <row r="30" spans="2:29" x14ac:dyDescent="0.4">
      <c r="B30" s="25">
        <v>12</v>
      </c>
      <c r="C30" s="55" t="str">
        <f ca="1">IF(INDIRECT((ADDRESS(5+$B30,2,1,1,'DataSourceSelection - Periph'!$C$20)))="", "", INDIRECT((ADDRESS(5+$B30,2,1,1,'DataSourceSelection - Periph'!$C$20))))</f>
        <v>TX to RX transition</v>
      </c>
      <c r="D30" s="126">
        <f ca="1">INDIRECT((ADDRESS(5+$B30,3,1,1,'DataSourceSelection - Periph'!$C$20)))</f>
        <v>131.22222222222223</v>
      </c>
      <c r="E30" s="126">
        <f ca="1">INDIRECT((ADDRESS(5+$B30,4,1,1,'DataSourceSelection - Periph'!$C$20)))</f>
        <v>4.7165777777777764</v>
      </c>
      <c r="F30" s="128">
        <f ca="1">INDIRECT((ADDRESS(5+$B30,5,1,1,'DataSourceSelection - Periph'!$C$20)))</f>
        <v>618.91981728395047</v>
      </c>
      <c r="G30" s="10"/>
      <c r="H30" s="25"/>
      <c r="I30" s="25">
        <v>12</v>
      </c>
      <c r="J30" s="55" t="str">
        <f ca="1">IF(INDIRECT((ADDRESS(5+$B30,2,1,1,'DataSourceSelection - Periph'!$C$25)))="", "", INDIRECT((ADDRESS(5+$B30,2,1,1,'DataSourceSelection - Periph'!$C$25))))</f>
        <v>Post-Processing</v>
      </c>
      <c r="K30" s="126">
        <f ca="1">INDIRECT((ADDRESS(5+$B30,3,1,1,'DataSourceSelection - Periph'!$C$25)))</f>
        <v>887.44</v>
      </c>
      <c r="L30" s="126">
        <f ca="1">INDIRECT((ADDRESS(5+$B30,4,1,1,'DataSourceSelection - Periph'!$C$25)))</f>
        <v>2.8241111111111112</v>
      </c>
      <c r="M30" s="128">
        <f ca="1">INDIRECT((ADDRESS(5+$B30,5,1,1,'DataSourceSelection - Periph'!$C$25)))</f>
        <v>2506.2291644444449</v>
      </c>
      <c r="N30" s="10"/>
      <c r="P30" s="25">
        <v>12</v>
      </c>
      <c r="Q30" s="55" t="str">
        <f ca="1">IF(INDIRECT((ADDRESS(5+$B30,2,1,1,'DataSourceSelection - Periph'!$C$30)))="", "", INDIRECT((ADDRESS(5+$B30,2,1,1,'DataSourceSelection - Periph'!$C$30))))</f>
        <v/>
      </c>
      <c r="R30" s="126">
        <f ca="1">INDIRECT((ADDRESS(5+$B30,3,1,1,'DataSourceSelection - Periph'!$C$30)))</f>
        <v>0</v>
      </c>
      <c r="S30" s="126">
        <f ca="1">INDIRECT((ADDRESS(5+$B30,4,1,1,'DataSourceSelection - Periph'!$C$30)))</f>
        <v>0</v>
      </c>
      <c r="T30" s="128">
        <f ca="1">INDIRECT((ADDRESS(5+$B30,5,1,1,'DataSourceSelection - Periph'!$C$30)))</f>
        <v>0</v>
      </c>
      <c r="U30" s="10"/>
      <c r="X30" s="25"/>
      <c r="Y30" s="2"/>
      <c r="Z30" s="2"/>
      <c r="AA30" s="2"/>
      <c r="AB30" s="2"/>
      <c r="AC30" s="10"/>
    </row>
    <row r="31" spans="2:29" x14ac:dyDescent="0.4">
      <c r="B31" s="25">
        <v>13</v>
      </c>
      <c r="C31" s="55" t="str">
        <f ca="1">IF(INDIRECT((ADDRESS(5+$B31,2,1,1,'DataSourceSelection - Periph'!$C$20)))="", "", INDIRECT((ADDRESS(5+$B31,2,1,1,'DataSourceSelection - Periph'!$C$20))))</f>
        <v>Recieve (RX)</v>
      </c>
      <c r="D31" s="126">
        <f ca="1">INDIRECT((ADDRESS(5+$B31,3,1,1,'DataSourceSelection - Periph'!$C$20)))</f>
        <v>107.55555555555556</v>
      </c>
      <c r="E31" s="126">
        <f ca="1">INDIRECT((ADDRESS(5+$B31,4,1,1,'DataSourceSelection - Periph'!$C$20)))</f>
        <v>6.6835222222222228</v>
      </c>
      <c r="F31" s="128">
        <f ca="1">INDIRECT((ADDRESS(5+$B31,5,1,1,'DataSourceSelection - Periph'!$C$20)))</f>
        <v>718.84994567901242</v>
      </c>
      <c r="G31" s="10"/>
      <c r="H31" s="25"/>
      <c r="I31" s="25">
        <v>13</v>
      </c>
      <c r="J31" s="55" t="str">
        <f ca="1">IF(INDIRECT((ADDRESS(5+$B31,2,1,1,'DataSourceSelection - Periph'!$C$25)))="", "", INDIRECT((ADDRESS(5+$B31,2,1,1,'DataSourceSelection - Periph'!$C$25))))</f>
        <v/>
      </c>
      <c r="K31" s="126">
        <f ca="1">INDIRECT((ADDRESS(5+$B31,3,1,1,'DataSourceSelection - Periph'!$C$25)))</f>
        <v>0</v>
      </c>
      <c r="L31" s="126">
        <f ca="1">INDIRECT((ADDRESS(5+$B31,4,1,1,'DataSourceSelection - Periph'!$C$25)))</f>
        <v>0</v>
      </c>
      <c r="M31" s="128">
        <f ca="1">INDIRECT((ADDRESS(5+$B31,5,1,1,'DataSourceSelection - Periph'!$C$25)))</f>
        <v>0</v>
      </c>
      <c r="N31" s="10"/>
      <c r="P31" s="25">
        <v>13</v>
      </c>
      <c r="Q31" s="55" t="str">
        <f ca="1">IF(INDIRECT((ADDRESS(5+$B31,2,1,1,'DataSourceSelection - Periph'!$C$30)))="", "", INDIRECT((ADDRESS(5+$B31,2,1,1,'DataSourceSelection - Periph'!$C$30))))</f>
        <v/>
      </c>
      <c r="R31" s="126">
        <f ca="1">INDIRECT((ADDRESS(5+$B31,3,1,1,'DataSourceSelection - Periph'!$C$30)))</f>
        <v>0</v>
      </c>
      <c r="S31" s="126">
        <f ca="1">INDIRECT((ADDRESS(5+$B31,4,1,1,'DataSourceSelection - Periph'!$C$30)))</f>
        <v>0</v>
      </c>
      <c r="T31" s="128">
        <f ca="1">INDIRECT((ADDRESS(5+$B31,5,1,1,'DataSourceSelection - Periph'!$C$30)))</f>
        <v>0</v>
      </c>
      <c r="U31" s="10"/>
      <c r="X31" s="25"/>
      <c r="Y31" s="2"/>
      <c r="Z31" s="2"/>
      <c r="AA31" s="2"/>
      <c r="AB31" s="2"/>
      <c r="AC31" s="10"/>
    </row>
    <row r="32" spans="2:29" x14ac:dyDescent="0.4">
      <c r="B32" s="25">
        <v>14</v>
      </c>
      <c r="C32" s="55" t="str">
        <f ca="1">IF(INDIRECT((ADDRESS(5+$B32,2,1,1,'DataSourceSelection - Periph'!$C$20)))="", "", INDIRECT((ADDRESS(5+$B32,2,1,1,'DataSourceSelection - Periph'!$C$20))))</f>
        <v>Post-Processing</v>
      </c>
      <c r="D32" s="126">
        <f ca="1">INDIRECT((ADDRESS(5+$B32,3,1,1,'DataSourceSelection - Periph'!$C$20)))</f>
        <v>846.44444444444446</v>
      </c>
      <c r="E32" s="126">
        <f ca="1">INDIRECT((ADDRESS(5+$B32,4,1,1,'DataSourceSelection - Periph'!$C$20)))</f>
        <v>2.5783222222222224</v>
      </c>
      <c r="F32" s="128">
        <f ca="1">INDIRECT((ADDRESS(5+$B32,5,1,1,'DataSourceSelection - Periph'!$C$20)))</f>
        <v>2182.4065209876544</v>
      </c>
      <c r="G32" s="10"/>
      <c r="H32" s="25"/>
      <c r="I32" s="25">
        <v>14</v>
      </c>
      <c r="J32" s="55" t="str">
        <f ca="1">IF(INDIRECT((ADDRESS(5+$B32,2,1,1,'DataSourceSelection - Periph'!$C$25)))="", "", INDIRECT((ADDRESS(5+$B32,2,1,1,'DataSourceSelection - Periph'!$C$25))))</f>
        <v/>
      </c>
      <c r="K32" s="126">
        <f ca="1">INDIRECT((ADDRESS(5+$B32,3,1,1,'DataSourceSelection - Periph'!$C$25)))</f>
        <v>0</v>
      </c>
      <c r="L32" s="126">
        <f ca="1">INDIRECT((ADDRESS(5+$B32,4,1,1,'DataSourceSelection - Periph'!$C$25)))</f>
        <v>0</v>
      </c>
      <c r="M32" s="128">
        <f ca="1">INDIRECT((ADDRESS(5+$B32,5,1,1,'DataSourceSelection - Periph'!$C$25)))</f>
        <v>0</v>
      </c>
      <c r="N32" s="10"/>
      <c r="P32" s="25">
        <v>14</v>
      </c>
      <c r="Q32" s="55" t="str">
        <f ca="1">IF(INDIRECT((ADDRESS(5+$B32,2,1,1,'DataSourceSelection - Periph'!$C$30)))="", "", INDIRECT((ADDRESS(5+$B32,2,1,1,'DataSourceSelection - Periph'!$C$30))))</f>
        <v/>
      </c>
      <c r="R32" s="126">
        <f ca="1">INDIRECT((ADDRESS(5+$B32,3,1,1,'DataSourceSelection - Periph'!$C$30)))</f>
        <v>0</v>
      </c>
      <c r="S32" s="126">
        <f ca="1">INDIRECT((ADDRESS(5+$B32,4,1,1,'DataSourceSelection - Periph'!$C$30)))</f>
        <v>0</v>
      </c>
      <c r="T32" s="128">
        <f ca="1">INDIRECT((ADDRESS(5+$B32,5,1,1,'DataSourceSelection - Periph'!$C$30)))</f>
        <v>0</v>
      </c>
      <c r="U32" s="10"/>
      <c r="X32" s="25"/>
      <c r="Y32" s="2"/>
      <c r="Z32" s="2"/>
      <c r="AA32" s="2"/>
      <c r="AB32" s="2"/>
      <c r="AC32" s="10"/>
    </row>
    <row r="33" spans="2:29" x14ac:dyDescent="0.4">
      <c r="B33" s="25">
        <v>15</v>
      </c>
      <c r="C33" s="55" t="str">
        <f ca="1">IF(INDIRECT((ADDRESS(5+$B33,2,1,1,'DataSourceSelection - Periph'!$C$20)))="", "", INDIRECT((ADDRESS(5+$B33,2,1,1,'DataSourceSelection - Periph'!$C$20))))</f>
        <v/>
      </c>
      <c r="D33" s="126">
        <f ca="1">INDIRECT((ADDRESS(5+$B33,3,1,1,'DataSourceSelection - Periph'!$C$20)))</f>
        <v>0</v>
      </c>
      <c r="E33" s="126">
        <f ca="1">INDIRECT((ADDRESS(5+$B33,4,1,1,'DataSourceSelection - Periph'!$C$20)))</f>
        <v>0</v>
      </c>
      <c r="F33" s="128">
        <f ca="1">INDIRECT((ADDRESS(5+$B33,5,1,1,'DataSourceSelection - Periph'!$C$20)))</f>
        <v>0</v>
      </c>
      <c r="G33" s="10"/>
      <c r="H33" s="25"/>
      <c r="I33" s="25">
        <v>15</v>
      </c>
      <c r="J33" s="55" t="str">
        <f ca="1">IF(INDIRECT((ADDRESS(5+$B33,2,1,1,'DataSourceSelection - Periph'!$C$25)))="", "", INDIRECT((ADDRESS(5+$B33,2,1,1,'DataSourceSelection - Periph'!$C$25))))</f>
        <v/>
      </c>
      <c r="K33" s="126">
        <f ca="1">INDIRECT((ADDRESS(5+$B33,3,1,1,'DataSourceSelection - Periph'!$C$25)))</f>
        <v>0</v>
      </c>
      <c r="L33" s="126">
        <f ca="1">INDIRECT((ADDRESS(5+$B33,4,1,1,'DataSourceSelection - Periph'!$C$25)))</f>
        <v>0</v>
      </c>
      <c r="M33" s="128">
        <f ca="1">INDIRECT((ADDRESS(5+$B33,5,1,1,'DataSourceSelection - Periph'!$C$25)))</f>
        <v>0</v>
      </c>
      <c r="N33" s="58"/>
      <c r="P33" s="25">
        <v>15</v>
      </c>
      <c r="Q33" s="55" t="str">
        <f ca="1">IF(INDIRECT((ADDRESS(5+$B33,2,1,1,'DataSourceSelection - Periph'!$C$30)))="", "", INDIRECT((ADDRESS(5+$B33,2,1,1,'DataSourceSelection - Periph'!$C$30))))</f>
        <v/>
      </c>
      <c r="R33" s="126">
        <f ca="1">INDIRECT((ADDRESS(5+$B33,3,1,1,'DataSourceSelection - Periph'!$C$30)))</f>
        <v>0</v>
      </c>
      <c r="S33" s="126">
        <f ca="1">INDIRECT((ADDRESS(5+$B33,4,1,1,'DataSourceSelection - Periph'!$C$30)))</f>
        <v>0</v>
      </c>
      <c r="T33" s="128">
        <f ca="1">INDIRECT((ADDRESS(5+$B33,5,1,1,'DataSourceSelection - Periph'!$C$30)))</f>
        <v>0</v>
      </c>
      <c r="U33" s="58"/>
      <c r="X33" s="25"/>
      <c r="Y33" s="2"/>
      <c r="Z33" s="2"/>
      <c r="AA33" s="2"/>
      <c r="AB33" s="2"/>
      <c r="AC33" s="10"/>
    </row>
    <row r="34" spans="2:29" x14ac:dyDescent="0.4">
      <c r="B34" s="25">
        <v>16</v>
      </c>
      <c r="C34" s="55" t="str">
        <f ca="1">IF(INDIRECT((ADDRESS(5+$B34,2,1,1,'DataSourceSelection - Periph'!$C$20)))="", "", INDIRECT((ADDRESS(5+$B34,2,1,1,'DataSourceSelection - Periph'!$C$20))))</f>
        <v/>
      </c>
      <c r="D34" s="126">
        <f ca="1">INDIRECT((ADDRESS(5+$B34,3,1,1,'DataSourceSelection - Periph'!$C$20)))</f>
        <v>0</v>
      </c>
      <c r="E34" s="126">
        <f ca="1">INDIRECT((ADDRESS(5+$B34,4,1,1,'DataSourceSelection - Periph'!$C$20)))</f>
        <v>0</v>
      </c>
      <c r="F34" s="128">
        <f ca="1">INDIRECT((ADDRESS(5+$B34,5,1,1,'DataSourceSelection - Periph'!$C$20)))</f>
        <v>0</v>
      </c>
      <c r="G34" s="10"/>
      <c r="H34" s="25"/>
      <c r="I34" s="25">
        <v>16</v>
      </c>
      <c r="J34" s="55" t="str">
        <f ca="1">IF(INDIRECT((ADDRESS(5+$B34,2,1,1,'DataSourceSelection - Periph'!$C$25)))="", "", INDIRECT((ADDRESS(5+$B34,2,1,1,'DataSourceSelection - Periph'!$C$25))))</f>
        <v/>
      </c>
      <c r="K34" s="126">
        <f ca="1">INDIRECT((ADDRESS(5+$B34,3,1,1,'DataSourceSelection - Periph'!$C$25)))</f>
        <v>0</v>
      </c>
      <c r="L34" s="126">
        <f ca="1">INDIRECT((ADDRESS(5+$B34,4,1,1,'DataSourceSelection - Periph'!$C$25)))</f>
        <v>0</v>
      </c>
      <c r="M34" s="128">
        <f ca="1">INDIRECT((ADDRESS(5+$B34,5,1,1,'DataSourceSelection - Periph'!$C$25)))</f>
        <v>0</v>
      </c>
      <c r="N34" s="58"/>
      <c r="P34" s="25">
        <v>16</v>
      </c>
      <c r="Q34" s="55" t="str">
        <f ca="1">IF(INDIRECT((ADDRESS(5+$B34,2,1,1,'DataSourceSelection - Periph'!$C$30)))="", "", INDIRECT((ADDRESS(5+$B34,2,1,1,'DataSourceSelection - Periph'!$C$30))))</f>
        <v/>
      </c>
      <c r="R34" s="126">
        <f ca="1">INDIRECT((ADDRESS(5+$B34,3,1,1,'DataSourceSelection - Periph'!$C$30)))</f>
        <v>0</v>
      </c>
      <c r="S34" s="126">
        <f ca="1">INDIRECT((ADDRESS(5+$B34,4,1,1,'DataSourceSelection - Periph'!$C$30)))</f>
        <v>0</v>
      </c>
      <c r="T34" s="128">
        <f ca="1">INDIRECT((ADDRESS(5+$B34,5,1,1,'DataSourceSelection - Periph'!$C$30)))</f>
        <v>0</v>
      </c>
      <c r="U34" s="58"/>
      <c r="X34" s="25"/>
      <c r="Y34" s="2"/>
      <c r="Z34" s="2"/>
      <c r="AA34" s="2"/>
      <c r="AB34" s="2"/>
      <c r="AC34" s="10"/>
    </row>
    <row r="35" spans="2:29" ht="16.5" customHeight="1" x14ac:dyDescent="0.4">
      <c r="B35" s="25"/>
      <c r="C35" s="87" t="str">
        <f ca="1">INDIRECT((ADDRESS(23,2,1,1,'DataSourceSelection - Periph'!$C$20)))</f>
        <v>Total time of advertising event [us]</v>
      </c>
      <c r="D35" s="162">
        <f ca="1">INDIRECT((ADDRESS(23,3,1,1,'DataSourceSelection - Periph'!$C$20)))</f>
        <v>4286.2702777777777</v>
      </c>
      <c r="E35" s="6"/>
      <c r="F35" s="3"/>
      <c r="G35" s="10"/>
      <c r="H35" s="2"/>
      <c r="I35" s="25"/>
      <c r="J35" s="87" t="str">
        <f ca="1">INDIRECT((ADDRESS(23,2,1,1,'DataSourceSelection - Periph'!$C$25)))</f>
        <v>Total time of advertising event [us]</v>
      </c>
      <c r="K35" s="162">
        <f ca="1">INDIRECT((ADDRESS(23,3,1,1,'DataSourceSelection - Periph'!$C$25)))</f>
        <v>9854.9</v>
      </c>
      <c r="L35" s="6"/>
      <c r="M35" s="3"/>
      <c r="N35" s="58"/>
      <c r="P35" s="25"/>
      <c r="Q35" s="87" t="str">
        <f ca="1">INDIRECT((ADDRESS(23,2,1,1,'DataSourceSelection - Periph'!$C$30)))</f>
        <v>Total time of connection event [us]</v>
      </c>
      <c r="R35" s="162">
        <f ca="1">INDIRECT((ADDRESS(23,3,1,1,'DataSourceSelection - Periph'!$C$30)))</f>
        <v>3186.5011111111107</v>
      </c>
      <c r="S35" s="6"/>
      <c r="T35" s="3"/>
      <c r="U35" s="58"/>
      <c r="X35" s="25"/>
      <c r="Y35" s="2"/>
      <c r="Z35" s="2"/>
      <c r="AA35" s="2"/>
      <c r="AB35" s="2"/>
      <c r="AC35" s="10"/>
    </row>
    <row r="36" spans="2:29" ht="12" customHeight="1" x14ac:dyDescent="0.4">
      <c r="B36" s="25"/>
      <c r="C36" s="130" t="str">
        <f ca="1">INDIRECT((ADDRESS(24,2,1,1,'DataSourceSelection - Periph'!$C$20)))</f>
        <v>Total time * current [us*mA]</v>
      </c>
      <c r="D36" s="64"/>
      <c r="E36" s="7"/>
      <c r="F36" s="66">
        <f ca="1">INDIRECT((ADDRESS(24,5,1,1,'DataSourceSelection - Periph'!$C$20)))</f>
        <v>17476.196146955182</v>
      </c>
      <c r="G36" s="10"/>
      <c r="I36" s="25"/>
      <c r="J36" s="130" t="str">
        <f ca="1">INDIRECT((ADDRESS(24,2,1,1,'DataSourceSelection - Periph'!$C$25)))</f>
        <v>Total time * current [us*mA]</v>
      </c>
      <c r="K36" s="64"/>
      <c r="L36" s="7"/>
      <c r="M36" s="66">
        <f ca="1">INDIRECT((ADDRESS(24,5,1,1,'DataSourceSelection - Periph'!$C$25)))</f>
        <v>53387.128496222227</v>
      </c>
      <c r="N36" s="10"/>
      <c r="P36" s="25"/>
      <c r="Q36" s="130" t="str">
        <f ca="1">INDIRECT((ADDRESS(24,2,1,1,'DataSourceSelection - Periph'!$C$30)))</f>
        <v>Total time * current [us*mA]</v>
      </c>
      <c r="R36" s="64"/>
      <c r="S36" s="7"/>
      <c r="T36" s="66">
        <f ca="1">INDIRECT((ADDRESS(24,5,1,1,'DataSourceSelection - Periph'!$C$30)))</f>
        <v>11905.178034790124</v>
      </c>
      <c r="U36" s="10"/>
      <c r="X36" s="25"/>
      <c r="Y36" s="2"/>
      <c r="Z36" s="2"/>
      <c r="AA36" s="2"/>
      <c r="AB36" s="2"/>
      <c r="AC36" s="10"/>
    </row>
    <row r="37" spans="2:29" ht="11.25" customHeight="1" x14ac:dyDescent="0.4">
      <c r="B37" s="25"/>
      <c r="C37" s="131" t="str">
        <f ca="1">INDIRECT((ADDRESS(25,2,1,1,'DataSourceSelection - Periph'!$C$20)))</f>
        <v>Average Current draw during advertising event [uA]</v>
      </c>
      <c r="D37" s="83"/>
      <c r="E37" s="9"/>
      <c r="F37" s="63">
        <f ca="1">INDIRECT((ADDRESS(25,5,1,1,'DataSourceSelection - Periph'!$C$20)))</f>
        <v>4077.2501532534575</v>
      </c>
      <c r="G37" s="10"/>
      <c r="I37" s="25"/>
      <c r="J37" s="131" t="str">
        <f ca="1">INDIRECT((ADDRESS(25,2,1,1,'DataSourceSelection - Periph'!$C$25)))</f>
        <v>Average Current draw during advertising event [uA]</v>
      </c>
      <c r="K37" s="83"/>
      <c r="L37" s="9"/>
      <c r="M37" s="63">
        <f ca="1">INDIRECT((ADDRESS(25,5,1,1,'DataSourceSelection - Periph'!$C$25)))</f>
        <v>5417.3181357722788</v>
      </c>
      <c r="N37" s="10"/>
      <c r="P37" s="25"/>
      <c r="Q37" s="131" t="str">
        <f ca="1">INDIRECT((ADDRESS(25,2,1,1,'DataSourceSelection - Periph'!$C$30)))</f>
        <v>Average Current draw during connection event [uA]</v>
      </c>
      <c r="R37" s="83"/>
      <c r="S37" s="9"/>
      <c r="T37" s="63">
        <f ca="1">INDIRECT((ADDRESS(25,5,1,1,'DataSourceSelection - Periph'!$C$30)))</f>
        <v>3736.1286312681914</v>
      </c>
      <c r="U37" s="10"/>
      <c r="X37" s="25"/>
      <c r="Y37" s="2"/>
      <c r="Z37" s="2"/>
      <c r="AA37" s="2"/>
      <c r="AB37" s="2"/>
      <c r="AC37" s="10"/>
    </row>
    <row r="38" spans="2:29" x14ac:dyDescent="0.4">
      <c r="B38" s="25"/>
      <c r="C38" s="5"/>
      <c r="D38" s="2"/>
      <c r="E38" s="2"/>
      <c r="F38" s="2"/>
      <c r="G38" s="10"/>
      <c r="I38" s="25"/>
      <c r="J38" s="5"/>
      <c r="K38" s="2"/>
      <c r="L38" s="2"/>
      <c r="M38" s="2"/>
      <c r="N38" s="10"/>
      <c r="P38" s="25"/>
      <c r="Q38" s="5"/>
      <c r="R38" s="2"/>
      <c r="S38" s="2"/>
      <c r="T38" s="2"/>
      <c r="U38" s="10"/>
      <c r="X38" s="12"/>
      <c r="Y38" s="9"/>
      <c r="Z38" s="9"/>
      <c r="AA38" s="9"/>
      <c r="AB38" s="9"/>
      <c r="AC38" s="11"/>
    </row>
    <row r="39" spans="2:29" ht="15" customHeight="1" x14ac:dyDescent="0.4">
      <c r="B39" s="25"/>
      <c r="C39" s="18" t="str">
        <f ca="1">INDIRECT((ADDRESS(27,2,1,1,'DataSourceSelection - Periph'!$C$20)))</f>
        <v>Avg. current draw when advertising:</v>
      </c>
      <c r="D39" s="86">
        <f ca="1">INDIRECT((ADDRESS(27,3,1,1,'DataSourceSelection - Periph'!$C$20)))</f>
        <v>176.00623995594074</v>
      </c>
      <c r="E39" s="102" t="s">
        <v>38</v>
      </c>
      <c r="G39" s="10"/>
      <c r="I39" s="25"/>
      <c r="J39" s="18" t="str">
        <f ca="1">INDIRECT((ADDRESS(27,2,1,1,'DataSourceSelection - Periph'!$C$25)))</f>
        <v>Avg. current draw when advertising:</v>
      </c>
      <c r="K39" s="86">
        <f ca="1">INDIRECT((ADDRESS(27,3,1,1,'DataSourceSelection - Periph'!$C$25)))</f>
        <v>535.04317126222236</v>
      </c>
      <c r="L39" s="102" t="s">
        <v>38</v>
      </c>
      <c r="N39" s="10"/>
      <c r="P39" s="25"/>
      <c r="Q39" s="18" t="str">
        <f ca="1">INDIRECT((ADDRESS(27,2,1,1,'DataSourceSelection - Periph'!$C$30)))</f>
        <v>Average current draw during connection:</v>
      </c>
      <c r="R39" s="86">
        <f ca="1">INDIRECT((ADDRESS(27,3,1,1,'DataSourceSelection - Periph'!$C$30)))</f>
        <v>120.3103558334568</v>
      </c>
      <c r="S39" s="102" t="s">
        <v>38</v>
      </c>
      <c r="U39" s="10"/>
    </row>
    <row r="40" spans="2:29" ht="15" customHeight="1" x14ac:dyDescent="0.4">
      <c r="B40" s="25"/>
      <c r="C40" s="18" t="str">
        <f ca="1">INDIRECT((ADDRESS(28,2,1,1,'DataSourceSelection - Periph'!$C$20)))</f>
        <v>Expected battery life:</v>
      </c>
      <c r="D40" s="101">
        <f ca="1">INDIRECT((ADDRESS(28,3,1,1,'DataSourceSelection - Periph'!$C$20)))</f>
        <v>1278.3637674228128</v>
      </c>
      <c r="E40" s="103" t="s">
        <v>18</v>
      </c>
      <c r="G40" s="10"/>
      <c r="I40" s="25"/>
      <c r="J40" s="18" t="str">
        <f ca="1">INDIRECT((ADDRESS(28,2,1,1,'DataSourceSelection - Periph'!$C$25)))</f>
        <v>Expected battery life:</v>
      </c>
      <c r="K40" s="101">
        <f ca="1">INDIRECT((ADDRESS(28,3,1,1,'DataSourceSelection - Periph'!$C$25)))</f>
        <v>420.52681369468127</v>
      </c>
      <c r="L40" s="103" t="s">
        <v>18</v>
      </c>
      <c r="N40" s="10"/>
      <c r="P40" s="25"/>
      <c r="Q40" s="18" t="str">
        <f ca="1">INDIRECT((ADDRESS(28,2,1,1,'DataSourceSelection - Periph'!$C$30)))</f>
        <v>Expected battery life:</v>
      </c>
      <c r="R40" s="101">
        <f ca="1">INDIRECT((ADDRESS(28,3,1,1,'DataSourceSelection - Periph'!$C$30)))</f>
        <v>1870.1631995126252</v>
      </c>
      <c r="S40" s="103" t="s">
        <v>18</v>
      </c>
      <c r="U40" s="10"/>
    </row>
    <row r="41" spans="2:29" ht="15" customHeight="1" x14ac:dyDescent="0.4">
      <c r="B41" s="25"/>
      <c r="C41" s="18" t="str">
        <f ca="1">INDIRECT((ADDRESS(29,2,1,1,'DataSourceSelection - Periph'!$C$20)))</f>
        <v>Expected battery life:</v>
      </c>
      <c r="D41" s="93">
        <f ca="1">INDIRECT((ADDRESS(29,3,1,1,'DataSourceSelection - Periph'!$C$20)))</f>
        <v>53.265156975950532</v>
      </c>
      <c r="E41" s="102" t="s">
        <v>21</v>
      </c>
      <c r="G41" s="10"/>
      <c r="I41" s="25"/>
      <c r="J41" s="18" t="str">
        <f ca="1">INDIRECT((ADDRESS(29,2,1,1,'DataSourceSelection - Periph'!$C$25)))</f>
        <v>Expected battery life:</v>
      </c>
      <c r="K41" s="93">
        <f ca="1">INDIRECT((ADDRESS(29,3,1,1,'DataSourceSelection - Periph'!$C$25)))</f>
        <v>17.521950570611718</v>
      </c>
      <c r="L41" s="102" t="s">
        <v>21</v>
      </c>
      <c r="N41" s="10"/>
      <c r="P41" s="25"/>
      <c r="Q41" s="18" t="str">
        <f ca="1">INDIRECT((ADDRESS(29,2,1,1,'DataSourceSelection - Periph'!$C$30)))</f>
        <v>Expected battery life:</v>
      </c>
      <c r="R41" s="93">
        <f ca="1">INDIRECT((ADDRESS(29,3,1,1,'DataSourceSelection - Periph'!$C$30)))</f>
        <v>77.923466646359387</v>
      </c>
      <c r="S41" s="102" t="s">
        <v>21</v>
      </c>
      <c r="U41" s="10"/>
    </row>
    <row r="42" spans="2:29" ht="17.25" customHeight="1" x14ac:dyDescent="0.4">
      <c r="B42" s="12"/>
      <c r="C42" s="9"/>
      <c r="D42" s="9"/>
      <c r="E42" s="9"/>
      <c r="F42" s="9"/>
      <c r="G42" s="11"/>
      <c r="I42" s="12"/>
      <c r="J42" s="28"/>
      <c r="K42" s="29"/>
      <c r="L42" s="9"/>
      <c r="M42" s="9"/>
      <c r="N42" s="11"/>
      <c r="P42" s="12"/>
      <c r="Q42" s="28"/>
      <c r="R42" s="29"/>
      <c r="S42" s="9"/>
      <c r="T42" s="9"/>
      <c r="U42" s="11"/>
    </row>
    <row r="43" spans="2:29" x14ac:dyDescent="0.4">
      <c r="B43" s="2"/>
      <c r="C43" s="2"/>
      <c r="D43" s="2"/>
      <c r="E43" s="2"/>
      <c r="F43" s="2"/>
    </row>
    <row r="44" spans="2:29" x14ac:dyDescent="0.4">
      <c r="B44" s="2"/>
      <c r="C44" s="2"/>
      <c r="D44" s="2"/>
      <c r="E44" s="2"/>
      <c r="F44" s="2"/>
      <c r="G44" s="2"/>
      <c r="H44" s="2"/>
      <c r="I44" s="2"/>
      <c r="J44" s="2"/>
      <c r="K44" s="2"/>
      <c r="L44" s="2"/>
      <c r="M44" s="2"/>
      <c r="N44" s="2"/>
    </row>
    <row r="45" spans="2:29" ht="31.5" customHeight="1" x14ac:dyDescent="0.5">
      <c r="B45" s="2"/>
      <c r="C45" s="214" t="str">
        <f>"Power Consumption profile"&amp;" " &amp; C16</f>
        <v>Power Consumption profile Legacy Advertising</v>
      </c>
      <c r="D45" s="214"/>
      <c r="E45" s="214"/>
      <c r="F45" s="214"/>
      <c r="G45" s="2"/>
      <c r="H45" s="2"/>
      <c r="I45" s="2"/>
      <c r="J45" s="214" t="str">
        <f>"Power Consumption profile"&amp;" " &amp; J16</f>
        <v>Power Consumption profile Long Range (S8) Advertising</v>
      </c>
      <c r="K45" s="214"/>
      <c r="L45" s="214"/>
      <c r="M45" s="214"/>
      <c r="N45" s="2"/>
      <c r="Q45" s="214" t="str">
        <f>"Power Consumption profile"&amp;" " &amp; Q16</f>
        <v>Power Consumption profile Connected as Peripheral</v>
      </c>
      <c r="R45" s="214"/>
      <c r="S45" s="214"/>
      <c r="T45" s="214"/>
    </row>
    <row r="46" spans="2:29" x14ac:dyDescent="0.4">
      <c r="B46" s="2"/>
      <c r="C46" s="2"/>
      <c r="D46" s="2"/>
      <c r="E46" s="2"/>
      <c r="F46" s="2"/>
      <c r="G46" s="2"/>
      <c r="H46" s="2"/>
      <c r="I46" s="2"/>
      <c r="J46" s="2"/>
      <c r="K46" s="2"/>
      <c r="L46" s="2"/>
      <c r="M46" s="2"/>
      <c r="N46" s="2"/>
    </row>
    <row r="47" spans="2:29" x14ac:dyDescent="0.4">
      <c r="B47" s="2"/>
      <c r="C47" s="2"/>
      <c r="D47" s="2"/>
      <c r="E47" s="2"/>
      <c r="F47" s="2"/>
      <c r="G47" s="2"/>
      <c r="H47" s="2"/>
      <c r="I47" s="2"/>
      <c r="J47" s="2"/>
      <c r="K47" s="2"/>
      <c r="L47" s="2"/>
      <c r="M47" s="2"/>
      <c r="N47" s="2"/>
    </row>
    <row r="48" spans="2:29" x14ac:dyDescent="0.4">
      <c r="B48" s="2"/>
      <c r="C48" s="2"/>
      <c r="D48" s="2"/>
      <c r="E48" s="2"/>
      <c r="F48" s="2"/>
      <c r="G48" s="2"/>
      <c r="H48" s="2"/>
      <c r="I48" s="2"/>
      <c r="J48" s="2"/>
      <c r="K48" s="2"/>
      <c r="L48" s="2"/>
      <c r="M48" s="2"/>
      <c r="N48" s="2"/>
    </row>
    <row r="49" spans="2:14" ht="12.75" customHeight="1" x14ac:dyDescent="0.4">
      <c r="B49" s="2"/>
      <c r="C49" s="2"/>
      <c r="D49" s="2"/>
      <c r="E49" s="2"/>
      <c r="F49" s="2"/>
      <c r="G49" s="2"/>
      <c r="H49" s="2"/>
      <c r="I49" s="2"/>
      <c r="J49" s="2"/>
      <c r="K49" s="2"/>
      <c r="L49" s="2"/>
      <c r="M49" s="2"/>
      <c r="N49" s="2"/>
    </row>
    <row r="50" spans="2:14" x14ac:dyDescent="0.4">
      <c r="B50" s="2"/>
      <c r="C50" s="2"/>
      <c r="D50" s="2"/>
      <c r="E50" s="2"/>
      <c r="F50" s="2"/>
      <c r="G50" s="2"/>
      <c r="H50" s="2"/>
      <c r="I50" s="2"/>
      <c r="J50" s="2"/>
      <c r="K50" s="2"/>
      <c r="L50" s="2"/>
      <c r="M50" s="2"/>
      <c r="N50" s="2"/>
    </row>
    <row r="51" spans="2:14" x14ac:dyDescent="0.4">
      <c r="B51" s="2"/>
      <c r="C51" s="2"/>
      <c r="D51" s="2"/>
      <c r="E51" s="2"/>
      <c r="F51" s="2"/>
      <c r="G51" s="2"/>
      <c r="H51" s="2"/>
      <c r="I51" s="2"/>
      <c r="J51" s="2"/>
      <c r="K51" s="2"/>
      <c r="L51" s="2"/>
      <c r="M51" s="2"/>
      <c r="N51" s="2"/>
    </row>
    <row r="52" spans="2:14" x14ac:dyDescent="0.4">
      <c r="B52" s="2"/>
      <c r="C52" s="2"/>
      <c r="D52" s="2"/>
      <c r="E52" s="2"/>
      <c r="F52" s="2"/>
      <c r="G52" s="2"/>
      <c r="H52" s="2"/>
      <c r="I52" s="2"/>
      <c r="J52" s="2"/>
      <c r="K52" s="2"/>
      <c r="L52" s="2"/>
      <c r="M52" s="2"/>
      <c r="N52" s="2"/>
    </row>
    <row r="53" spans="2:14" x14ac:dyDescent="0.4">
      <c r="B53" s="2"/>
      <c r="C53" s="2"/>
      <c r="D53" s="2"/>
      <c r="E53" s="2"/>
      <c r="F53" s="2"/>
      <c r="G53" s="2"/>
      <c r="H53" s="2"/>
      <c r="I53" s="2"/>
      <c r="J53" s="2"/>
      <c r="K53" s="2"/>
      <c r="L53" s="2"/>
      <c r="M53" s="2"/>
      <c r="N53" s="2"/>
    </row>
    <row r="54" spans="2:14" x14ac:dyDescent="0.4">
      <c r="B54" s="2"/>
      <c r="C54" s="5"/>
      <c r="D54" s="2"/>
      <c r="E54" s="2"/>
      <c r="F54" s="2"/>
      <c r="G54" s="2"/>
      <c r="H54" s="2"/>
      <c r="I54" s="2"/>
      <c r="J54" s="2"/>
      <c r="K54" s="2"/>
      <c r="L54" s="2"/>
      <c r="M54" s="2"/>
      <c r="N54" s="2"/>
    </row>
    <row r="55" spans="2:14" x14ac:dyDescent="0.4">
      <c r="B55" s="2"/>
      <c r="C55" s="5"/>
      <c r="D55" s="2"/>
      <c r="E55" s="2"/>
      <c r="F55" s="2"/>
      <c r="G55" s="2"/>
      <c r="H55" s="2"/>
      <c r="I55" s="2"/>
      <c r="J55" s="2"/>
      <c r="K55" s="2"/>
      <c r="L55" s="2"/>
      <c r="M55" s="2"/>
      <c r="N55" s="2"/>
    </row>
    <row r="56" spans="2:14" x14ac:dyDescent="0.4">
      <c r="G56" s="2"/>
      <c r="H56" s="2"/>
      <c r="I56" s="2"/>
      <c r="J56" s="2"/>
      <c r="K56" s="2"/>
      <c r="L56" s="2"/>
      <c r="M56" s="2"/>
      <c r="N56" s="2"/>
    </row>
    <row r="57" spans="2:14" x14ac:dyDescent="0.4">
      <c r="G57" s="2"/>
      <c r="H57" s="2"/>
      <c r="I57" s="2"/>
      <c r="J57" s="2"/>
      <c r="K57" s="2"/>
      <c r="L57" s="2"/>
      <c r="M57" s="2"/>
      <c r="N57" s="2"/>
    </row>
  </sheetData>
  <mergeCells count="14">
    <mergeCell ref="X17:AC17"/>
    <mergeCell ref="F3:K3"/>
    <mergeCell ref="X16:AC16"/>
    <mergeCell ref="N3:P3"/>
    <mergeCell ref="C45:F45"/>
    <mergeCell ref="J45:M45"/>
    <mergeCell ref="Q45:T45"/>
    <mergeCell ref="N4:P4"/>
    <mergeCell ref="N5:P5"/>
    <mergeCell ref="N6:P6"/>
    <mergeCell ref="K16:M16"/>
    <mergeCell ref="D16:F16"/>
    <mergeCell ref="R16:T16"/>
    <mergeCell ref="F11:J11"/>
  </mergeCells>
  <conditionalFormatting sqref="F13:K14 F11:F12 K11:K12">
    <cfRule type="notContainsBlanks" dxfId="10" priority="5">
      <formula>LEN(TRIM(F11))&gt;0</formula>
    </cfRule>
  </conditionalFormatting>
  <conditionalFormatting sqref="Y19:Z23">
    <cfRule type="cellIs" dxfId="9" priority="3" operator="lessThan">
      <formula>0</formula>
    </cfRule>
  </conditionalFormatting>
  <conditionalFormatting sqref="Y19:Y23">
    <cfRule type="cellIs" dxfId="8" priority="2" operator="greaterThan">
      <formula>24</formula>
    </cfRule>
  </conditionalFormatting>
  <conditionalFormatting sqref="Z19:Z23">
    <cfRule type="cellIs" dxfId="7" priority="1" operator="greaterThan">
      <formula>59</formula>
    </cfRule>
  </conditionalFormatting>
  <dataValidations xWindow="373" yWindow="293" count="7">
    <dataValidation type="decimal" errorStyle="warning" allowBlank="1" showInputMessage="1" showErrorMessage="1" error="The advertising data length for legacy advertising shall be in the range of 2 to 31 bytes." prompt="The advertising data length for legacy advertising shall be in the range of 2 to 31 bytes." sqref="D8">
      <formula1>0</formula1>
      <formula2>31</formula2>
    </dataValidation>
    <dataValidation type="decimal" errorStyle="warning" showInputMessage="1" showErrorMessage="1" error="The connection interval shall be in the range of 7.5 ms to 4 s." prompt="The connection interval shall be in the range of 7.5 ms to 4 s." sqref="D10">
      <formula1>7.5</formula1>
      <formula2>4000</formula2>
    </dataValidation>
    <dataValidation type="decimal" errorStyle="warning" allowBlank="1" showInputMessage="1" showErrorMessage="1" error="The connection  data length shall be in the range of 0 to 251 bytes." prompt="The connection  data length shall be in the range of 0 to 251 bytes." sqref="D11">
      <formula1>0</formula1>
      <formula2>251</formula2>
    </dataValidation>
    <dataValidation type="decimal" errorStyle="warning" allowBlank="1" showInputMessage="1" showErrorMessage="1" error="The advertising interval shall be in the range of 20 ms to 10.24 s." prompt="The advertising interval shall be in the range of 20 ms to 10.24 s." sqref="D7">
      <formula1>20</formula1>
      <formula2>10240</formula2>
    </dataValidation>
    <dataValidation type="decimal" errorStyle="warning" allowBlank="1" showInputMessage="1" showErrorMessage="1" error="The advertising data length for extended advertising shall be in the range of 2 to 254 bytes." prompt="The advertising data length for extended advertising shall be in the range of 2 to 254 bytes." sqref="D9">
      <formula1>2</formula1>
      <formula2>254</formula2>
    </dataValidation>
    <dataValidation type="decimal" errorStyle="warning" allowBlank="1" showInputMessage="1" showErrorMessage="1" error="The scan response data length shall be in the range of 2 to 31 bytes." prompt="The scan response data length shall be in the range of 2 to 31 bytes." sqref="D12">
      <formula1>2</formula1>
      <formula2>31</formula2>
    </dataValidation>
    <dataValidation type="whole" operator="greaterThan" showInputMessage="1" showErrorMessage="1" error="Invalid battery capacity!" prompt="Battery capacity in mAh_x000a__x000a_Typical Battery Capacities (mAh)_x000a_CR2032: 225_x000a_AAA: 1200_x000a_AA: 2700_x000a_" sqref="D4">
      <formula1>0</formula1>
    </dataValidation>
  </dataValidations>
  <pageMargins left="0.75" right="0.75" top="1" bottom="1" header="0.5" footer="0.5"/>
  <pageSetup orientation="portrait" r:id="rId1"/>
  <headerFooter alignWithMargins="0"/>
  <drawing r:id="rId2"/>
  <extLst>
    <ext xmlns:x14="http://schemas.microsoft.com/office/spreadsheetml/2009/9/main" uri="{CCE6A557-97BC-4b89-ADB6-D9C93CAAB3DF}">
      <x14:dataValidations xmlns:xm="http://schemas.microsoft.com/office/excel/2006/main" xWindow="373" yWindow="293" count="5">
        <x14:dataValidation type="list" allowBlank="1" showInputMessage="1" showErrorMessage="1">
          <x14:formula1>
            <xm:f>'Input arguments'!$A$2:$A$4</xm:f>
          </x14:formula1>
          <xm:sqref>D3</xm:sqref>
        </x14:dataValidation>
        <x14:dataValidation type="list" allowBlank="1" showInputMessage="1" showErrorMessage="1">
          <x14:formula1>
            <xm:f>'Input arguments'!$C$2:$C$4</xm:f>
          </x14:formula1>
          <xm:sqref>D5</xm:sqref>
        </x14:dataValidation>
        <x14:dataValidation type="list" allowBlank="1" showInputMessage="1" showErrorMessage="1">
          <x14:formula1>
            <xm:f>'Input arguments'!$F$2:$F$7</xm:f>
          </x14:formula1>
          <xm:sqref>D6</xm:sqref>
        </x14:dataValidation>
        <x14:dataValidation type="list" allowBlank="1" showInputMessage="1" showErrorMessage="1">
          <x14:formula1>
            <xm:f>'Input arguments'!$G$2:$G$3</xm:f>
          </x14:formula1>
          <xm:sqref>D13</xm:sqref>
        </x14:dataValidation>
        <x14:dataValidation type="list" allowBlank="1" showInputMessage="1" showErrorMessage="1">
          <x14:formula1>
            <xm:f>'Input arguments'!$B$2:$B$9</xm:f>
          </x14:formula1>
          <xm:sqref>C16 Q16 J16</xm:sqref>
        </x14:dataValidation>
      </x14:dataValidations>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H47"/>
  <sheetViews>
    <sheetView workbookViewId="0">
      <selection activeCell="G14" sqref="G14"/>
    </sheetView>
  </sheetViews>
  <sheetFormatPr defaultColWidth="8.83203125" defaultRowHeight="12.3" x14ac:dyDescent="0.4"/>
  <cols>
    <col min="2" max="2" width="41.83203125" customWidth="1"/>
    <col min="3" max="3" width="11.5546875" customWidth="1"/>
    <col min="4" max="4" width="11.27734375" customWidth="1"/>
  </cols>
  <sheetData>
    <row r="4" spans="2:8" x14ac:dyDescent="0.4">
      <c r="G4" s="2"/>
      <c r="H4" s="2"/>
    </row>
    <row r="5" spans="2:8" ht="24.6" x14ac:dyDescent="0.4">
      <c r="B5" s="35" t="s">
        <v>3</v>
      </c>
      <c r="C5" s="134" t="s">
        <v>24</v>
      </c>
      <c r="D5" s="37" t="s">
        <v>25</v>
      </c>
      <c r="E5" s="85" t="s">
        <v>36</v>
      </c>
      <c r="G5" s="84"/>
      <c r="H5" s="84"/>
    </row>
    <row r="6" spans="2:8" ht="15" customHeight="1" x14ac:dyDescent="0.4">
      <c r="B6" s="55" t="s">
        <v>15</v>
      </c>
      <c r="C6" s="62">
        <f>'3V_1M_ExtendedAdvertisement'!C6</f>
        <v>1315.3333333333333</v>
      </c>
      <c r="D6" s="104">
        <f>'3V_1M_ExtendedAdvertisement'!D6</f>
        <v>3.1727888888888884</v>
      </c>
      <c r="E6" s="62">
        <f t="shared" ref="E6:E17" si="0">C6*D6</f>
        <v>4173.2749851851841</v>
      </c>
      <c r="G6" s="84"/>
      <c r="H6" s="84"/>
    </row>
    <row r="7" spans="2:8" x14ac:dyDescent="0.4">
      <c r="B7" s="55" t="s">
        <v>14</v>
      </c>
      <c r="C7" s="62">
        <f>'3V_1M_ExtendedAdvertisement'!C7</f>
        <v>290.55555555555554</v>
      </c>
      <c r="D7" s="104">
        <f>'3V_1M_ExtendedAdvertisement'!D7</f>
        <v>4.1356111111111113</v>
      </c>
      <c r="E7" s="62">
        <f t="shared" si="0"/>
        <v>1201.6247839506173</v>
      </c>
      <c r="G7" s="84"/>
      <c r="H7" s="84"/>
    </row>
    <row r="8" spans="2:8" x14ac:dyDescent="0.4">
      <c r="B8" s="55" t="s">
        <v>7</v>
      </c>
      <c r="C8" s="62">
        <f>'3V_1M_ExtendedAdvertisement'!C8</f>
        <v>131.4</v>
      </c>
      <c r="D8" s="104">
        <f>'3V_1M_ExtendedAdvertisement'!D8</f>
        <v>7.2495111111111123</v>
      </c>
      <c r="E8" s="62">
        <f t="shared" si="0"/>
        <v>952.58576000000016</v>
      </c>
      <c r="G8" s="84"/>
      <c r="H8" s="84"/>
    </row>
    <row r="9" spans="2:8" x14ac:dyDescent="0.4">
      <c r="B9" s="55" t="s">
        <v>115</v>
      </c>
      <c r="C9" s="62">
        <f>'3V_1M_ExtendedAdvertisement'!C9</f>
        <v>523.79999999999995</v>
      </c>
      <c r="D9" s="104">
        <f>'3V_1M_ExtendedAdvertisement'!D9</f>
        <v>3.1539999999999999</v>
      </c>
      <c r="E9" s="62">
        <f t="shared" si="0"/>
        <v>1652.0651999999998</v>
      </c>
      <c r="G9" s="84"/>
      <c r="H9" s="84"/>
    </row>
    <row r="10" spans="2:8" x14ac:dyDescent="0.4">
      <c r="B10" s="55" t="s">
        <v>7</v>
      </c>
      <c r="C10" s="62">
        <f>'3V_1M_ExtendedAdvertisement'!C10</f>
        <v>131.4</v>
      </c>
      <c r="D10" s="104">
        <f>'3V_1M_ExtendedAdvertisement'!D10</f>
        <v>7.2495111111111123</v>
      </c>
      <c r="E10" s="62">
        <f t="shared" si="0"/>
        <v>952.58576000000016</v>
      </c>
      <c r="G10" s="84"/>
      <c r="H10" s="84"/>
    </row>
    <row r="11" spans="2:8" x14ac:dyDescent="0.4">
      <c r="B11" s="55" t="s">
        <v>115</v>
      </c>
      <c r="C11" s="62">
        <f>'3V_1M_ExtendedAdvertisement'!C11</f>
        <v>523.79999999999995</v>
      </c>
      <c r="D11" s="104">
        <f>'3V_1M_ExtendedAdvertisement'!D11</f>
        <v>3.1539999999999999</v>
      </c>
      <c r="E11" s="62">
        <f t="shared" si="0"/>
        <v>1652.0651999999998</v>
      </c>
      <c r="G11" s="84"/>
      <c r="H11" s="84"/>
    </row>
    <row r="12" spans="2:8" x14ac:dyDescent="0.4">
      <c r="B12" s="55" t="s">
        <v>7</v>
      </c>
      <c r="C12" s="62">
        <f>'3V_1M_ExtendedAdvertisement'!C12</f>
        <v>131.4</v>
      </c>
      <c r="D12" s="104">
        <f>'3V_1M_ExtendedAdvertisement'!D12</f>
        <v>7.2495111111111123</v>
      </c>
      <c r="E12" s="62">
        <f t="shared" si="0"/>
        <v>952.58576000000016</v>
      </c>
      <c r="G12" s="84"/>
      <c r="H12" s="84"/>
    </row>
    <row r="13" spans="2:8" x14ac:dyDescent="0.4">
      <c r="B13" s="55" t="s">
        <v>115</v>
      </c>
      <c r="C13" s="62">
        <f>C9</f>
        <v>523.79999999999995</v>
      </c>
      <c r="D13" s="104">
        <f>D9</f>
        <v>3.1539999999999999</v>
      </c>
      <c r="E13" s="62">
        <f t="shared" si="0"/>
        <v>1652.0651999999998</v>
      </c>
      <c r="G13" s="84"/>
      <c r="H13" s="84"/>
    </row>
    <row r="14" spans="2:8" x14ac:dyDescent="0.4">
      <c r="B14" s="55" t="s">
        <v>116</v>
      </c>
      <c r="C14" s="62">
        <f>74.093+3.8365*('BLE - Peripheral'!$D$9-2)</f>
        <v>93.275500000000008</v>
      </c>
      <c r="D14" s="104">
        <f>IF('BLE - Peripheral'!$D$6=B41,C41,IF('BLE - Peripheral'!$D$6=B42,C42,IF('BLE - Peripheral'!$D$6=B43,C43,IF('BLE - Peripheral'!$D$6=B44,C44,IF('BLE - Peripheral'!$D$6=B45,C45,IF('BLE - Peripheral'!$D$6=B46,C46))))))</f>
        <v>7.4904666666666699</v>
      </c>
      <c r="E14" s="62">
        <f t="shared" si="0"/>
        <v>698.677023566667</v>
      </c>
      <c r="G14" s="84"/>
      <c r="H14" s="84"/>
    </row>
    <row r="15" spans="2:8" x14ac:dyDescent="0.4">
      <c r="B15" s="55" t="s">
        <v>9</v>
      </c>
      <c r="C15" s="62">
        <v>126.55555555555556</v>
      </c>
      <c r="D15" s="104">
        <v>5.8255666666666652</v>
      </c>
      <c r="E15" s="62">
        <f t="shared" si="0"/>
        <v>737.25782592592577</v>
      </c>
      <c r="G15" s="84"/>
      <c r="H15" s="84"/>
    </row>
    <row r="16" spans="2:8" ht="13.5" customHeight="1" x14ac:dyDescent="0.4">
      <c r="B16" s="55" t="s">
        <v>117</v>
      </c>
      <c r="C16" s="62">
        <v>98.444444444444443</v>
      </c>
      <c r="D16" s="104">
        <v>6.902855555555556</v>
      </c>
      <c r="E16" s="62">
        <f t="shared" si="0"/>
        <v>679.54778024691359</v>
      </c>
      <c r="G16" s="84"/>
      <c r="H16" s="84"/>
    </row>
    <row r="17" spans="2:8" x14ac:dyDescent="0.4">
      <c r="B17" s="55" t="s">
        <v>16</v>
      </c>
      <c r="C17" s="62">
        <v>898.33333333333337</v>
      </c>
      <c r="D17" s="104">
        <v>2.5685333333333333</v>
      </c>
      <c r="E17" s="62">
        <f t="shared" si="0"/>
        <v>2307.3991111111113</v>
      </c>
      <c r="G17" s="84"/>
      <c r="H17" s="84"/>
    </row>
    <row r="18" spans="2:8" x14ac:dyDescent="0.4">
      <c r="B18" s="55"/>
      <c r="C18" s="62"/>
      <c r="D18" s="104"/>
      <c r="E18" s="62"/>
      <c r="G18" s="84"/>
      <c r="H18" s="84"/>
    </row>
    <row r="19" spans="2:8" x14ac:dyDescent="0.4">
      <c r="B19" s="55"/>
      <c r="C19" s="62"/>
      <c r="D19" s="104"/>
      <c r="E19" s="62"/>
      <c r="G19" s="84"/>
      <c r="H19" s="84"/>
    </row>
    <row r="20" spans="2:8" x14ac:dyDescent="0.4">
      <c r="B20" s="55"/>
      <c r="C20" s="62"/>
      <c r="D20" s="62"/>
      <c r="E20" s="62"/>
      <c r="G20" s="84"/>
      <c r="H20" s="84"/>
    </row>
    <row r="21" spans="2:8" x14ac:dyDescent="0.4">
      <c r="B21" s="55"/>
      <c r="C21" s="62"/>
      <c r="D21" s="62"/>
      <c r="E21" s="62"/>
      <c r="G21" s="2"/>
      <c r="H21" s="2"/>
    </row>
    <row r="22" spans="2:8" x14ac:dyDescent="0.4">
      <c r="B22" s="55"/>
      <c r="C22" s="125"/>
      <c r="D22" s="129"/>
      <c r="E22" s="124"/>
      <c r="G22" s="2"/>
      <c r="H22" s="2"/>
    </row>
    <row r="23" spans="2:8" x14ac:dyDescent="0.4">
      <c r="B23" s="87" t="s">
        <v>56</v>
      </c>
      <c r="C23" s="120">
        <f>SUM(C6:C20)</f>
        <v>4788.0977222222218</v>
      </c>
      <c r="D23" s="6"/>
      <c r="E23" s="3"/>
    </row>
    <row r="24" spans="2:8" x14ac:dyDescent="0.4">
      <c r="B24" s="17" t="s">
        <v>43</v>
      </c>
      <c r="C24" s="64"/>
      <c r="D24" s="7"/>
      <c r="E24" s="66">
        <f>SUM(E6:E20)</f>
        <v>17611.734389986417</v>
      </c>
    </row>
    <row r="25" spans="2:8" x14ac:dyDescent="0.4">
      <c r="B25" s="32" t="s">
        <v>37</v>
      </c>
      <c r="C25" s="83"/>
      <c r="D25" s="9"/>
      <c r="E25" s="63">
        <f>1000*IF(E24=0,0,E24/C23)</f>
        <v>3678.2320269379488</v>
      </c>
    </row>
    <row r="26" spans="2:8" x14ac:dyDescent="0.4">
      <c r="B26" s="5"/>
      <c r="C26" s="2"/>
      <c r="D26" s="2"/>
      <c r="E26" s="2"/>
    </row>
    <row r="27" spans="2:8" ht="15" x14ac:dyDescent="0.4">
      <c r="B27" s="18" t="s">
        <v>54</v>
      </c>
      <c r="C27" s="86">
        <f>((E25*C23)+((('BLE - Peripheral'!D7*1000)-C23)*'Input arguments'!L4))/('BLE - Peripheral'!D7*1000)</f>
        <v>177.35509862947532</v>
      </c>
      <c r="D27" s="102" t="s">
        <v>38</v>
      </c>
    </row>
    <row r="28" spans="2:8" ht="15" x14ac:dyDescent="0.4">
      <c r="B28" s="18" t="s">
        <v>33</v>
      </c>
      <c r="C28" s="101">
        <f>'BLE - Peripheral'!D4/(C27/1000)</f>
        <v>1268.6412837223411</v>
      </c>
      <c r="D28" s="103" t="s">
        <v>18</v>
      </c>
    </row>
    <row r="29" spans="2:8" ht="15" x14ac:dyDescent="0.4">
      <c r="B29" s="99" t="s">
        <v>33</v>
      </c>
      <c r="C29" s="93">
        <f>C28/24</f>
        <v>52.860053488430879</v>
      </c>
      <c r="D29" s="102" t="s">
        <v>21</v>
      </c>
    </row>
    <row r="31" spans="2:8" ht="16.5" customHeight="1" x14ac:dyDescent="0.4"/>
    <row r="32" spans="2:8" ht="33" customHeight="1" x14ac:dyDescent="0.55000000000000004">
      <c r="B32" s="121" t="s">
        <v>119</v>
      </c>
      <c r="C32" s="122" t="s">
        <v>62</v>
      </c>
      <c r="D32" s="122"/>
    </row>
    <row r="33" spans="2:3" ht="14.4" x14ac:dyDescent="0.55000000000000004">
      <c r="B33" s="109">
        <f>'3V_1M_ExtendedAdvertisement'!B33</f>
        <v>-21</v>
      </c>
      <c r="C33" s="109">
        <f>'3V_1M_ExtendedAdvertisement'!C33</f>
        <v>4.7794444444444455</v>
      </c>
    </row>
    <row r="34" spans="2:3" ht="14.4" x14ac:dyDescent="0.55000000000000004">
      <c r="B34" s="109">
        <f>'3V_1M_ExtendedAdvertisement'!B34</f>
        <v>-15</v>
      </c>
      <c r="C34" s="109">
        <f>'3V_1M_ExtendedAdvertisement'!C34</f>
        <v>5.0636666666666672</v>
      </c>
    </row>
    <row r="35" spans="2:3" ht="14.4" x14ac:dyDescent="0.55000000000000004">
      <c r="B35" s="109">
        <f>'3V_1M_ExtendedAdvertisement'!B35</f>
        <v>-9</v>
      </c>
      <c r="C35" s="109">
        <f>'3V_1M_ExtendedAdvertisement'!C35</f>
        <v>5.5392777777777775</v>
      </c>
    </row>
    <row r="36" spans="2:3" ht="14.4" x14ac:dyDescent="0.55000000000000004">
      <c r="B36" s="109">
        <f>'3V_1M_ExtendedAdvertisement'!B36</f>
        <v>0</v>
      </c>
      <c r="C36" s="109">
        <f>'3V_1M_ExtendedAdvertisement'!C36</f>
        <v>7.2495111111111123</v>
      </c>
    </row>
    <row r="37" spans="2:3" ht="14.4" x14ac:dyDescent="0.55000000000000004">
      <c r="B37" s="109">
        <f>'3V_1M_ExtendedAdvertisement'!B37</f>
        <v>3</v>
      </c>
      <c r="C37" s="109">
        <f>'3V_1M_ExtendedAdvertisement'!C37</f>
        <v>8.5097333333333331</v>
      </c>
    </row>
    <row r="38" spans="2:3" ht="14.4" x14ac:dyDescent="0.55000000000000004">
      <c r="B38" s="109">
        <f>'3V_1M_ExtendedAdvertisement'!B38</f>
        <v>5</v>
      </c>
      <c r="C38" s="109">
        <f>'3V_1M_ExtendedAdvertisement'!C38</f>
        <v>9.5018999999999991</v>
      </c>
    </row>
    <row r="39" spans="2:3" ht="14.4" x14ac:dyDescent="0.55000000000000004">
      <c r="B39" s="109"/>
      <c r="C39" s="109"/>
    </row>
    <row r="40" spans="2:3" ht="28.8" x14ac:dyDescent="0.55000000000000004">
      <c r="B40" s="121" t="s">
        <v>120</v>
      </c>
      <c r="C40" s="122" t="s">
        <v>62</v>
      </c>
    </row>
    <row r="41" spans="2:3" ht="14.4" x14ac:dyDescent="0.55000000000000004">
      <c r="B41" s="109">
        <v>-21</v>
      </c>
      <c r="C41" s="140">
        <f>'3V_1M_ExtendedAdvertisement'!C41 *7.49046666666667/ '3V_1M_ExtendedAdvertisement'!$C$44</f>
        <v>4.938301183017197</v>
      </c>
    </row>
    <row r="42" spans="2:3" ht="14.4" x14ac:dyDescent="0.55000000000000004">
      <c r="B42" s="109">
        <v>-15</v>
      </c>
      <c r="C42" s="140">
        <f>'3V_1M_ExtendedAdvertisement'!C42 *7.49046666666667/ '3V_1M_ExtendedAdvertisement'!$C$44</f>
        <v>5.2319702386061309</v>
      </c>
    </row>
    <row r="43" spans="2:3" ht="14.4" x14ac:dyDescent="0.55000000000000004">
      <c r="B43" s="109">
        <v>-9</v>
      </c>
      <c r="C43" s="140">
        <f>'3V_1M_ExtendedAdvertisement'!C43 *7.49046666666667/ '3V_1M_ExtendedAdvertisement'!$C$44</f>
        <v>5.7233894694303791</v>
      </c>
    </row>
    <row r="44" spans="2:3" ht="14.4" x14ac:dyDescent="0.55000000000000004">
      <c r="B44" s="109">
        <v>0</v>
      </c>
      <c r="C44" s="140">
        <f>'3V_1M_ExtendedAdvertisement'!C44 *7.49046666666667/ '3V_1M_ExtendedAdvertisement'!$C$44</f>
        <v>7.4904666666666699</v>
      </c>
    </row>
    <row r="45" spans="2:3" ht="14.4" x14ac:dyDescent="0.55000000000000004">
      <c r="B45" s="109">
        <v>3</v>
      </c>
      <c r="C45" s="140">
        <f>'3V_1M_ExtendedAdvertisement'!C45 *7.49046666666667/ '3V_1M_ExtendedAdvertisement'!$C$44</f>
        <v>8.7925755128315188</v>
      </c>
    </row>
    <row r="46" spans="2:3" ht="14.4" x14ac:dyDescent="0.55000000000000004">
      <c r="B46" s="109">
        <v>5</v>
      </c>
      <c r="C46" s="140">
        <f>'3V_1M_ExtendedAdvertisement'!C46 *7.49046666666667/ '3V_1M_ExtendedAdvertisement'!$C$44</f>
        <v>9.8177193095013315</v>
      </c>
    </row>
    <row r="47" spans="2:3" x14ac:dyDescent="0.4">
      <c r="C47" s="123" t="s">
        <v>133</v>
      </c>
    </row>
  </sheetData>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G29"/>
  <sheetViews>
    <sheetView workbookViewId="0">
      <selection activeCell="D17" sqref="D17"/>
    </sheetView>
  </sheetViews>
  <sheetFormatPr defaultColWidth="8.83203125" defaultRowHeight="12.3" x14ac:dyDescent="0.4"/>
  <cols>
    <col min="2" max="2" width="27.44140625" customWidth="1"/>
  </cols>
  <sheetData>
    <row r="4" spans="2:7" x14ac:dyDescent="0.4">
      <c r="G4" s="2"/>
    </row>
    <row r="5" spans="2:7" ht="24.6" x14ac:dyDescent="0.4">
      <c r="B5" s="35" t="s">
        <v>3</v>
      </c>
      <c r="C5" s="134" t="s">
        <v>24</v>
      </c>
      <c r="D5" s="37" t="s">
        <v>25</v>
      </c>
      <c r="E5" s="16" t="s">
        <v>36</v>
      </c>
      <c r="G5" s="84"/>
    </row>
    <row r="6" spans="2:7" x14ac:dyDescent="0.4">
      <c r="B6" s="55" t="str">
        <f>'3V_2M_ExtendedAdvertisement'!B6</f>
        <v>Wake Up &amp; Pre-Processing</v>
      </c>
      <c r="C6" s="133">
        <f>'3V_2M_ExtendedAdvertisement'!C6</f>
        <v>1315.3333333333333</v>
      </c>
      <c r="D6" s="105">
        <f>('3V_2M_ExtendedAdvertisement'!D6)*3/1.8</f>
        <v>5.2879814814814807</v>
      </c>
      <c r="E6" s="62">
        <f t="shared" ref="E6:E17" si="0">C6*D6</f>
        <v>6955.4583086419743</v>
      </c>
      <c r="G6" s="84"/>
    </row>
    <row r="7" spans="2:7" x14ac:dyDescent="0.4">
      <c r="B7" s="55" t="str">
        <f>'3V_2M_ExtendedAdvertisement'!B7</f>
        <v>Radio Preparation</v>
      </c>
      <c r="C7" s="133">
        <f>'3V_2M_ExtendedAdvertisement'!C7</f>
        <v>290.55555555555554</v>
      </c>
      <c r="D7" s="105">
        <f>('3V_2M_ExtendedAdvertisement'!D7)*3/1.8</f>
        <v>6.8926851851851856</v>
      </c>
      <c r="E7" s="62">
        <f t="shared" si="0"/>
        <v>2002.7079732510288</v>
      </c>
      <c r="G7" s="84"/>
    </row>
    <row r="8" spans="2:7" x14ac:dyDescent="0.4">
      <c r="B8" s="55" t="str">
        <f>'3V_2M_ExtendedAdvertisement'!B8</f>
        <v>Transmit (TX)</v>
      </c>
      <c r="C8" s="133">
        <f>'3V_2M_ExtendedAdvertisement'!C8</f>
        <v>131.4</v>
      </c>
      <c r="D8" s="105">
        <f>('3V_2M_ExtendedAdvertisement'!D8)*3/1.8</f>
        <v>12.082518518518521</v>
      </c>
      <c r="E8" s="62">
        <f t="shared" si="0"/>
        <v>1587.6429333333338</v>
      </c>
      <c r="G8" s="84"/>
    </row>
    <row r="9" spans="2:7" x14ac:dyDescent="0.4">
      <c r="B9" s="55" t="str">
        <f>'3V_2M_ExtendedAdvertisement'!B9</f>
        <v>TX to TX transition</v>
      </c>
      <c r="C9" s="133">
        <f>'3V_2M_ExtendedAdvertisement'!C9</f>
        <v>523.79999999999995</v>
      </c>
      <c r="D9" s="105">
        <f>('3V_2M_ExtendedAdvertisement'!D9)*3/1.8</f>
        <v>5.2566666666666668</v>
      </c>
      <c r="E9" s="62">
        <f t="shared" si="0"/>
        <v>2753.442</v>
      </c>
      <c r="G9" s="84"/>
    </row>
    <row r="10" spans="2:7" x14ac:dyDescent="0.4">
      <c r="B10" s="55" t="str">
        <f>'3V_2M_ExtendedAdvertisement'!B10</f>
        <v>Transmit (TX)</v>
      </c>
      <c r="C10" s="133">
        <f>'3V_2M_ExtendedAdvertisement'!C10</f>
        <v>131.4</v>
      </c>
      <c r="D10" s="105">
        <f>('3V_2M_ExtendedAdvertisement'!D10)*3/1.8</f>
        <v>12.082518518518521</v>
      </c>
      <c r="E10" s="62">
        <f t="shared" si="0"/>
        <v>1587.6429333333338</v>
      </c>
      <c r="G10" s="84"/>
    </row>
    <row r="11" spans="2:7" x14ac:dyDescent="0.4">
      <c r="B11" s="55" t="str">
        <f>'3V_2M_ExtendedAdvertisement'!B11</f>
        <v>TX to TX transition</v>
      </c>
      <c r="C11" s="133">
        <f>'3V_2M_ExtendedAdvertisement'!C11</f>
        <v>523.79999999999995</v>
      </c>
      <c r="D11" s="105">
        <f>('3V_2M_ExtendedAdvertisement'!D11)*3/1.8</f>
        <v>5.2566666666666668</v>
      </c>
      <c r="E11" s="62">
        <f t="shared" si="0"/>
        <v>2753.442</v>
      </c>
      <c r="G11" s="84"/>
    </row>
    <row r="12" spans="2:7" x14ac:dyDescent="0.4">
      <c r="B12" s="55" t="str">
        <f>'3V_2M_ExtendedAdvertisement'!B12</f>
        <v>Transmit (TX)</v>
      </c>
      <c r="C12" s="133">
        <f>'3V_2M_ExtendedAdvertisement'!C12</f>
        <v>131.4</v>
      </c>
      <c r="D12" s="105">
        <f>('3V_2M_ExtendedAdvertisement'!D12)*3/1.8</f>
        <v>12.082518518518521</v>
      </c>
      <c r="E12" s="62">
        <f t="shared" si="0"/>
        <v>1587.6429333333338</v>
      </c>
      <c r="G12" s="84"/>
    </row>
    <row r="13" spans="2:7" x14ac:dyDescent="0.4">
      <c r="B13" s="55" t="str">
        <f>'3V_2M_ExtendedAdvertisement'!B13</f>
        <v>TX to TX transition</v>
      </c>
      <c r="C13" s="133">
        <f>'3V_2M_ExtendedAdvertisement'!C13</f>
        <v>523.79999999999995</v>
      </c>
      <c r="D13" s="105">
        <f>('3V_2M_ExtendedAdvertisement'!D13)*3/1.8</f>
        <v>5.2566666666666668</v>
      </c>
      <c r="E13" s="62">
        <f t="shared" si="0"/>
        <v>2753.442</v>
      </c>
      <c r="G13" s="84"/>
    </row>
    <row r="14" spans="2:7" ht="24.6" x14ac:dyDescent="0.4">
      <c r="B14" s="55" t="str">
        <f>'3V_2M_ExtendedAdvertisement'!B14</f>
        <v>Transmit (TX) – on secondary channel</v>
      </c>
      <c r="C14" s="133">
        <f>'3V_2M_ExtendedAdvertisement'!C14</f>
        <v>93.275500000000008</v>
      </c>
      <c r="D14" s="105">
        <f>('3V_2M_ExtendedAdvertisement'!D14)*3/1.8</f>
        <v>12.484111111111115</v>
      </c>
      <c r="E14" s="62">
        <f t="shared" si="0"/>
        <v>1164.4617059444449</v>
      </c>
      <c r="G14" s="84"/>
    </row>
    <row r="15" spans="2:7" x14ac:dyDescent="0.4">
      <c r="B15" s="55" t="str">
        <f>'3V_2M_ExtendedAdvertisement'!B15</f>
        <v>TX to RX transition</v>
      </c>
      <c r="C15" s="133">
        <f>'3V_2M_ExtendedAdvertisement'!C15</f>
        <v>126.55555555555556</v>
      </c>
      <c r="D15" s="105">
        <f>('3V_2M_ExtendedAdvertisement'!D15)*3/1.8</f>
        <v>9.7092777777777748</v>
      </c>
      <c r="E15" s="62">
        <f t="shared" si="0"/>
        <v>1228.7630432098763</v>
      </c>
      <c r="G15" s="84"/>
    </row>
    <row r="16" spans="2:7" ht="24.6" x14ac:dyDescent="0.4">
      <c r="B16" s="55" t="str">
        <f>'3V_2M_ExtendedAdvertisement'!B16</f>
        <v>Receive (RX) – on secondary channel</v>
      </c>
      <c r="C16" s="133">
        <f>'3V_2M_ExtendedAdvertisement'!C16</f>
        <v>98.444444444444443</v>
      </c>
      <c r="D16" s="105">
        <f>('3V_2M_ExtendedAdvertisement'!D16)*3/1.8</f>
        <v>11.504759259259261</v>
      </c>
      <c r="E16" s="62">
        <f t="shared" si="0"/>
        <v>1132.5796337448562</v>
      </c>
      <c r="G16" s="84"/>
    </row>
    <row r="17" spans="2:7" x14ac:dyDescent="0.4">
      <c r="B17" s="55" t="str">
        <f>'3V_2M_ExtendedAdvertisement'!B17</f>
        <v>Post-Processing</v>
      </c>
      <c r="C17" s="133">
        <f>'3V_2M_ExtendedAdvertisement'!C17</f>
        <v>898.33333333333337</v>
      </c>
      <c r="D17" s="105">
        <f>('3V_2M_ExtendedAdvertisement'!D17)*3/1.8</f>
        <v>4.2808888888888887</v>
      </c>
      <c r="E17" s="62">
        <f t="shared" si="0"/>
        <v>3845.6651851851852</v>
      </c>
      <c r="G17" s="84"/>
    </row>
    <row r="18" spans="2:7" x14ac:dyDescent="0.4">
      <c r="B18" s="55"/>
      <c r="C18" s="62"/>
      <c r="D18" s="104"/>
      <c r="E18" s="62"/>
      <c r="G18" s="84"/>
    </row>
    <row r="19" spans="2:7" x14ac:dyDescent="0.4">
      <c r="B19" s="55"/>
      <c r="C19" s="62"/>
      <c r="D19" s="104"/>
      <c r="E19" s="62"/>
      <c r="G19" s="84"/>
    </row>
    <row r="20" spans="2:7" x14ac:dyDescent="0.4">
      <c r="B20" s="55"/>
      <c r="C20" s="62"/>
      <c r="D20" s="62"/>
      <c r="E20" s="62"/>
      <c r="G20" s="84"/>
    </row>
    <row r="21" spans="2:7" x14ac:dyDescent="0.4">
      <c r="B21" s="55"/>
      <c r="C21" s="62"/>
      <c r="D21" s="62"/>
      <c r="E21" s="62"/>
      <c r="G21" s="2"/>
    </row>
    <row r="22" spans="2:7" x14ac:dyDescent="0.4">
      <c r="B22" s="55"/>
      <c r="C22" s="125"/>
      <c r="D22" s="129"/>
      <c r="E22" s="124"/>
      <c r="G22" s="2"/>
    </row>
    <row r="23" spans="2:7" ht="24.6" x14ac:dyDescent="0.4">
      <c r="B23" s="87" t="s">
        <v>56</v>
      </c>
      <c r="C23" s="120">
        <f>SUM(C6:C20)</f>
        <v>4788.0977222222218</v>
      </c>
      <c r="D23" s="6"/>
      <c r="E23" s="3"/>
    </row>
    <row r="24" spans="2:7" x14ac:dyDescent="0.4">
      <c r="B24" s="17" t="s">
        <v>43</v>
      </c>
      <c r="C24" s="64"/>
      <c r="D24" s="7"/>
      <c r="E24" s="66">
        <f>SUM(E6:E20)</f>
        <v>29352.890649977369</v>
      </c>
    </row>
    <row r="25" spans="2:7" ht="24.6" x14ac:dyDescent="0.4">
      <c r="B25" s="32" t="s">
        <v>37</v>
      </c>
      <c r="C25" s="83"/>
      <c r="D25" s="9"/>
      <c r="E25" s="63">
        <f>1000*IF(E24=0,0,E24/C23)</f>
        <v>6130.3867115632493</v>
      </c>
    </row>
    <row r="26" spans="2:7" x14ac:dyDescent="0.4">
      <c r="B26" s="5"/>
      <c r="C26" s="2"/>
      <c r="D26" s="2"/>
      <c r="E26" s="2"/>
    </row>
    <row r="27" spans="2:7" ht="24.6" x14ac:dyDescent="0.4">
      <c r="B27" s="18" t="s">
        <v>54</v>
      </c>
      <c r="C27" s="86">
        <f>((E25*C23)+((('BLE - Peripheral'!D7*1000)-C23)*'Input arguments'!L4))/('BLE - Peripheral'!D7*1000)</f>
        <v>294.76666122938485</v>
      </c>
      <c r="D27" s="102" t="s">
        <v>38</v>
      </c>
    </row>
    <row r="28" spans="2:7" ht="15" x14ac:dyDescent="0.4">
      <c r="B28" s="18" t="s">
        <v>33</v>
      </c>
      <c r="C28" s="101">
        <f>'BLE - Peripheral'!D4/(C27/1000)</f>
        <v>763.31563095226352</v>
      </c>
      <c r="D28" s="103" t="s">
        <v>18</v>
      </c>
    </row>
    <row r="29" spans="2:7" ht="15" x14ac:dyDescent="0.4">
      <c r="B29" s="99" t="s">
        <v>33</v>
      </c>
      <c r="C29" s="93">
        <f>C28/24</f>
        <v>31.804817956344312</v>
      </c>
      <c r="D29" s="102" t="s">
        <v>21</v>
      </c>
    </row>
  </sheetData>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G29"/>
  <sheetViews>
    <sheetView workbookViewId="0">
      <selection activeCell="G32" sqref="G32"/>
    </sheetView>
  </sheetViews>
  <sheetFormatPr defaultColWidth="8.83203125" defaultRowHeight="12.3" x14ac:dyDescent="0.4"/>
  <cols>
    <col min="2" max="2" width="25.5546875" customWidth="1"/>
    <col min="3" max="3" width="13" customWidth="1"/>
    <col min="4" max="4" width="12.71875" customWidth="1"/>
    <col min="5" max="5" width="13.83203125" customWidth="1"/>
  </cols>
  <sheetData>
    <row r="4" spans="2:7" x14ac:dyDescent="0.4">
      <c r="G4" s="84"/>
    </row>
    <row r="5" spans="2:7" ht="24.6" x14ac:dyDescent="0.4">
      <c r="B5" s="35" t="s">
        <v>3</v>
      </c>
      <c r="C5" s="134" t="s">
        <v>24</v>
      </c>
      <c r="D5" s="37" t="s">
        <v>25</v>
      </c>
      <c r="E5" s="16" t="s">
        <v>36</v>
      </c>
      <c r="G5" s="84"/>
    </row>
    <row r="6" spans="2:7" ht="14.25" customHeight="1" x14ac:dyDescent="0.4">
      <c r="B6" s="55" t="str">
        <f>'3V_2M_ExtendedAdvertisement'!B6</f>
        <v>Wake Up &amp; Pre-Processing</v>
      </c>
      <c r="C6" s="132">
        <f>'3V_2M_ExtendedAdvertisement'!C6</f>
        <v>1315.3333333333333</v>
      </c>
      <c r="D6" s="105">
        <f>('3V_2M_ExtendedAdvertisement'!D6)*3/3.6</f>
        <v>2.6439907407407404</v>
      </c>
      <c r="E6" s="62">
        <f t="shared" ref="E6:E17" si="0">C6*D6</f>
        <v>3477.7291543209872</v>
      </c>
      <c r="G6" s="84"/>
    </row>
    <row r="7" spans="2:7" x14ac:dyDescent="0.4">
      <c r="B7" s="55" t="str">
        <f>'3V_2M_ExtendedAdvertisement'!B7</f>
        <v>Radio Preparation</v>
      </c>
      <c r="C7" s="133">
        <f>'3V_2M_ExtendedAdvertisement'!C7</f>
        <v>290.55555555555554</v>
      </c>
      <c r="D7" s="105">
        <f>('3V_2M_ExtendedAdvertisement'!D7)*3/3.6</f>
        <v>3.4463425925925928</v>
      </c>
      <c r="E7" s="62">
        <f t="shared" si="0"/>
        <v>1001.3539866255144</v>
      </c>
      <c r="G7" s="84"/>
    </row>
    <row r="8" spans="2:7" x14ac:dyDescent="0.4">
      <c r="B8" s="55" t="str">
        <f>'3V_2M_ExtendedAdvertisement'!B8</f>
        <v>Transmit (TX)</v>
      </c>
      <c r="C8" s="133">
        <f>'3V_2M_ExtendedAdvertisement'!C8</f>
        <v>131.4</v>
      </c>
      <c r="D8" s="105">
        <f>('3V_2M_ExtendedAdvertisement'!D8)*3/3.6</f>
        <v>6.0412592592592604</v>
      </c>
      <c r="E8" s="62">
        <f t="shared" si="0"/>
        <v>793.82146666666688</v>
      </c>
      <c r="G8" s="84"/>
    </row>
    <row r="9" spans="2:7" x14ac:dyDescent="0.4">
      <c r="B9" s="55" t="str">
        <f>'3V_2M_ExtendedAdvertisement'!B9</f>
        <v>TX to TX transition</v>
      </c>
      <c r="C9" s="133">
        <f>'3V_2M_ExtendedAdvertisement'!C9</f>
        <v>523.79999999999995</v>
      </c>
      <c r="D9" s="105">
        <f>('3V_2M_ExtendedAdvertisement'!D9)*3/3.6</f>
        <v>2.6283333333333334</v>
      </c>
      <c r="E9" s="62">
        <f t="shared" si="0"/>
        <v>1376.721</v>
      </c>
      <c r="G9" s="84"/>
    </row>
    <row r="10" spans="2:7" x14ac:dyDescent="0.4">
      <c r="B10" s="55" t="str">
        <f>'3V_2M_ExtendedAdvertisement'!B10</f>
        <v>Transmit (TX)</v>
      </c>
      <c r="C10" s="133">
        <f>'3V_2M_ExtendedAdvertisement'!C10</f>
        <v>131.4</v>
      </c>
      <c r="D10" s="105">
        <f>('3V_2M_ExtendedAdvertisement'!D10)*3/3.6</f>
        <v>6.0412592592592604</v>
      </c>
      <c r="E10" s="62">
        <f t="shared" si="0"/>
        <v>793.82146666666688</v>
      </c>
      <c r="G10" s="84"/>
    </row>
    <row r="11" spans="2:7" x14ac:dyDescent="0.4">
      <c r="B11" s="55" t="str">
        <f>'3V_2M_ExtendedAdvertisement'!B11</f>
        <v>TX to TX transition</v>
      </c>
      <c r="C11" s="133">
        <f>'3V_2M_ExtendedAdvertisement'!C11</f>
        <v>523.79999999999995</v>
      </c>
      <c r="D11" s="105">
        <f>('3V_2M_ExtendedAdvertisement'!D11)*3/3.6</f>
        <v>2.6283333333333334</v>
      </c>
      <c r="E11" s="62">
        <f t="shared" si="0"/>
        <v>1376.721</v>
      </c>
      <c r="G11" s="84"/>
    </row>
    <row r="12" spans="2:7" x14ac:dyDescent="0.4">
      <c r="B12" s="55" t="str">
        <f>'3V_2M_ExtendedAdvertisement'!B12</f>
        <v>Transmit (TX)</v>
      </c>
      <c r="C12" s="133">
        <f>'3V_2M_ExtendedAdvertisement'!C12</f>
        <v>131.4</v>
      </c>
      <c r="D12" s="105">
        <f>('3V_2M_ExtendedAdvertisement'!D12)*3/3.6</f>
        <v>6.0412592592592604</v>
      </c>
      <c r="E12" s="62">
        <f t="shared" si="0"/>
        <v>793.82146666666688</v>
      </c>
      <c r="G12" s="84"/>
    </row>
    <row r="13" spans="2:7" x14ac:dyDescent="0.4">
      <c r="B13" s="55" t="str">
        <f>'3V_2M_ExtendedAdvertisement'!B13</f>
        <v>TX to TX transition</v>
      </c>
      <c r="C13" s="133">
        <f>'3V_2M_ExtendedAdvertisement'!C13</f>
        <v>523.79999999999995</v>
      </c>
      <c r="D13" s="105">
        <f>('3V_2M_ExtendedAdvertisement'!D13)*3/3.6</f>
        <v>2.6283333333333334</v>
      </c>
      <c r="E13" s="62">
        <f t="shared" si="0"/>
        <v>1376.721</v>
      </c>
      <c r="G13" s="84"/>
    </row>
    <row r="14" spans="2:7" ht="24.6" x14ac:dyDescent="0.4">
      <c r="B14" s="55" t="str">
        <f>'3V_2M_ExtendedAdvertisement'!B14</f>
        <v>Transmit (TX) – on secondary channel</v>
      </c>
      <c r="C14" s="133">
        <f>'3V_2M_ExtendedAdvertisement'!C14</f>
        <v>93.275500000000008</v>
      </c>
      <c r="D14" s="105">
        <f>('3V_2M_ExtendedAdvertisement'!D14)*3/3.6</f>
        <v>6.2420555555555577</v>
      </c>
      <c r="E14" s="62">
        <f t="shared" si="0"/>
        <v>582.23085297222246</v>
      </c>
      <c r="G14" s="84"/>
    </row>
    <row r="15" spans="2:7" x14ac:dyDescent="0.4">
      <c r="B15" s="55" t="str">
        <f>'3V_2M_ExtendedAdvertisement'!B15</f>
        <v>TX to RX transition</v>
      </c>
      <c r="C15" s="133">
        <f>'3V_2M_ExtendedAdvertisement'!C15</f>
        <v>126.55555555555556</v>
      </c>
      <c r="D15" s="105">
        <f>('3V_2M_ExtendedAdvertisement'!D15)*3/3.6</f>
        <v>4.8546388888888874</v>
      </c>
      <c r="E15" s="62">
        <f t="shared" si="0"/>
        <v>614.38152160493814</v>
      </c>
      <c r="G15" s="84"/>
    </row>
    <row r="16" spans="2:7" ht="24.6" x14ac:dyDescent="0.4">
      <c r="B16" s="55" t="str">
        <f>'3V_2M_ExtendedAdvertisement'!B16</f>
        <v>Receive (RX) – on secondary channel</v>
      </c>
      <c r="C16" s="133">
        <f>'3V_2M_ExtendedAdvertisement'!C16</f>
        <v>98.444444444444443</v>
      </c>
      <c r="D16" s="105">
        <f>('3V_2M_ExtendedAdvertisement'!D16)*3/3.6</f>
        <v>5.7523796296296306</v>
      </c>
      <c r="E16" s="62">
        <f t="shared" si="0"/>
        <v>566.2898168724281</v>
      </c>
      <c r="G16" s="84"/>
    </row>
    <row r="17" spans="2:7" x14ac:dyDescent="0.4">
      <c r="B17" s="55" t="str">
        <f>'3V_2M_ExtendedAdvertisement'!B17</f>
        <v>Post-Processing</v>
      </c>
      <c r="C17" s="133">
        <f>'3V_2M_ExtendedAdvertisement'!C17</f>
        <v>898.33333333333337</v>
      </c>
      <c r="D17" s="105">
        <f>('3V_2M_ExtendedAdvertisement'!D17)*3/3.6</f>
        <v>2.1404444444444444</v>
      </c>
      <c r="E17" s="62">
        <f t="shared" si="0"/>
        <v>1922.8325925925926</v>
      </c>
      <c r="G17" s="84"/>
    </row>
    <row r="18" spans="2:7" x14ac:dyDescent="0.4">
      <c r="B18" s="55"/>
      <c r="C18" s="62"/>
      <c r="D18" s="104"/>
      <c r="E18" s="62"/>
      <c r="G18" s="84"/>
    </row>
    <row r="19" spans="2:7" x14ac:dyDescent="0.4">
      <c r="B19" s="55"/>
      <c r="C19" s="62"/>
      <c r="D19" s="104"/>
      <c r="E19" s="62"/>
      <c r="G19" s="84"/>
    </row>
    <row r="20" spans="2:7" x14ac:dyDescent="0.4">
      <c r="B20" s="55"/>
      <c r="C20" s="62"/>
      <c r="D20" s="62"/>
      <c r="E20" s="62"/>
      <c r="G20" s="84"/>
    </row>
    <row r="21" spans="2:7" x14ac:dyDescent="0.4">
      <c r="B21" s="55"/>
      <c r="C21" s="62"/>
      <c r="D21" s="62"/>
      <c r="E21" s="62"/>
      <c r="G21" s="84"/>
    </row>
    <row r="22" spans="2:7" x14ac:dyDescent="0.4">
      <c r="B22" s="55"/>
      <c r="C22" s="125"/>
      <c r="D22" s="129"/>
      <c r="E22" s="124"/>
      <c r="G22" s="84"/>
    </row>
    <row r="23" spans="2:7" ht="24.6" x14ac:dyDescent="0.4">
      <c r="B23" s="87" t="s">
        <v>56</v>
      </c>
      <c r="C23" s="120">
        <f>SUM(C6:C20)</f>
        <v>4788.0977222222218</v>
      </c>
      <c r="D23" s="6"/>
      <c r="E23" s="3"/>
      <c r="G23" s="84"/>
    </row>
    <row r="24" spans="2:7" x14ac:dyDescent="0.4">
      <c r="B24" s="17" t="s">
        <v>43</v>
      </c>
      <c r="C24" s="64"/>
      <c r="D24" s="7"/>
      <c r="E24" s="66">
        <f>SUM(E6:E20)</f>
        <v>14676.445324988685</v>
      </c>
      <c r="G24" s="84"/>
    </row>
    <row r="25" spans="2:7" ht="24.6" x14ac:dyDescent="0.4">
      <c r="B25" s="32" t="s">
        <v>37</v>
      </c>
      <c r="C25" s="83"/>
      <c r="D25" s="9"/>
      <c r="E25" s="63">
        <f>1000*IF(E24=0,0,E24/C23)</f>
        <v>3065.1933557816246</v>
      </c>
    </row>
    <row r="26" spans="2:7" x14ac:dyDescent="0.4">
      <c r="B26" s="5"/>
      <c r="C26" s="2"/>
      <c r="D26" s="2"/>
      <c r="E26" s="2"/>
    </row>
    <row r="27" spans="2:7" ht="24.6" x14ac:dyDescent="0.4">
      <c r="B27" s="18" t="s">
        <v>54</v>
      </c>
      <c r="C27" s="86">
        <f>((E25*C23)+((('BLE - Peripheral'!D7*1000)-C23)*'Input arguments'!L4))/('BLE - Peripheral'!D7*1000)</f>
        <v>148.00220797949797</v>
      </c>
      <c r="D27" s="102" t="s">
        <v>38</v>
      </c>
    </row>
    <row r="28" spans="2:7" ht="15" x14ac:dyDescent="0.4">
      <c r="B28" s="18" t="s">
        <v>33</v>
      </c>
      <c r="C28" s="101">
        <f>'BLE - Peripheral'!D4/(C27/1000)</f>
        <v>1520.2475900303334</v>
      </c>
      <c r="D28" s="103" t="s">
        <v>18</v>
      </c>
    </row>
    <row r="29" spans="2:7" ht="15" x14ac:dyDescent="0.4">
      <c r="B29" s="99" t="s">
        <v>33</v>
      </c>
      <c r="C29" s="93">
        <f>C28/24</f>
        <v>63.343649584597223</v>
      </c>
      <c r="D29" s="102" t="s">
        <v>21</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L44"/>
  <sheetViews>
    <sheetView workbookViewId="0">
      <selection activeCell="D11" sqref="D11"/>
    </sheetView>
  </sheetViews>
  <sheetFormatPr defaultColWidth="8.83203125" defaultRowHeight="12.3" x14ac:dyDescent="0.4"/>
  <cols>
    <col min="2" max="2" width="24.27734375" bestFit="1" customWidth="1"/>
    <col min="8" max="8" width="24" bestFit="1" customWidth="1"/>
  </cols>
  <sheetData>
    <row r="4" spans="2:12" x14ac:dyDescent="0.4">
      <c r="G4" s="2"/>
      <c r="H4" s="2"/>
      <c r="I4" s="2"/>
      <c r="J4" s="2"/>
      <c r="K4" s="2"/>
      <c r="L4" s="2"/>
    </row>
    <row r="5" spans="2:12" ht="24.6" x14ac:dyDescent="0.4">
      <c r="B5" s="35" t="s">
        <v>3</v>
      </c>
      <c r="C5" s="36" t="s">
        <v>24</v>
      </c>
      <c r="D5" s="37" t="s">
        <v>25</v>
      </c>
      <c r="E5" s="85" t="s">
        <v>36</v>
      </c>
      <c r="G5" s="84"/>
      <c r="L5" s="84"/>
    </row>
    <row r="6" spans="2:12" ht="15" customHeight="1" x14ac:dyDescent="0.4">
      <c r="B6" s="55" t="s">
        <v>13</v>
      </c>
      <c r="C6" s="62">
        <v>1283.8888888888889</v>
      </c>
      <c r="D6" s="104">
        <v>3.1012666666666662</v>
      </c>
      <c r="E6" s="62">
        <f t="shared" ref="E6:E11" si="0">C6*D6</f>
        <v>3981.6818148148141</v>
      </c>
      <c r="G6" s="84"/>
      <c r="L6" s="84"/>
    </row>
    <row r="7" spans="2:12" x14ac:dyDescent="0.4">
      <c r="B7" s="55" t="s">
        <v>4</v>
      </c>
      <c r="C7" s="62">
        <v>394.22222222222223</v>
      </c>
      <c r="D7" s="104">
        <v>3.5755222222222218</v>
      </c>
      <c r="E7" s="62">
        <f t="shared" si="0"/>
        <v>1409.5503160493827</v>
      </c>
      <c r="G7" s="84"/>
      <c r="L7" s="84"/>
    </row>
    <row r="8" spans="2:12" x14ac:dyDescent="0.4">
      <c r="B8" s="55" t="s">
        <v>5</v>
      </c>
      <c r="C8" s="62">
        <f>IF('BLE - Peripheral'!$D$13=B34,C34,IF('BLE - Peripheral'!$D$13=B35,C35))</f>
        <v>461.33333333333331</v>
      </c>
      <c r="D8" s="104">
        <v>6.6891000000000007</v>
      </c>
      <c r="E8" s="62">
        <f t="shared" si="0"/>
        <v>3085.9048000000003</v>
      </c>
      <c r="G8" s="84"/>
      <c r="L8" s="84"/>
    </row>
    <row r="9" spans="2:12" x14ac:dyDescent="0.4">
      <c r="B9" s="55" t="s">
        <v>6</v>
      </c>
      <c r="C9" s="62">
        <v>109.22222222222223</v>
      </c>
      <c r="D9" s="104">
        <v>5.2093222222222222</v>
      </c>
      <c r="E9" s="62">
        <f t="shared" si="0"/>
        <v>568.97374938271605</v>
      </c>
      <c r="G9" s="84"/>
      <c r="L9" s="84"/>
    </row>
    <row r="10" spans="2:12" x14ac:dyDescent="0.4">
      <c r="B10" s="55" t="s">
        <v>7</v>
      </c>
      <c r="C10" s="62">
        <f>84.39+7.6258*'BLE - Peripheral'!$D$11</f>
        <v>84.39</v>
      </c>
      <c r="D10" s="104">
        <f>VLOOKUP('BLE - Peripheral'!$D$6,B39:C44,2)</f>
        <v>7.3402000000000003</v>
      </c>
      <c r="E10" s="62">
        <f t="shared" si="0"/>
        <v>619.43947800000001</v>
      </c>
      <c r="G10" s="84"/>
      <c r="L10" s="84"/>
    </row>
    <row r="11" spans="2:12" x14ac:dyDescent="0.4">
      <c r="B11" s="55" t="s">
        <v>16</v>
      </c>
      <c r="C11" s="104">
        <v>853.44444444444446</v>
      </c>
      <c r="D11" s="104">
        <v>2.6242222222222225</v>
      </c>
      <c r="E11" s="62">
        <f t="shared" si="0"/>
        <v>2239.6278765432103</v>
      </c>
      <c r="G11" s="84"/>
      <c r="L11" s="84"/>
    </row>
    <row r="12" spans="2:12" x14ac:dyDescent="0.4">
      <c r="B12" s="55"/>
      <c r="C12" s="126"/>
      <c r="D12" s="126"/>
      <c r="E12" s="128"/>
      <c r="G12" s="84"/>
      <c r="L12" s="84"/>
    </row>
    <row r="13" spans="2:12" x14ac:dyDescent="0.4">
      <c r="B13" s="55"/>
      <c r="C13" s="126"/>
      <c r="D13" s="126"/>
      <c r="E13" s="128"/>
      <c r="G13" s="84"/>
      <c r="L13" s="84"/>
    </row>
    <row r="14" spans="2:12" x14ac:dyDescent="0.4">
      <c r="B14" s="55"/>
      <c r="C14" s="126"/>
      <c r="D14" s="126"/>
      <c r="E14" s="128"/>
      <c r="G14" s="84"/>
      <c r="L14" s="84"/>
    </row>
    <row r="15" spans="2:12" x14ac:dyDescent="0.4">
      <c r="B15" s="55"/>
      <c r="C15" s="126"/>
      <c r="D15" s="126"/>
      <c r="E15" s="128"/>
      <c r="G15" s="84"/>
      <c r="L15" s="84"/>
    </row>
    <row r="16" spans="2:12" x14ac:dyDescent="0.4">
      <c r="B16" s="55"/>
      <c r="C16" s="126"/>
      <c r="D16" s="126"/>
      <c r="E16" s="128"/>
      <c r="G16" s="84"/>
      <c r="L16" s="84"/>
    </row>
    <row r="17" spans="2:12" x14ac:dyDescent="0.4">
      <c r="B17" s="55"/>
      <c r="C17" s="126"/>
      <c r="D17" s="126"/>
      <c r="E17" s="128"/>
      <c r="G17" s="84"/>
      <c r="L17" s="84"/>
    </row>
    <row r="18" spans="2:12" x14ac:dyDescent="0.4">
      <c r="B18" s="55"/>
      <c r="C18" s="126"/>
      <c r="D18" s="126"/>
      <c r="E18" s="128"/>
      <c r="G18" s="84"/>
      <c r="L18" s="84"/>
    </row>
    <row r="19" spans="2:12" x14ac:dyDescent="0.4">
      <c r="B19" s="55"/>
      <c r="C19" s="128"/>
      <c r="D19" s="138"/>
      <c r="E19" s="128"/>
      <c r="G19" s="84"/>
      <c r="L19" s="84"/>
    </row>
    <row r="20" spans="2:12" x14ac:dyDescent="0.4">
      <c r="B20" s="137"/>
      <c r="C20" s="128"/>
      <c r="D20" s="138"/>
      <c r="E20" s="128"/>
      <c r="G20" s="84"/>
      <c r="L20" s="84"/>
    </row>
    <row r="21" spans="2:12" x14ac:dyDescent="0.4">
      <c r="B21" s="59"/>
      <c r="C21" s="53"/>
      <c r="D21" s="49"/>
      <c r="E21" s="53"/>
      <c r="G21" s="84"/>
      <c r="L21" s="84"/>
    </row>
    <row r="22" spans="2:12" x14ac:dyDescent="0.4">
      <c r="B22" s="52"/>
      <c r="C22" s="54"/>
      <c r="D22" s="50"/>
      <c r="E22" s="54"/>
      <c r="G22" s="2"/>
      <c r="L22" s="2"/>
    </row>
    <row r="23" spans="2:12" ht="24.6" x14ac:dyDescent="0.4">
      <c r="B23" s="17" t="s">
        <v>42</v>
      </c>
      <c r="C23" s="115">
        <f>SUM(C6:C19)</f>
        <v>3186.5011111111107</v>
      </c>
      <c r="D23" s="6"/>
      <c r="E23" s="3"/>
      <c r="G23" s="2"/>
      <c r="L23" s="2"/>
    </row>
    <row r="24" spans="2:12" x14ac:dyDescent="0.4">
      <c r="B24" s="17" t="s">
        <v>43</v>
      </c>
      <c r="C24" s="25"/>
      <c r="D24" s="7"/>
      <c r="E24" s="66">
        <f>SUM(E6:E19)</f>
        <v>11905.178034790124</v>
      </c>
    </row>
    <row r="25" spans="2:12" ht="24.6" x14ac:dyDescent="0.4">
      <c r="B25" s="32" t="s">
        <v>55</v>
      </c>
      <c r="C25" s="83"/>
      <c r="D25" s="9"/>
      <c r="E25" s="63">
        <f>IF(E24=0,0,1000*E24/C23)</f>
        <v>3736.1286312681914</v>
      </c>
    </row>
    <row r="26" spans="2:12" x14ac:dyDescent="0.4">
      <c r="B26" s="5"/>
      <c r="C26" s="2"/>
      <c r="D26" s="2"/>
      <c r="E26" s="2"/>
    </row>
    <row r="27" spans="2:12" ht="24.6" x14ac:dyDescent="0.4">
      <c r="B27" s="99" t="s">
        <v>32</v>
      </c>
      <c r="C27" s="86">
        <f>((E25*C23)+((('BLE - Peripheral'!D10*1000)-C23)*'Input arguments'!L4))/('BLE - Peripheral'!D10*1000)</f>
        <v>120.3103558334568</v>
      </c>
      <c r="D27" s="102" t="s">
        <v>38</v>
      </c>
    </row>
    <row r="28" spans="2:12" ht="15" x14ac:dyDescent="0.4">
      <c r="B28" s="18" t="s">
        <v>33</v>
      </c>
      <c r="C28" s="100">
        <f>'BLE - Peripheral'!D4/(C27/1000)</f>
        <v>1870.1631995126252</v>
      </c>
      <c r="D28" s="103" t="s">
        <v>18</v>
      </c>
    </row>
    <row r="29" spans="2:12" ht="15" x14ac:dyDescent="0.4">
      <c r="B29" s="18" t="s">
        <v>33</v>
      </c>
      <c r="C29" s="93">
        <f>C28/24</f>
        <v>77.923466646359387</v>
      </c>
      <c r="D29" s="102" t="s">
        <v>21</v>
      </c>
    </row>
    <row r="33" spans="2:3" x14ac:dyDescent="0.4">
      <c r="B33" t="s">
        <v>67</v>
      </c>
      <c r="C33" t="s">
        <v>66</v>
      </c>
    </row>
    <row r="34" spans="2:3" x14ac:dyDescent="0.4">
      <c r="B34" t="str">
        <f>'Input arguments'!G2</f>
        <v>external 32kHz</v>
      </c>
      <c r="C34" s="110">
        <v>219.66666666666666</v>
      </c>
    </row>
    <row r="35" spans="2:3" x14ac:dyDescent="0.4">
      <c r="B35" t="str">
        <f>'Input arguments'!G3</f>
        <v>RCOSC_LF</v>
      </c>
      <c r="C35" s="110">
        <v>461.33333333333331</v>
      </c>
    </row>
    <row r="38" spans="2:3" ht="14.4" x14ac:dyDescent="0.55000000000000004">
      <c r="B38" s="109" t="s">
        <v>61</v>
      </c>
      <c r="C38" s="1" t="s">
        <v>62</v>
      </c>
    </row>
    <row r="39" spans="2:3" ht="14.4" x14ac:dyDescent="0.55000000000000004">
      <c r="B39" s="109">
        <v>-21</v>
      </c>
      <c r="C39" s="109">
        <v>4.8119000000000005</v>
      </c>
    </row>
    <row r="40" spans="2:3" ht="14.4" x14ac:dyDescent="0.55000000000000004">
      <c r="B40" s="109">
        <v>-15</v>
      </c>
      <c r="C40" s="109">
        <v>5.0670333333333328</v>
      </c>
    </row>
    <row r="41" spans="2:3" ht="14.4" x14ac:dyDescent="0.55000000000000004">
      <c r="B41" s="109">
        <v>-9</v>
      </c>
      <c r="C41" s="109">
        <v>5.5009666666666668</v>
      </c>
    </row>
    <row r="42" spans="2:3" ht="14.4" x14ac:dyDescent="0.55000000000000004">
      <c r="B42" s="109">
        <v>0</v>
      </c>
      <c r="C42" s="109">
        <v>7.3402000000000003</v>
      </c>
    </row>
    <row r="43" spans="2:3" ht="14.4" x14ac:dyDescent="0.55000000000000004">
      <c r="B43" s="109">
        <v>3</v>
      </c>
      <c r="C43" s="109">
        <v>8.5862333333333343</v>
      </c>
    </row>
    <row r="44" spans="2:3" ht="14.4" x14ac:dyDescent="0.55000000000000004">
      <c r="B44" s="109">
        <v>5</v>
      </c>
      <c r="C44" s="109">
        <v>10.439366666666666</v>
      </c>
    </row>
  </sheetData>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L44"/>
  <sheetViews>
    <sheetView topLeftCell="A4" zoomScale="115" zoomScaleNormal="115" workbookViewId="0">
      <selection activeCell="C39" sqref="C39"/>
    </sheetView>
  </sheetViews>
  <sheetFormatPr defaultColWidth="8.83203125" defaultRowHeight="12.3" x14ac:dyDescent="0.4"/>
  <cols>
    <col min="2" max="2" width="34.44140625" customWidth="1"/>
    <col min="3" max="3" width="14.27734375" customWidth="1"/>
    <col min="5" max="5" width="11" customWidth="1"/>
    <col min="8" max="8" width="24" bestFit="1" customWidth="1"/>
  </cols>
  <sheetData>
    <row r="4" spans="2:12" x14ac:dyDescent="0.4">
      <c r="G4" s="2"/>
      <c r="H4" s="2"/>
      <c r="I4" s="2"/>
      <c r="J4" s="2"/>
      <c r="K4" s="2"/>
      <c r="L4" s="2"/>
    </row>
    <row r="5" spans="2:12" ht="24.6" x14ac:dyDescent="0.4">
      <c r="B5" s="35" t="s">
        <v>3</v>
      </c>
      <c r="C5" s="36" t="s">
        <v>24</v>
      </c>
      <c r="D5" s="37" t="s">
        <v>25</v>
      </c>
      <c r="E5" s="85" t="s">
        <v>36</v>
      </c>
      <c r="G5" s="84"/>
      <c r="L5" s="84"/>
    </row>
    <row r="6" spans="2:12" ht="15" customHeight="1" x14ac:dyDescent="0.4">
      <c r="B6" s="55" t="s">
        <v>13</v>
      </c>
      <c r="C6" s="62">
        <v>1755.2</v>
      </c>
      <c r="D6" s="104">
        <v>3.1791999999999998</v>
      </c>
      <c r="E6" s="62">
        <f>C6*D6</f>
        <v>5580.13184</v>
      </c>
      <c r="G6" s="84"/>
      <c r="L6" s="84"/>
    </row>
    <row r="7" spans="2:12" x14ac:dyDescent="0.4">
      <c r="B7" s="55" t="s">
        <v>145</v>
      </c>
      <c r="C7" s="62">
        <f>'BLE - Central'!D7*1000</f>
        <v>500000</v>
      </c>
      <c r="D7" s="104">
        <f>C38</f>
        <v>6.4947999999999997</v>
      </c>
      <c r="E7" s="62">
        <f>C7*D7</f>
        <v>3247400</v>
      </c>
      <c r="G7" s="84"/>
      <c r="L7" s="84"/>
    </row>
    <row r="8" spans="2:12" x14ac:dyDescent="0.4">
      <c r="B8" s="55" t="s">
        <v>146</v>
      </c>
      <c r="C8" s="62">
        <v>854</v>
      </c>
      <c r="D8" s="104">
        <v>2.8071000000000002</v>
      </c>
      <c r="E8" s="62">
        <f>C8*D8</f>
        <v>2397.2634000000003</v>
      </c>
      <c r="G8" s="84"/>
      <c r="L8" s="84"/>
    </row>
    <row r="9" spans="2:12" x14ac:dyDescent="0.4">
      <c r="B9" s="55" t="s">
        <v>164</v>
      </c>
      <c r="C9" s="62">
        <f>'BLE - Central'!D9*1000-C6-C8</f>
        <v>777390.8</v>
      </c>
      <c r="D9" s="104">
        <f>'Input arguments'!L4 / 1000</f>
        <v>1.2999999999999999E-3</v>
      </c>
      <c r="E9" s="62">
        <f>C9*D9</f>
        <v>1010.60804</v>
      </c>
      <c r="G9" s="84"/>
      <c r="L9" s="84"/>
    </row>
    <row r="10" spans="2:12" x14ac:dyDescent="0.4">
      <c r="B10" s="55"/>
      <c r="C10" s="62"/>
      <c r="D10" s="104"/>
      <c r="E10" s="62"/>
      <c r="G10" s="84"/>
      <c r="L10" s="84"/>
    </row>
    <row r="11" spans="2:12" x14ac:dyDescent="0.4">
      <c r="B11" s="55"/>
      <c r="C11" s="104"/>
      <c r="D11" s="104"/>
      <c r="E11" s="62"/>
      <c r="G11" s="84"/>
      <c r="L11" s="84"/>
    </row>
    <row r="12" spans="2:12" x14ac:dyDescent="0.4">
      <c r="B12" s="55"/>
      <c r="C12" s="126"/>
      <c r="D12" s="126"/>
      <c r="E12" s="128"/>
      <c r="G12" s="84"/>
      <c r="L12" s="84"/>
    </row>
    <row r="13" spans="2:12" x14ac:dyDescent="0.4">
      <c r="B13" s="55"/>
      <c r="C13" s="126"/>
      <c r="D13" s="126"/>
      <c r="E13" s="128"/>
      <c r="G13" s="84"/>
      <c r="L13" s="84"/>
    </row>
    <row r="14" spans="2:12" x14ac:dyDescent="0.4">
      <c r="B14" s="55"/>
      <c r="C14" s="126"/>
      <c r="D14" s="126"/>
      <c r="E14" s="128"/>
      <c r="G14" s="84"/>
      <c r="L14" s="84"/>
    </row>
    <row r="15" spans="2:12" x14ac:dyDescent="0.4">
      <c r="B15" s="55"/>
      <c r="C15" s="126"/>
      <c r="D15" s="126"/>
      <c r="E15" s="128"/>
      <c r="G15" s="84"/>
      <c r="L15" s="84"/>
    </row>
    <row r="16" spans="2:12" x14ac:dyDescent="0.4">
      <c r="B16" s="55"/>
      <c r="C16" s="126"/>
      <c r="D16" s="126"/>
      <c r="E16" s="128"/>
      <c r="G16" s="84"/>
      <c r="L16" s="84"/>
    </row>
    <row r="17" spans="2:12" x14ac:dyDescent="0.4">
      <c r="B17" s="55"/>
      <c r="C17" s="126"/>
      <c r="D17" s="126"/>
      <c r="E17" s="128"/>
      <c r="G17" s="84"/>
      <c r="L17" s="84"/>
    </row>
    <row r="18" spans="2:12" x14ac:dyDescent="0.4">
      <c r="B18" s="55"/>
      <c r="C18" s="126"/>
      <c r="D18" s="126"/>
      <c r="E18" s="128"/>
      <c r="G18" s="84"/>
      <c r="L18" s="84"/>
    </row>
    <row r="19" spans="2:12" x14ac:dyDescent="0.4">
      <c r="B19" s="55"/>
      <c r="C19" s="128"/>
      <c r="D19" s="138"/>
      <c r="E19" s="128"/>
      <c r="G19" s="84"/>
      <c r="L19" s="84"/>
    </row>
    <row r="20" spans="2:12" x14ac:dyDescent="0.4">
      <c r="B20" s="137"/>
      <c r="C20" s="128"/>
      <c r="D20" s="138"/>
      <c r="E20" s="128"/>
      <c r="G20" s="84"/>
      <c r="L20" s="84"/>
    </row>
    <row r="21" spans="2:12" x14ac:dyDescent="0.4">
      <c r="B21" s="59"/>
      <c r="C21" s="53"/>
      <c r="D21" s="49"/>
      <c r="E21" s="53"/>
      <c r="G21" s="84"/>
      <c r="L21" s="84"/>
    </row>
    <row r="22" spans="2:12" x14ac:dyDescent="0.4">
      <c r="B22" s="52"/>
      <c r="C22" s="54"/>
      <c r="D22" s="50"/>
      <c r="E22" s="54"/>
      <c r="G22" s="2"/>
      <c r="L22" s="2"/>
    </row>
    <row r="23" spans="2:12" x14ac:dyDescent="0.4">
      <c r="B23" s="17" t="s">
        <v>148</v>
      </c>
      <c r="C23" s="115">
        <f>SUM(C6:C19)</f>
        <v>1280000</v>
      </c>
      <c r="D23" s="6"/>
      <c r="E23" s="3"/>
      <c r="G23" s="2"/>
      <c r="L23" s="2"/>
    </row>
    <row r="24" spans="2:12" x14ac:dyDescent="0.4">
      <c r="B24" s="17" t="s">
        <v>43</v>
      </c>
      <c r="C24" s="25"/>
      <c r="D24" s="7"/>
      <c r="E24" s="66">
        <f>SUM(E6:E19)</f>
        <v>3256388.0032799998</v>
      </c>
    </row>
    <row r="25" spans="2:12" ht="24.6" x14ac:dyDescent="0.4">
      <c r="B25" s="32" t="s">
        <v>149</v>
      </c>
      <c r="C25" s="83"/>
      <c r="D25" s="9"/>
      <c r="E25" s="63">
        <f>IF(E24=0,0,1000*E24/C23)</f>
        <v>2544.0531275624999</v>
      </c>
    </row>
    <row r="26" spans="2:12" x14ac:dyDescent="0.4">
      <c r="B26" s="5"/>
      <c r="C26" s="2"/>
      <c r="D26" s="2"/>
      <c r="E26" s="2"/>
    </row>
    <row r="27" spans="2:12" ht="24.6" x14ac:dyDescent="0.4">
      <c r="B27" s="99" t="s">
        <v>147</v>
      </c>
      <c r="C27" s="86">
        <f>E25</f>
        <v>2544.0531275624999</v>
      </c>
      <c r="D27" s="102" t="s">
        <v>38</v>
      </c>
    </row>
    <row r="28" spans="2:12" ht="15" x14ac:dyDescent="0.4">
      <c r="B28" s="18" t="s">
        <v>33</v>
      </c>
      <c r="C28" s="100">
        <f>'BLE - Central'!D4/(C27/1000)</f>
        <v>88.441549259459165</v>
      </c>
      <c r="D28" s="103" t="s">
        <v>18</v>
      </c>
    </row>
    <row r="29" spans="2:12" ht="15" x14ac:dyDescent="0.4">
      <c r="B29" s="18" t="s">
        <v>33</v>
      </c>
      <c r="C29" s="93">
        <f>C28/24</f>
        <v>3.6850645524774652</v>
      </c>
      <c r="D29" s="102" t="s">
        <v>21</v>
      </c>
    </row>
    <row r="33" spans="2:3" x14ac:dyDescent="0.4">
      <c r="B33" s="1" t="s">
        <v>155</v>
      </c>
      <c r="C33">
        <f>IF(EXACT('BLE - Central'!D10,'Input arguments'!H3),'BLE - Central'!E10,0)</f>
        <v>5</v>
      </c>
    </row>
    <row r="34" spans="2:3" x14ac:dyDescent="0.4">
      <c r="B34" s="1" t="s">
        <v>151</v>
      </c>
      <c r="C34" s="110">
        <v>740</v>
      </c>
    </row>
    <row r="35" spans="2:3" x14ac:dyDescent="0.4">
      <c r="B35" s="1" t="s">
        <v>152</v>
      </c>
      <c r="C35" s="110">
        <v>8.48</v>
      </c>
    </row>
    <row r="36" spans="2:3" x14ac:dyDescent="0.4">
      <c r="B36" s="1" t="s">
        <v>153</v>
      </c>
      <c r="C36">
        <v>6.48</v>
      </c>
    </row>
    <row r="37" spans="2:3" x14ac:dyDescent="0.4">
      <c r="B37" s="1" t="s">
        <v>154</v>
      </c>
      <c r="C37">
        <f>($C$7-$C$33*$C$34)</f>
        <v>496300</v>
      </c>
    </row>
    <row r="38" spans="2:3" x14ac:dyDescent="0.4">
      <c r="B38" s="1" t="s">
        <v>156</v>
      </c>
      <c r="C38" s="1">
        <f>IF(C7&gt;0,(C33*C34*C35+C36*C37)/$C$7,0)</f>
        <v>6.4947999999999997</v>
      </c>
    </row>
    <row r="39" spans="2:3" ht="14.4" x14ac:dyDescent="0.55000000000000004">
      <c r="B39" s="109"/>
      <c r="C39" s="109"/>
    </row>
    <row r="40" spans="2:3" ht="14.4" x14ac:dyDescent="0.55000000000000004">
      <c r="B40" s="109"/>
      <c r="C40" s="109"/>
    </row>
    <row r="41" spans="2:3" ht="14.4" x14ac:dyDescent="0.55000000000000004">
      <c r="B41" s="109"/>
      <c r="C41" s="109"/>
    </row>
    <row r="42" spans="2:3" ht="14.4" x14ac:dyDescent="0.55000000000000004">
      <c r="B42" s="109"/>
      <c r="C42" s="109"/>
    </row>
    <row r="43" spans="2:3" ht="14.4" x14ac:dyDescent="0.55000000000000004">
      <c r="B43" s="109"/>
      <c r="C43" s="109"/>
    </row>
    <row r="44" spans="2:3" ht="14.4" x14ac:dyDescent="0.55000000000000004">
      <c r="B44" s="109"/>
      <c r="C44" s="109"/>
    </row>
  </sheetData>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J29"/>
  <sheetViews>
    <sheetView zoomScale="145" zoomScaleNormal="145" workbookViewId="0">
      <selection activeCell="F34" sqref="F34"/>
    </sheetView>
  </sheetViews>
  <sheetFormatPr defaultColWidth="8.83203125" defaultRowHeight="12.3" x14ac:dyDescent="0.4"/>
  <cols>
    <col min="2" max="2" width="27.44140625" customWidth="1"/>
    <col min="8" max="8" width="24.27734375" customWidth="1"/>
  </cols>
  <sheetData>
    <row r="4" spans="2:10" x14ac:dyDescent="0.4">
      <c r="G4" s="2"/>
      <c r="H4" s="2"/>
      <c r="I4" s="2"/>
      <c r="J4" s="2"/>
    </row>
    <row r="5" spans="2:10" ht="24.6" x14ac:dyDescent="0.4">
      <c r="B5" s="35" t="s">
        <v>3</v>
      </c>
      <c r="C5" s="36" t="s">
        <v>24</v>
      </c>
      <c r="D5" s="37" t="s">
        <v>25</v>
      </c>
      <c r="E5" s="85" t="s">
        <v>36</v>
      </c>
      <c r="G5" s="84"/>
    </row>
    <row r="6" spans="2:10" x14ac:dyDescent="0.4">
      <c r="B6" s="55" t="str">
        <f>'3V_Scanning'!B6</f>
        <v>Wake Up &amp; Pre-processing</v>
      </c>
      <c r="C6" s="106">
        <f>'3V_Scanning'!C6</f>
        <v>1755.2</v>
      </c>
      <c r="D6" s="105">
        <f>('3V_Scanning'!D6)*3/3.6</f>
        <v>2.6493333333333333</v>
      </c>
      <c r="E6" s="62">
        <f t="shared" ref="E6:E11" si="0">C6*D6</f>
        <v>4650.1098666666667</v>
      </c>
      <c r="G6" s="84"/>
    </row>
    <row r="7" spans="2:10" x14ac:dyDescent="0.4">
      <c r="B7" s="55" t="str">
        <f>'3V_Scanning'!B7</f>
        <v>Receive (RX)</v>
      </c>
      <c r="C7" s="106">
        <f>'3V_Scanning'!C7</f>
        <v>500000</v>
      </c>
      <c r="D7" s="105">
        <f>('3V_Scanning'!D7)*3/3.6</f>
        <v>5.4123333333333337</v>
      </c>
      <c r="E7" s="62">
        <f t="shared" si="0"/>
        <v>2706166.666666667</v>
      </c>
      <c r="G7" s="84"/>
    </row>
    <row r="8" spans="2:10" x14ac:dyDescent="0.4">
      <c r="B8" s="55" t="str">
        <f>'3V_Scanning'!B8</f>
        <v>Post-processing</v>
      </c>
      <c r="C8" s="106">
        <f>'3V_Scanning'!C8</f>
        <v>854</v>
      </c>
      <c r="D8" s="105">
        <f>('3V_Scanning'!D8)*3/3.6</f>
        <v>2.3392500000000003</v>
      </c>
      <c r="E8" s="62">
        <f t="shared" si="0"/>
        <v>1997.7195000000002</v>
      </c>
      <c r="G8" s="84"/>
    </row>
    <row r="9" spans="2:10" x14ac:dyDescent="0.4">
      <c r="B9" s="55" t="str">
        <f>'3V_Scanning'!B9</f>
        <v>Standby</v>
      </c>
      <c r="C9" s="106">
        <f>'3V_Scanning'!C9</f>
        <v>777390.8</v>
      </c>
      <c r="D9" s="105">
        <f>('3V_Scanning'!D9)*3/3.6</f>
        <v>1.0833333333333333E-3</v>
      </c>
      <c r="E9" s="62">
        <f t="shared" si="0"/>
        <v>842.17336666666665</v>
      </c>
      <c r="G9" s="84"/>
    </row>
    <row r="10" spans="2:10" x14ac:dyDescent="0.4">
      <c r="B10" s="55">
        <f>'3V_Scanning'!B10</f>
        <v>0</v>
      </c>
      <c r="C10" s="106">
        <f>'3V_Scanning'!C10</f>
        <v>0</v>
      </c>
      <c r="D10" s="105">
        <f>('3V_Scanning'!D10)*3/3.6</f>
        <v>0</v>
      </c>
      <c r="E10" s="62">
        <f t="shared" si="0"/>
        <v>0</v>
      </c>
      <c r="G10" s="84"/>
    </row>
    <row r="11" spans="2:10" x14ac:dyDescent="0.4">
      <c r="B11" s="55">
        <f>'3V_Scanning'!B11</f>
        <v>0</v>
      </c>
      <c r="C11" s="106">
        <f>'3V_Scanning'!C11</f>
        <v>0</v>
      </c>
      <c r="D11" s="105">
        <f>('3V_Scanning'!D11)*3/3.6</f>
        <v>0</v>
      </c>
      <c r="E11" s="62">
        <f t="shared" si="0"/>
        <v>0</v>
      </c>
      <c r="G11" s="84"/>
    </row>
    <row r="12" spans="2:10" x14ac:dyDescent="0.4">
      <c r="B12" s="55"/>
      <c r="C12" s="126"/>
      <c r="D12" s="126"/>
      <c r="E12" s="128"/>
      <c r="G12" s="84"/>
    </row>
    <row r="13" spans="2:10" x14ac:dyDescent="0.4">
      <c r="B13" s="55"/>
      <c r="C13" s="126"/>
      <c r="D13" s="126"/>
      <c r="E13" s="128"/>
      <c r="G13" s="84"/>
    </row>
    <row r="14" spans="2:10" x14ac:dyDescent="0.4">
      <c r="B14" s="55"/>
      <c r="C14" s="126"/>
      <c r="D14" s="126"/>
      <c r="E14" s="128"/>
      <c r="G14" s="84"/>
    </row>
    <row r="15" spans="2:10" x14ac:dyDescent="0.4">
      <c r="B15" s="55"/>
      <c r="C15" s="126"/>
      <c r="D15" s="126"/>
      <c r="E15" s="128"/>
      <c r="G15" s="84"/>
    </row>
    <row r="16" spans="2:10" x14ac:dyDescent="0.4">
      <c r="B16" s="55"/>
      <c r="C16" s="126"/>
      <c r="D16" s="126"/>
      <c r="E16" s="128"/>
      <c r="G16" s="84"/>
    </row>
    <row r="17" spans="2:7" x14ac:dyDescent="0.4">
      <c r="B17" s="55"/>
      <c r="C17" s="126"/>
      <c r="D17" s="126"/>
      <c r="E17" s="128"/>
      <c r="G17" s="84"/>
    </row>
    <row r="18" spans="2:7" x14ac:dyDescent="0.4">
      <c r="B18" s="55"/>
      <c r="C18" s="126"/>
      <c r="D18" s="126"/>
      <c r="E18" s="128"/>
      <c r="G18" s="84"/>
    </row>
    <row r="19" spans="2:7" x14ac:dyDescent="0.4">
      <c r="B19" s="55"/>
      <c r="C19" s="128"/>
      <c r="D19" s="138"/>
      <c r="E19" s="128"/>
      <c r="G19" s="84"/>
    </row>
    <row r="20" spans="2:7" x14ac:dyDescent="0.4">
      <c r="B20" s="137"/>
      <c r="C20" s="128"/>
      <c r="D20" s="138"/>
      <c r="E20" s="128"/>
      <c r="G20" s="84"/>
    </row>
    <row r="21" spans="2:7" x14ac:dyDescent="0.4">
      <c r="B21" s="59"/>
      <c r="C21" s="53"/>
      <c r="D21" s="49"/>
      <c r="E21" s="53"/>
      <c r="G21" s="2"/>
    </row>
    <row r="22" spans="2:7" x14ac:dyDescent="0.4">
      <c r="B22" s="52"/>
      <c r="C22" s="54"/>
      <c r="D22" s="50"/>
      <c r="E22" s="54"/>
      <c r="G22" s="2"/>
    </row>
    <row r="23" spans="2:7" ht="24.6" x14ac:dyDescent="0.4">
      <c r="B23" s="17" t="s">
        <v>42</v>
      </c>
      <c r="C23" s="115">
        <f>SUM(C6:C19)</f>
        <v>1280000</v>
      </c>
      <c r="D23" s="6"/>
      <c r="E23" s="3"/>
    </row>
    <row r="24" spans="2:7" x14ac:dyDescent="0.4">
      <c r="B24" s="17" t="s">
        <v>43</v>
      </c>
      <c r="C24" s="25"/>
      <c r="D24" s="7"/>
      <c r="E24" s="66">
        <f>SUM(E6:E19)</f>
        <v>2713656.6694000005</v>
      </c>
    </row>
    <row r="25" spans="2:7" ht="24.6" x14ac:dyDescent="0.4">
      <c r="B25" s="32" t="s">
        <v>55</v>
      </c>
      <c r="C25" s="83"/>
      <c r="D25" s="9"/>
      <c r="E25" s="63">
        <f>IF(E24=0,0,1000*E24/C23)</f>
        <v>2120.0442729687506</v>
      </c>
    </row>
    <row r="26" spans="2:7" x14ac:dyDescent="0.4">
      <c r="B26" s="5"/>
      <c r="C26" s="2"/>
      <c r="D26" s="2"/>
      <c r="E26" s="2"/>
    </row>
    <row r="27" spans="2:7" ht="24.6" x14ac:dyDescent="0.4">
      <c r="B27" s="99" t="s">
        <v>32</v>
      </c>
      <c r="C27" s="86">
        <f>E25</f>
        <v>2120.0442729687506</v>
      </c>
      <c r="D27" s="102" t="s">
        <v>38</v>
      </c>
    </row>
    <row r="28" spans="2:7" ht="15" x14ac:dyDescent="0.4">
      <c r="B28" s="18" t="s">
        <v>33</v>
      </c>
      <c r="C28" s="100">
        <f>'BLE - Central'!D4/(C27/1000)</f>
        <v>106.12985911135097</v>
      </c>
      <c r="D28" s="103" t="s">
        <v>18</v>
      </c>
    </row>
    <row r="29" spans="2:7" ht="15" x14ac:dyDescent="0.4">
      <c r="B29" s="18" t="s">
        <v>33</v>
      </c>
      <c r="C29" s="93">
        <f>C28/24</f>
        <v>4.4220774629729567</v>
      </c>
      <c r="D29" s="102" t="s">
        <v>21</v>
      </c>
    </row>
  </sheetData>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J29"/>
  <sheetViews>
    <sheetView topLeftCell="A10" zoomScale="145" zoomScaleNormal="145" workbookViewId="0">
      <selection activeCell="F32" sqref="F32"/>
    </sheetView>
  </sheetViews>
  <sheetFormatPr defaultColWidth="8.83203125" defaultRowHeight="12.3" x14ac:dyDescent="0.4"/>
  <cols>
    <col min="2" max="2" width="27.44140625" customWidth="1"/>
    <col min="8" max="8" width="24.27734375" customWidth="1"/>
  </cols>
  <sheetData>
    <row r="4" spans="2:10" x14ac:dyDescent="0.4">
      <c r="G4" s="2"/>
      <c r="H4" s="2"/>
      <c r="I4" s="2"/>
      <c r="J4" s="2"/>
    </row>
    <row r="5" spans="2:10" ht="24.6" x14ac:dyDescent="0.4">
      <c r="B5" s="35" t="s">
        <v>3</v>
      </c>
      <c r="C5" s="36" t="s">
        <v>24</v>
      </c>
      <c r="D5" s="37" t="s">
        <v>25</v>
      </c>
      <c r="E5" s="85" t="s">
        <v>36</v>
      </c>
      <c r="G5" s="84"/>
    </row>
    <row r="6" spans="2:10" x14ac:dyDescent="0.4">
      <c r="B6" s="55" t="str">
        <f>'3V_Scanning'!B6</f>
        <v>Wake Up &amp; Pre-processing</v>
      </c>
      <c r="C6" s="106">
        <f>'3V_Scanning'!C6</f>
        <v>1755.2</v>
      </c>
      <c r="D6" s="105">
        <f>('3V_Scanning'!D6)*3/1.8</f>
        <v>5.2986666666666666</v>
      </c>
      <c r="E6" s="62">
        <f t="shared" ref="E6:E11" si="0">C6*D6</f>
        <v>9300.2197333333334</v>
      </c>
      <c r="G6" s="84"/>
    </row>
    <row r="7" spans="2:10" x14ac:dyDescent="0.4">
      <c r="B7" s="55" t="str">
        <f>'3V_Scanning'!B7</f>
        <v>Receive (RX)</v>
      </c>
      <c r="C7" s="106">
        <f>'3V_Scanning'!C7</f>
        <v>500000</v>
      </c>
      <c r="D7" s="105">
        <f>('3V_Scanning'!D7)*3/1.8</f>
        <v>10.824666666666667</v>
      </c>
      <c r="E7" s="62">
        <f t="shared" si="0"/>
        <v>5412333.333333334</v>
      </c>
      <c r="G7" s="84"/>
    </row>
    <row r="8" spans="2:10" x14ac:dyDescent="0.4">
      <c r="B8" s="55" t="str">
        <f>'3V_Scanning'!B8</f>
        <v>Post-processing</v>
      </c>
      <c r="C8" s="106">
        <f>'3V_Scanning'!C8</f>
        <v>854</v>
      </c>
      <c r="D8" s="105">
        <f>('3V_Scanning'!D8)*3/1.8</f>
        <v>4.6785000000000005</v>
      </c>
      <c r="E8" s="62">
        <f t="shared" si="0"/>
        <v>3995.4390000000003</v>
      </c>
      <c r="G8" s="84"/>
    </row>
    <row r="9" spans="2:10" x14ac:dyDescent="0.4">
      <c r="B9" s="55" t="str">
        <f>'3V_Scanning'!B9</f>
        <v>Standby</v>
      </c>
      <c r="C9" s="106">
        <f>'3V_Scanning'!C9</f>
        <v>777390.8</v>
      </c>
      <c r="D9" s="105">
        <f>('3V_Scanning'!D9)*3/1.8</f>
        <v>2.1666666666666666E-3</v>
      </c>
      <c r="E9" s="62">
        <f t="shared" si="0"/>
        <v>1684.3467333333333</v>
      </c>
      <c r="G9" s="84"/>
    </row>
    <row r="10" spans="2:10" x14ac:dyDescent="0.4">
      <c r="B10" s="55">
        <f>'3V_Scanning'!B10</f>
        <v>0</v>
      </c>
      <c r="C10" s="106">
        <f>'3V_Scanning'!C10</f>
        <v>0</v>
      </c>
      <c r="D10" s="105">
        <f>('3V_Scanning'!D10)*3/1.8</f>
        <v>0</v>
      </c>
      <c r="E10" s="62">
        <f t="shared" si="0"/>
        <v>0</v>
      </c>
      <c r="G10" s="84"/>
    </row>
    <row r="11" spans="2:10" x14ac:dyDescent="0.4">
      <c r="B11" s="55">
        <f>'3V_Scanning'!B11</f>
        <v>0</v>
      </c>
      <c r="C11" s="106">
        <f>'3V_Scanning'!C11</f>
        <v>0</v>
      </c>
      <c r="D11" s="105">
        <f>('3V_Scanning'!D11)*3/1.8</f>
        <v>0</v>
      </c>
      <c r="E11" s="62">
        <f t="shared" si="0"/>
        <v>0</v>
      </c>
      <c r="G11" s="84"/>
    </row>
    <row r="12" spans="2:10" x14ac:dyDescent="0.4">
      <c r="B12" s="55"/>
      <c r="C12" s="126"/>
      <c r="D12" s="126"/>
      <c r="E12" s="128"/>
      <c r="G12" s="84"/>
    </row>
    <row r="13" spans="2:10" x14ac:dyDescent="0.4">
      <c r="B13" s="55"/>
      <c r="C13" s="126"/>
      <c r="D13" s="126"/>
      <c r="E13" s="128"/>
      <c r="G13" s="84"/>
    </row>
    <row r="14" spans="2:10" x14ac:dyDescent="0.4">
      <c r="B14" s="55"/>
      <c r="C14" s="126"/>
      <c r="D14" s="126"/>
      <c r="E14" s="128"/>
      <c r="G14" s="84"/>
    </row>
    <row r="15" spans="2:10" x14ac:dyDescent="0.4">
      <c r="B15" s="55"/>
      <c r="C15" s="126"/>
      <c r="D15" s="126"/>
      <c r="E15" s="128"/>
      <c r="G15" s="84"/>
    </row>
    <row r="16" spans="2:10" x14ac:dyDescent="0.4">
      <c r="B16" s="55"/>
      <c r="C16" s="126"/>
      <c r="D16" s="126"/>
      <c r="E16" s="128"/>
      <c r="G16" s="84"/>
    </row>
    <row r="17" spans="2:7" x14ac:dyDescent="0.4">
      <c r="B17" s="55"/>
      <c r="C17" s="126"/>
      <c r="D17" s="126"/>
      <c r="E17" s="128"/>
      <c r="G17" s="84"/>
    </row>
    <row r="18" spans="2:7" x14ac:dyDescent="0.4">
      <c r="B18" s="55"/>
      <c r="C18" s="126"/>
      <c r="D18" s="126"/>
      <c r="E18" s="128"/>
      <c r="G18" s="84"/>
    </row>
    <row r="19" spans="2:7" x14ac:dyDescent="0.4">
      <c r="B19" s="55"/>
      <c r="C19" s="128"/>
      <c r="D19" s="138"/>
      <c r="E19" s="128"/>
      <c r="G19" s="84"/>
    </row>
    <row r="20" spans="2:7" x14ac:dyDescent="0.4">
      <c r="B20" s="137"/>
      <c r="C20" s="128"/>
      <c r="D20" s="138"/>
      <c r="E20" s="128"/>
      <c r="G20" s="84"/>
    </row>
    <row r="21" spans="2:7" x14ac:dyDescent="0.4">
      <c r="B21" s="59"/>
      <c r="C21" s="53"/>
      <c r="D21" s="49"/>
      <c r="E21" s="53"/>
      <c r="G21" s="2"/>
    </row>
    <row r="22" spans="2:7" x14ac:dyDescent="0.4">
      <c r="B22" s="52"/>
      <c r="C22" s="54"/>
      <c r="D22" s="50"/>
      <c r="E22" s="54"/>
      <c r="G22" s="2"/>
    </row>
    <row r="23" spans="2:7" ht="24.6" x14ac:dyDescent="0.4">
      <c r="B23" s="17" t="s">
        <v>42</v>
      </c>
      <c r="C23" s="115">
        <f>SUM(C6:C19)</f>
        <v>1280000</v>
      </c>
      <c r="D23" s="6"/>
      <c r="E23" s="3"/>
    </row>
    <row r="24" spans="2:7" x14ac:dyDescent="0.4">
      <c r="B24" s="17" t="s">
        <v>43</v>
      </c>
      <c r="C24" s="25"/>
      <c r="D24" s="7"/>
      <c r="E24" s="66">
        <f>SUM(E6:E19)</f>
        <v>5427313.338800001</v>
      </c>
    </row>
    <row r="25" spans="2:7" ht="24.6" x14ac:dyDescent="0.4">
      <c r="B25" s="32" t="s">
        <v>55</v>
      </c>
      <c r="C25" s="83"/>
      <c r="D25" s="9"/>
      <c r="E25" s="63">
        <f>IF(E24=0,0,1000*E24/C23)</f>
        <v>4240.0885459375013</v>
      </c>
    </row>
    <row r="26" spans="2:7" x14ac:dyDescent="0.4">
      <c r="B26" s="5"/>
      <c r="C26" s="2"/>
      <c r="D26" s="2"/>
      <c r="E26" s="2"/>
    </row>
    <row r="27" spans="2:7" ht="24.6" x14ac:dyDescent="0.4">
      <c r="B27" s="99" t="s">
        <v>32</v>
      </c>
      <c r="C27" s="86">
        <f>E25</f>
        <v>4240.0885459375013</v>
      </c>
      <c r="D27" s="102" t="s">
        <v>38</v>
      </c>
    </row>
    <row r="28" spans="2:7" ht="15" x14ac:dyDescent="0.4">
      <c r="B28" s="18" t="s">
        <v>33</v>
      </c>
      <c r="C28" s="100">
        <f>'BLE - Central'!D4/(C27/1000)</f>
        <v>53.064929555675484</v>
      </c>
      <c r="D28" s="103" t="s">
        <v>18</v>
      </c>
    </row>
    <row r="29" spans="2:7" ht="15" x14ac:dyDescent="0.4">
      <c r="B29" s="18" t="s">
        <v>33</v>
      </c>
      <c r="C29" s="93">
        <f>C28/24</f>
        <v>2.2110387314864783</v>
      </c>
      <c r="D29" s="102" t="s">
        <v>21</v>
      </c>
    </row>
  </sheetData>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L46"/>
  <sheetViews>
    <sheetView workbookViewId="0">
      <selection activeCell="C27" sqref="C27:C29"/>
    </sheetView>
  </sheetViews>
  <sheetFormatPr defaultColWidth="8.83203125" defaultRowHeight="12.3" x14ac:dyDescent="0.4"/>
  <cols>
    <col min="2" max="2" width="24.27734375" bestFit="1" customWidth="1"/>
    <col min="3" max="3" width="11" bestFit="1" customWidth="1"/>
    <col min="8" max="8" width="24" bestFit="1" customWidth="1"/>
  </cols>
  <sheetData>
    <row r="4" spans="2:12" x14ac:dyDescent="0.4">
      <c r="G4" s="2"/>
      <c r="H4" s="2"/>
      <c r="I4" s="2"/>
      <c r="J4" s="2"/>
      <c r="K4" s="2"/>
      <c r="L4" s="2"/>
    </row>
    <row r="5" spans="2:12" ht="24.6" x14ac:dyDescent="0.4">
      <c r="B5" s="35" t="s">
        <v>3</v>
      </c>
      <c r="C5" s="36" t="s">
        <v>24</v>
      </c>
      <c r="D5" s="37" t="s">
        <v>25</v>
      </c>
      <c r="E5" s="85" t="s">
        <v>36</v>
      </c>
      <c r="G5" s="84"/>
      <c r="L5" s="84"/>
    </row>
    <row r="6" spans="2:12" ht="15" customHeight="1" x14ac:dyDescent="0.4">
      <c r="B6" s="55" t="s">
        <v>13</v>
      </c>
      <c r="C6" s="62">
        <v>1283.8888888888889</v>
      </c>
      <c r="D6" s="104">
        <v>3.1012666666666662</v>
      </c>
      <c r="E6" s="62">
        <f t="shared" ref="E6:E11" si="0">C6*D6</f>
        <v>3981.6818148148141</v>
      </c>
      <c r="G6" s="84"/>
      <c r="L6" s="84"/>
    </row>
    <row r="7" spans="2:12" x14ac:dyDescent="0.4">
      <c r="B7" s="55" t="s">
        <v>159</v>
      </c>
      <c r="C7" s="62">
        <v>394.22222222222223</v>
      </c>
      <c r="D7" s="104">
        <v>3.5755222222222218</v>
      </c>
      <c r="E7" s="62">
        <f t="shared" si="0"/>
        <v>1409.5503160493827</v>
      </c>
      <c r="G7" s="84"/>
      <c r="L7" s="84"/>
    </row>
    <row r="8" spans="2:12" x14ac:dyDescent="0.4">
      <c r="B8" s="55" t="s">
        <v>7</v>
      </c>
      <c r="C8" s="62">
        <f>84.39+7.6258*'BLE - Central'!$D$12</f>
        <v>84.39</v>
      </c>
      <c r="D8" s="104">
        <f>IF('BLE - Central'!$D$6=B39,C39,IF('BLE - Central'!$D$6=B40,C40,IF('BLE - Central'!$D$6=B41,C41,IF('BLE - Central'!$D$6=B42,C42,IF('BLE - Central'!$D$6=B43,C43,IF('BLE - Central'!$D$6=B44,C44))))))</f>
        <v>7.3402000000000003</v>
      </c>
      <c r="E8" s="62">
        <f t="shared" si="0"/>
        <v>619.43947800000001</v>
      </c>
      <c r="G8" s="84"/>
      <c r="L8" s="84"/>
    </row>
    <row r="9" spans="2:12" x14ac:dyDescent="0.4">
      <c r="B9" s="55" t="s">
        <v>9</v>
      </c>
      <c r="C9" s="62">
        <v>109.22222222222223</v>
      </c>
      <c r="D9" s="104">
        <v>5.2093222222222222</v>
      </c>
      <c r="E9" s="62">
        <f t="shared" si="0"/>
        <v>568.97374938271605</v>
      </c>
      <c r="G9" s="84"/>
      <c r="L9" s="84"/>
    </row>
    <row r="10" spans="2:12" x14ac:dyDescent="0.4">
      <c r="B10" s="55" t="s">
        <v>145</v>
      </c>
      <c r="C10" s="62">
        <f>IF('BLE - Central'!$D$13=B34,C34,IF('BLE - Central'!$D$13=B35,C35))</f>
        <v>461.33333333333331</v>
      </c>
      <c r="D10" s="104">
        <v>6.6890999999999998</v>
      </c>
      <c r="E10" s="62">
        <f t="shared" si="0"/>
        <v>3085.9047999999998</v>
      </c>
      <c r="G10" s="84"/>
      <c r="L10" s="84"/>
    </row>
    <row r="11" spans="2:12" x14ac:dyDescent="0.4">
      <c r="B11" s="55" t="s">
        <v>16</v>
      </c>
      <c r="C11" s="104">
        <v>853.44444444444446</v>
      </c>
      <c r="D11" s="104">
        <v>2.6242222222222225</v>
      </c>
      <c r="E11" s="62">
        <f t="shared" si="0"/>
        <v>2239.6278765432103</v>
      </c>
      <c r="G11" s="84"/>
    </row>
    <row r="12" spans="2:12" x14ac:dyDescent="0.4">
      <c r="B12" s="55"/>
      <c r="C12" s="126"/>
      <c r="D12" s="126"/>
      <c r="E12" s="128"/>
      <c r="G12" s="84"/>
      <c r="L12" s="84"/>
    </row>
    <row r="13" spans="2:12" x14ac:dyDescent="0.4">
      <c r="B13" s="55"/>
      <c r="C13" s="126"/>
      <c r="D13" s="126"/>
      <c r="E13" s="128"/>
      <c r="G13" s="84"/>
      <c r="L13" s="84"/>
    </row>
    <row r="14" spans="2:12" x14ac:dyDescent="0.4">
      <c r="B14" s="55"/>
      <c r="C14" s="126"/>
      <c r="D14" s="126"/>
      <c r="E14" s="128"/>
      <c r="G14" s="84"/>
      <c r="L14" s="84"/>
    </row>
    <row r="15" spans="2:12" x14ac:dyDescent="0.4">
      <c r="B15" s="55"/>
      <c r="C15" s="126"/>
      <c r="D15" s="126"/>
      <c r="E15" s="128"/>
      <c r="G15" s="84"/>
      <c r="L15" s="84"/>
    </row>
    <row r="16" spans="2:12" x14ac:dyDescent="0.4">
      <c r="B16" s="55"/>
      <c r="C16" s="126"/>
      <c r="D16" s="126"/>
      <c r="E16" s="128"/>
      <c r="G16" s="84"/>
      <c r="L16" s="84"/>
    </row>
    <row r="17" spans="2:12" x14ac:dyDescent="0.4">
      <c r="B17" s="55"/>
      <c r="C17" s="126"/>
      <c r="D17" s="126"/>
      <c r="E17" s="128"/>
      <c r="G17" s="84"/>
      <c r="L17" s="84"/>
    </row>
    <row r="18" spans="2:12" x14ac:dyDescent="0.4">
      <c r="B18" s="55"/>
      <c r="C18" s="126"/>
      <c r="D18" s="126"/>
      <c r="E18" s="128"/>
      <c r="G18" s="84"/>
      <c r="L18" s="84"/>
    </row>
    <row r="19" spans="2:12" x14ac:dyDescent="0.4">
      <c r="B19" s="55"/>
      <c r="C19" s="128"/>
      <c r="D19" s="138"/>
      <c r="E19" s="128"/>
      <c r="G19" s="84"/>
      <c r="L19" s="84"/>
    </row>
    <row r="20" spans="2:12" x14ac:dyDescent="0.4">
      <c r="B20" s="137"/>
      <c r="C20" s="128"/>
      <c r="D20" s="138"/>
      <c r="E20" s="128"/>
      <c r="G20" s="84"/>
      <c r="L20" s="84"/>
    </row>
    <row r="21" spans="2:12" x14ac:dyDescent="0.4">
      <c r="B21" s="59"/>
      <c r="C21" s="53"/>
      <c r="D21" s="49"/>
      <c r="E21" s="53"/>
      <c r="G21" s="84"/>
      <c r="L21" s="84"/>
    </row>
    <row r="22" spans="2:12" x14ac:dyDescent="0.4">
      <c r="B22" s="52"/>
      <c r="C22" s="54"/>
      <c r="D22" s="50"/>
      <c r="E22" s="54"/>
      <c r="G22" s="2"/>
      <c r="L22" s="2"/>
    </row>
    <row r="23" spans="2:12" ht="24.6" x14ac:dyDescent="0.4">
      <c r="B23" s="17" t="s">
        <v>42</v>
      </c>
      <c r="C23" s="115">
        <f>SUM(C6:C19)</f>
        <v>3186.5011111111112</v>
      </c>
      <c r="D23" s="6"/>
      <c r="E23" s="3"/>
      <c r="G23" s="2"/>
      <c r="L23" s="2"/>
    </row>
    <row r="24" spans="2:12" x14ac:dyDescent="0.4">
      <c r="B24" s="17" t="s">
        <v>43</v>
      </c>
      <c r="C24" s="25"/>
      <c r="D24" s="7"/>
      <c r="E24" s="66">
        <f>SUM(E6:E19)</f>
        <v>11905.178034790124</v>
      </c>
    </row>
    <row r="25" spans="2:12" ht="24.6" x14ac:dyDescent="0.4">
      <c r="B25" s="32" t="s">
        <v>55</v>
      </c>
      <c r="C25" s="83"/>
      <c r="D25" s="9"/>
      <c r="E25" s="63">
        <f>IF(E24=0,0,1000*E24/C23)</f>
        <v>3736.1286312681909</v>
      </c>
    </row>
    <row r="26" spans="2:12" x14ac:dyDescent="0.4">
      <c r="B26" s="5"/>
      <c r="C26" s="2"/>
      <c r="D26" s="2"/>
      <c r="E26" s="2"/>
    </row>
    <row r="27" spans="2:12" ht="24.6" x14ac:dyDescent="0.4">
      <c r="B27" s="99" t="s">
        <v>32</v>
      </c>
      <c r="C27" s="86">
        <f>((E25*C23)+((('BLE - Central'!D11*1000)-C23)*'Input arguments'!L4))/('BLE - Central'!D11*1000)</f>
        <v>120.3103558334568</v>
      </c>
      <c r="D27" s="102" t="s">
        <v>38</v>
      </c>
    </row>
    <row r="28" spans="2:12" ht="15" x14ac:dyDescent="0.4">
      <c r="B28" s="18" t="s">
        <v>33</v>
      </c>
      <c r="C28" s="100">
        <f>'BLE - Central'!D4/(C27/1000)</f>
        <v>1870.1631995126252</v>
      </c>
      <c r="D28" s="103" t="s">
        <v>18</v>
      </c>
    </row>
    <row r="29" spans="2:12" ht="15" x14ac:dyDescent="0.4">
      <c r="B29" s="18" t="s">
        <v>33</v>
      </c>
      <c r="C29" s="93">
        <f>C28/24</f>
        <v>77.923466646359387</v>
      </c>
      <c r="D29" s="102" t="s">
        <v>21</v>
      </c>
    </row>
    <row r="33" spans="2:3" x14ac:dyDescent="0.4">
      <c r="B33" t="s">
        <v>67</v>
      </c>
      <c r="C33" t="s">
        <v>66</v>
      </c>
    </row>
    <row r="34" spans="2:3" x14ac:dyDescent="0.4">
      <c r="B34" t="str">
        <f>'Input arguments'!G2</f>
        <v>external 32kHz</v>
      </c>
      <c r="C34" s="110">
        <v>219.66666666666666</v>
      </c>
    </row>
    <row r="35" spans="2:3" x14ac:dyDescent="0.4">
      <c r="B35" t="str">
        <f>'Input arguments'!G3</f>
        <v>RCOSC_LF</v>
      </c>
      <c r="C35" s="110">
        <v>461.33333333333331</v>
      </c>
    </row>
    <row r="38" spans="2:3" ht="14.4" x14ac:dyDescent="0.55000000000000004">
      <c r="B38" s="109" t="s">
        <v>61</v>
      </c>
      <c r="C38" s="1" t="s">
        <v>62</v>
      </c>
    </row>
    <row r="39" spans="2:3" ht="14.4" x14ac:dyDescent="0.55000000000000004">
      <c r="B39" s="109">
        <v>-21</v>
      </c>
      <c r="C39" s="109">
        <v>4.8119000000000005</v>
      </c>
    </row>
    <row r="40" spans="2:3" ht="14.4" x14ac:dyDescent="0.55000000000000004">
      <c r="B40" s="109">
        <v>-15</v>
      </c>
      <c r="C40" s="109">
        <v>5.0670333333333328</v>
      </c>
    </row>
    <row r="41" spans="2:3" ht="14.4" x14ac:dyDescent="0.55000000000000004">
      <c r="B41" s="109">
        <v>-9</v>
      </c>
      <c r="C41" s="109">
        <v>5.5009666666666668</v>
      </c>
    </row>
    <row r="42" spans="2:3" ht="14.4" x14ac:dyDescent="0.55000000000000004">
      <c r="B42" s="109">
        <v>0</v>
      </c>
      <c r="C42" s="109">
        <v>7.3402000000000003</v>
      </c>
    </row>
    <row r="43" spans="2:3" ht="14.4" x14ac:dyDescent="0.55000000000000004">
      <c r="B43" s="109">
        <v>3</v>
      </c>
      <c r="C43" s="109">
        <v>8.5862333333333343</v>
      </c>
    </row>
    <row r="44" spans="2:3" ht="14.4" x14ac:dyDescent="0.55000000000000004">
      <c r="B44" s="109">
        <v>5</v>
      </c>
      <c r="C44" s="109">
        <v>10.439366666666666</v>
      </c>
    </row>
    <row r="45" spans="2:3" ht="14.4" x14ac:dyDescent="0.55000000000000004">
      <c r="B45" s="109"/>
      <c r="C45" s="109"/>
    </row>
    <row r="46" spans="2:3" ht="14.4" x14ac:dyDescent="0.55000000000000004">
      <c r="B46" s="109"/>
      <c r="C46" s="109"/>
    </row>
  </sheetData>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J29"/>
  <sheetViews>
    <sheetView workbookViewId="0">
      <selection activeCell="C27" sqref="C27:C29"/>
    </sheetView>
  </sheetViews>
  <sheetFormatPr defaultColWidth="8.83203125" defaultRowHeight="12.3" x14ac:dyDescent="0.4"/>
  <cols>
    <col min="2" max="2" width="27.44140625" customWidth="1"/>
    <col min="8" max="8" width="24.27734375" customWidth="1"/>
  </cols>
  <sheetData>
    <row r="4" spans="2:10" x14ac:dyDescent="0.4">
      <c r="G4" s="2"/>
      <c r="H4" s="2"/>
      <c r="I4" s="2"/>
      <c r="J4" s="2"/>
    </row>
    <row r="5" spans="2:10" ht="24.6" x14ac:dyDescent="0.4">
      <c r="B5" s="35" t="s">
        <v>3</v>
      </c>
      <c r="C5" s="36" t="s">
        <v>24</v>
      </c>
      <c r="D5" s="37" t="s">
        <v>25</v>
      </c>
      <c r="E5" s="85" t="s">
        <v>36</v>
      </c>
      <c r="G5" s="84"/>
    </row>
    <row r="6" spans="2:10" x14ac:dyDescent="0.4">
      <c r="B6" s="55" t="str">
        <f>'3V_ConnectedCentral'!B6</f>
        <v>Wake Up &amp; Pre-processing</v>
      </c>
      <c r="C6" s="106">
        <f>'3V_ConnectedCentral'!C6</f>
        <v>1283.8888888888889</v>
      </c>
      <c r="D6" s="105">
        <f>('3V_ConnectedCentral'!D6)*3/1.8</f>
        <v>5.1687777777777768</v>
      </c>
      <c r="E6" s="62">
        <f t="shared" ref="E6:E11" si="0">C6*D6</f>
        <v>6636.1363580246898</v>
      </c>
      <c r="G6" s="84"/>
    </row>
    <row r="7" spans="2:10" x14ac:dyDescent="0.4">
      <c r="B7" s="55" t="str">
        <f>'3V_ConnectedCentral'!B7</f>
        <v xml:space="preserve">Preparation for Tx </v>
      </c>
      <c r="C7" s="106">
        <f>'3V_ConnectedCentral'!C7</f>
        <v>394.22222222222223</v>
      </c>
      <c r="D7" s="105">
        <f>('3V_ConnectedCentral'!D7)*3/1.8</f>
        <v>5.9592037037037029</v>
      </c>
      <c r="E7" s="62">
        <f t="shared" si="0"/>
        <v>2349.250526748971</v>
      </c>
      <c r="G7" s="84"/>
    </row>
    <row r="8" spans="2:10" x14ac:dyDescent="0.4">
      <c r="B8" s="55" t="str">
        <f>'3V_ConnectedCentral'!B8</f>
        <v>Transmit (TX)</v>
      </c>
      <c r="C8" s="106">
        <f>'3V_ConnectedCentral'!C8</f>
        <v>84.39</v>
      </c>
      <c r="D8" s="105">
        <f>('3V_ConnectedCentral'!D8)*3/1.8</f>
        <v>12.233666666666668</v>
      </c>
      <c r="E8" s="62">
        <f t="shared" si="0"/>
        <v>1032.39913</v>
      </c>
      <c r="G8" s="84"/>
    </row>
    <row r="9" spans="2:10" x14ac:dyDescent="0.4">
      <c r="B9" s="55" t="str">
        <f>'3V_ConnectedCentral'!B9</f>
        <v>TX to RX transition</v>
      </c>
      <c r="C9" s="106">
        <f>'3V_ConnectedCentral'!C9</f>
        <v>109.22222222222223</v>
      </c>
      <c r="D9" s="105">
        <f>('3V_ConnectedCentral'!D9)*3/1.8</f>
        <v>8.6822037037037028</v>
      </c>
      <c r="E9" s="62">
        <f t="shared" si="0"/>
        <v>948.28958230452668</v>
      </c>
      <c r="G9" s="84"/>
    </row>
    <row r="10" spans="2:10" x14ac:dyDescent="0.4">
      <c r="B10" s="55" t="str">
        <f>'3V_ConnectedCentral'!B10</f>
        <v>Receive (RX)</v>
      </c>
      <c r="C10" s="106">
        <f>'3V_ConnectedCentral'!C10</f>
        <v>461.33333333333331</v>
      </c>
      <c r="D10" s="105">
        <f>('3V_ConnectedCentral'!D10)*3/1.8</f>
        <v>11.1485</v>
      </c>
      <c r="E10" s="62">
        <f t="shared" si="0"/>
        <v>5143.1746666666668</v>
      </c>
      <c r="G10" s="84"/>
    </row>
    <row r="11" spans="2:10" x14ac:dyDescent="0.4">
      <c r="B11" s="55" t="str">
        <f>'3V_ConnectedCentral'!B11</f>
        <v>Post-Processing</v>
      </c>
      <c r="C11" s="106">
        <f>'3V_ConnectedCentral'!C11</f>
        <v>853.44444444444446</v>
      </c>
      <c r="D11" s="105">
        <f>('3V_ConnectedCentral'!D11)*3/1.8</f>
        <v>4.3737037037037041</v>
      </c>
      <c r="E11" s="62">
        <f t="shared" si="0"/>
        <v>3732.7131275720167</v>
      </c>
      <c r="G11" s="84"/>
    </row>
    <row r="12" spans="2:10" x14ac:dyDescent="0.4">
      <c r="B12" s="55"/>
      <c r="C12" s="126"/>
      <c r="D12" s="126"/>
      <c r="E12" s="128"/>
      <c r="G12" s="84"/>
    </row>
    <row r="13" spans="2:10" x14ac:dyDescent="0.4">
      <c r="B13" s="55"/>
      <c r="C13" s="126"/>
      <c r="D13" s="126"/>
      <c r="E13" s="128"/>
      <c r="G13" s="84"/>
    </row>
    <row r="14" spans="2:10" x14ac:dyDescent="0.4">
      <c r="B14" s="55"/>
      <c r="C14" s="126"/>
      <c r="D14" s="126"/>
      <c r="E14" s="128"/>
      <c r="G14" s="84"/>
    </row>
    <row r="15" spans="2:10" x14ac:dyDescent="0.4">
      <c r="B15" s="55"/>
      <c r="C15" s="126"/>
      <c r="D15" s="126"/>
      <c r="E15" s="128"/>
      <c r="G15" s="84"/>
    </row>
    <row r="16" spans="2:10" x14ac:dyDescent="0.4">
      <c r="B16" s="55"/>
      <c r="C16" s="126"/>
      <c r="D16" s="126"/>
      <c r="E16" s="128"/>
      <c r="G16" s="84"/>
    </row>
    <row r="17" spans="2:7" x14ac:dyDescent="0.4">
      <c r="B17" s="55"/>
      <c r="C17" s="126"/>
      <c r="D17" s="126"/>
      <c r="E17" s="128"/>
      <c r="G17" s="84"/>
    </row>
    <row r="18" spans="2:7" x14ac:dyDescent="0.4">
      <c r="B18" s="55"/>
      <c r="C18" s="126"/>
      <c r="D18" s="126"/>
      <c r="E18" s="128"/>
      <c r="G18" s="84"/>
    </row>
    <row r="19" spans="2:7" x14ac:dyDescent="0.4">
      <c r="B19" s="55"/>
      <c r="C19" s="128"/>
      <c r="D19" s="138"/>
      <c r="E19" s="128"/>
      <c r="G19" s="84"/>
    </row>
    <row r="20" spans="2:7" x14ac:dyDescent="0.4">
      <c r="B20" s="137"/>
      <c r="C20" s="128"/>
      <c r="D20" s="138"/>
      <c r="E20" s="128"/>
      <c r="G20" s="84"/>
    </row>
    <row r="21" spans="2:7" x14ac:dyDescent="0.4">
      <c r="B21" s="59"/>
      <c r="C21" s="53"/>
      <c r="D21" s="49"/>
      <c r="E21" s="53"/>
      <c r="G21" s="2"/>
    </row>
    <row r="22" spans="2:7" x14ac:dyDescent="0.4">
      <c r="B22" s="52"/>
      <c r="C22" s="54"/>
      <c r="D22" s="50"/>
      <c r="E22" s="54"/>
      <c r="G22" s="2"/>
    </row>
    <row r="23" spans="2:7" ht="24.6" x14ac:dyDescent="0.4">
      <c r="B23" s="17" t="s">
        <v>42</v>
      </c>
      <c r="C23" s="115">
        <f>SUM(C6:C19)</f>
        <v>3186.5011111111112</v>
      </c>
      <c r="D23" s="6"/>
      <c r="E23" s="3"/>
    </row>
    <row r="24" spans="2:7" x14ac:dyDescent="0.4">
      <c r="B24" s="17" t="s">
        <v>43</v>
      </c>
      <c r="C24" s="25"/>
      <c r="D24" s="7"/>
      <c r="E24" s="66">
        <f>SUM(E6:E19)</f>
        <v>19841.963391316873</v>
      </c>
    </row>
    <row r="25" spans="2:7" ht="24.6" x14ac:dyDescent="0.4">
      <c r="B25" s="32" t="s">
        <v>55</v>
      </c>
      <c r="C25" s="83"/>
      <c r="D25" s="9"/>
      <c r="E25" s="63">
        <f>IF(E24=0,0,1000*E24/C23)</f>
        <v>6226.8810521136502</v>
      </c>
    </row>
    <row r="26" spans="2:7" x14ac:dyDescent="0.4">
      <c r="B26" s="5"/>
      <c r="C26" s="2"/>
      <c r="D26" s="2"/>
      <c r="E26" s="2"/>
    </row>
    <row r="27" spans="2:7" ht="24.6" x14ac:dyDescent="0.4">
      <c r="B27" s="99" t="s">
        <v>32</v>
      </c>
      <c r="C27" s="86">
        <f>((E25*C23)+((('BLE - Central'!D11*1000)-C23)*'Input arguments'!L4))/('BLE - Central'!D11*1000)</f>
        <v>199.67820939872428</v>
      </c>
      <c r="D27" s="102" t="s">
        <v>38</v>
      </c>
    </row>
    <row r="28" spans="2:7" ht="15" x14ac:dyDescent="0.4">
      <c r="B28" s="18" t="s">
        <v>33</v>
      </c>
      <c r="C28" s="100">
        <f>'BLE - Central'!D4/(C27/1000)</f>
        <v>1126.8129891465137</v>
      </c>
      <c r="D28" s="103" t="s">
        <v>18</v>
      </c>
    </row>
    <row r="29" spans="2:7" ht="15" x14ac:dyDescent="0.4">
      <c r="B29" s="18" t="s">
        <v>33</v>
      </c>
      <c r="C29" s="93">
        <f>C28/24</f>
        <v>46.950541214438068</v>
      </c>
      <c r="D29" s="102" t="s">
        <v>21</v>
      </c>
    </row>
  </sheetData>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K29"/>
  <sheetViews>
    <sheetView workbookViewId="0"/>
  </sheetViews>
  <sheetFormatPr defaultColWidth="8.83203125" defaultRowHeight="12.3" x14ac:dyDescent="0.4"/>
  <cols>
    <col min="2" max="2" width="29.71875" customWidth="1"/>
    <col min="8" max="8" width="24.27734375" customWidth="1"/>
  </cols>
  <sheetData>
    <row r="4" spans="2:11" x14ac:dyDescent="0.4">
      <c r="G4" s="84"/>
      <c r="H4" s="84"/>
      <c r="I4" s="84"/>
      <c r="J4" s="84"/>
      <c r="K4" s="84"/>
    </row>
    <row r="5" spans="2:11" ht="24.6" x14ac:dyDescent="0.4">
      <c r="B5" s="35" t="s">
        <v>3</v>
      </c>
      <c r="C5" s="36" t="s">
        <v>24</v>
      </c>
      <c r="D5" s="37" t="s">
        <v>25</v>
      </c>
      <c r="E5" s="85" t="s">
        <v>36</v>
      </c>
      <c r="G5" s="84"/>
    </row>
    <row r="6" spans="2:11" ht="14.25" customHeight="1" x14ac:dyDescent="0.4">
      <c r="B6" s="55" t="str">
        <f>'3V_ConnectedCentral'!B6</f>
        <v>Wake Up &amp; Pre-processing</v>
      </c>
      <c r="C6" s="106">
        <f>'3V_ConnectedCentral'!C6</f>
        <v>1283.8888888888889</v>
      </c>
      <c r="D6" s="105">
        <f>('3V_ConnectedCentral'!D6)*3/3.6</f>
        <v>2.5843888888888884</v>
      </c>
      <c r="E6" s="62">
        <f t="shared" ref="E6:E11" si="0">C6*D6</f>
        <v>3318.0681790123449</v>
      </c>
      <c r="G6" s="84"/>
    </row>
    <row r="7" spans="2:11" ht="12" customHeight="1" x14ac:dyDescent="0.4">
      <c r="B7" s="55" t="str">
        <f>'3V_ConnectedCentral'!B7</f>
        <v xml:space="preserve">Preparation for Tx </v>
      </c>
      <c r="C7" s="106">
        <f>'3V_ConnectedCentral'!C7</f>
        <v>394.22222222222223</v>
      </c>
      <c r="D7" s="105">
        <f>('3V_ConnectedCentral'!D7)*3/3.6</f>
        <v>2.9796018518518514</v>
      </c>
      <c r="E7" s="62">
        <f t="shared" si="0"/>
        <v>1174.6252633744855</v>
      </c>
      <c r="G7" s="84"/>
    </row>
    <row r="8" spans="2:11" x14ac:dyDescent="0.4">
      <c r="B8" s="55" t="str">
        <f>'3V_ConnectedCentral'!B8</f>
        <v>Transmit (TX)</v>
      </c>
      <c r="C8" s="106">
        <f>'3V_ConnectedCentral'!C8</f>
        <v>84.39</v>
      </c>
      <c r="D8" s="105">
        <f>('3V_ConnectedCentral'!D8)*3/3.6</f>
        <v>6.116833333333334</v>
      </c>
      <c r="E8" s="62">
        <f t="shared" si="0"/>
        <v>516.19956500000001</v>
      </c>
      <c r="G8" s="84"/>
    </row>
    <row r="9" spans="2:11" x14ac:dyDescent="0.4">
      <c r="B9" s="55" t="str">
        <f>'3V_ConnectedCentral'!B9</f>
        <v>TX to RX transition</v>
      </c>
      <c r="C9" s="106">
        <f>'3V_ConnectedCentral'!C9</f>
        <v>109.22222222222223</v>
      </c>
      <c r="D9" s="105">
        <f>('3V_ConnectedCentral'!D9)*3/3.6</f>
        <v>4.3411018518518514</v>
      </c>
      <c r="E9" s="62">
        <f t="shared" si="0"/>
        <v>474.14479115226334</v>
      </c>
      <c r="G9" s="84"/>
    </row>
    <row r="10" spans="2:11" x14ac:dyDescent="0.4">
      <c r="B10" s="55" t="str">
        <f>'3V_ConnectedCentral'!B10</f>
        <v>Receive (RX)</v>
      </c>
      <c r="C10" s="106">
        <f>'3V_ConnectedCentral'!C10</f>
        <v>461.33333333333331</v>
      </c>
      <c r="D10" s="105">
        <f>('3V_ConnectedCentral'!D10)*3/3.6</f>
        <v>5.5742500000000001</v>
      </c>
      <c r="E10" s="62">
        <f t="shared" si="0"/>
        <v>2571.5873333333334</v>
      </c>
      <c r="G10" s="84"/>
    </row>
    <row r="11" spans="2:11" x14ac:dyDescent="0.4">
      <c r="B11" s="55" t="str">
        <f>'3V_ConnectedCentral'!B11</f>
        <v>Post-Processing</v>
      </c>
      <c r="C11" s="106">
        <f>'3V_ConnectedCentral'!C11</f>
        <v>853.44444444444446</v>
      </c>
      <c r="D11" s="105">
        <f>('3V_ConnectedCentral'!D11)*3/3.6</f>
        <v>2.186851851851852</v>
      </c>
      <c r="E11" s="62">
        <f t="shared" si="0"/>
        <v>1866.3565637860083</v>
      </c>
      <c r="G11" s="84"/>
    </row>
    <row r="12" spans="2:11" x14ac:dyDescent="0.4">
      <c r="B12" s="55"/>
      <c r="C12" s="126"/>
      <c r="D12" s="126"/>
      <c r="E12" s="128"/>
      <c r="G12" s="84"/>
    </row>
    <row r="13" spans="2:11" x14ac:dyDescent="0.4">
      <c r="B13" s="55"/>
      <c r="C13" s="126"/>
      <c r="D13" s="126"/>
      <c r="E13" s="128"/>
      <c r="G13" s="84"/>
    </row>
    <row r="14" spans="2:11" x14ac:dyDescent="0.4">
      <c r="B14" s="55"/>
      <c r="C14" s="126"/>
      <c r="D14" s="126"/>
      <c r="E14" s="128"/>
      <c r="G14" s="84"/>
    </row>
    <row r="15" spans="2:11" x14ac:dyDescent="0.4">
      <c r="B15" s="55"/>
      <c r="C15" s="126"/>
      <c r="D15" s="126"/>
      <c r="E15" s="128"/>
      <c r="G15" s="84"/>
    </row>
    <row r="16" spans="2:11" x14ac:dyDescent="0.4">
      <c r="B16" s="55"/>
      <c r="C16" s="126"/>
      <c r="D16" s="126"/>
      <c r="E16" s="128"/>
      <c r="G16" s="84"/>
    </row>
    <row r="17" spans="2:11" x14ac:dyDescent="0.4">
      <c r="B17" s="55"/>
      <c r="C17" s="126"/>
      <c r="D17" s="126"/>
      <c r="E17" s="128"/>
      <c r="G17" s="84"/>
    </row>
    <row r="18" spans="2:11" x14ac:dyDescent="0.4">
      <c r="B18" s="55"/>
      <c r="C18" s="126"/>
      <c r="D18" s="126"/>
      <c r="E18" s="128"/>
      <c r="G18" s="84"/>
    </row>
    <row r="19" spans="2:11" x14ac:dyDescent="0.4">
      <c r="B19" s="55"/>
      <c r="C19" s="128"/>
      <c r="D19" s="138"/>
      <c r="E19" s="128"/>
      <c r="G19" s="84"/>
    </row>
    <row r="20" spans="2:11" x14ac:dyDescent="0.4">
      <c r="B20" s="137"/>
      <c r="C20" s="128"/>
      <c r="D20" s="138"/>
      <c r="E20" s="128"/>
      <c r="G20" s="84"/>
    </row>
    <row r="21" spans="2:11" x14ac:dyDescent="0.4">
      <c r="B21" s="59"/>
      <c r="C21" s="53"/>
      <c r="D21" s="49"/>
      <c r="E21" s="53"/>
      <c r="G21" s="84"/>
    </row>
    <row r="22" spans="2:11" x14ac:dyDescent="0.4">
      <c r="B22" s="52"/>
      <c r="C22" s="54"/>
      <c r="D22" s="50"/>
      <c r="E22" s="54"/>
      <c r="G22" s="84"/>
    </row>
    <row r="23" spans="2:11" x14ac:dyDescent="0.4">
      <c r="B23" s="17" t="s">
        <v>42</v>
      </c>
      <c r="C23" s="115">
        <f>SUM(C6:C19)</f>
        <v>3186.5011111111112</v>
      </c>
      <c r="D23" s="6"/>
      <c r="E23" s="3"/>
      <c r="G23" s="84"/>
      <c r="H23" s="84"/>
      <c r="I23" s="84"/>
      <c r="J23" s="84"/>
      <c r="K23" s="84"/>
    </row>
    <row r="24" spans="2:11" x14ac:dyDescent="0.4">
      <c r="B24" s="17" t="s">
        <v>43</v>
      </c>
      <c r="C24" s="25"/>
      <c r="D24" s="7"/>
      <c r="E24" s="66">
        <f>SUM(E6:E19)</f>
        <v>9920.9816956584364</v>
      </c>
      <c r="G24" s="84"/>
      <c r="H24" s="84"/>
      <c r="I24" s="84"/>
      <c r="J24" s="84"/>
      <c r="K24" s="84"/>
    </row>
    <row r="25" spans="2:11" ht="24.6" x14ac:dyDescent="0.4">
      <c r="B25" s="32" t="s">
        <v>55</v>
      </c>
      <c r="C25" s="83"/>
      <c r="D25" s="9"/>
      <c r="E25" s="63">
        <f>IF(E24=0,0,1000*E24/C23)</f>
        <v>3113.4405260568251</v>
      </c>
    </row>
    <row r="26" spans="2:11" x14ac:dyDescent="0.4">
      <c r="B26" s="5"/>
      <c r="C26" s="2"/>
      <c r="D26" s="2"/>
      <c r="E26" s="2"/>
    </row>
    <row r="27" spans="2:11" ht="24.6" x14ac:dyDescent="0.4">
      <c r="B27" s="99" t="s">
        <v>32</v>
      </c>
      <c r="C27" s="86">
        <f>((E25*C23)+((('BLE - Central'!D11*1000)-C23)*'Input arguments'!L4))/('BLE - Central'!D11*1000)</f>
        <v>100.46839244213992</v>
      </c>
      <c r="D27" s="102" t="s">
        <v>38</v>
      </c>
    </row>
    <row r="28" spans="2:11" ht="15" x14ac:dyDescent="0.4">
      <c r="B28" s="18" t="s">
        <v>33</v>
      </c>
      <c r="C28" s="100">
        <f>'BLE - Central'!D4/(C27/1000)</f>
        <v>2239.5103029998045</v>
      </c>
      <c r="D28" s="103" t="s">
        <v>18</v>
      </c>
    </row>
    <row r="29" spans="2:11" ht="15" x14ac:dyDescent="0.4">
      <c r="B29" s="18" t="s">
        <v>33</v>
      </c>
      <c r="C29" s="93">
        <f>C28/24</f>
        <v>93.31292929165852</v>
      </c>
      <c r="D29" s="102" t="s">
        <v>21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C57"/>
  <sheetViews>
    <sheetView showGridLines="0" showRowColHeaders="0" zoomScale="70" zoomScaleNormal="70" workbookViewId="0"/>
  </sheetViews>
  <sheetFormatPr defaultColWidth="8.83203125" defaultRowHeight="12.3" x14ac:dyDescent="0.4"/>
  <cols>
    <col min="1" max="1" width="5.1640625" customWidth="1"/>
    <col min="2" max="2" width="4.44140625" customWidth="1"/>
    <col min="3" max="3" width="46.83203125" style="4" bestFit="1" customWidth="1"/>
    <col min="4" max="4" width="16.1640625" bestFit="1" customWidth="1"/>
    <col min="5" max="5" width="8.44140625" customWidth="1"/>
    <col min="6" max="6" width="14.5546875" customWidth="1"/>
    <col min="7" max="7" width="2.27734375" customWidth="1"/>
    <col min="8" max="8" width="5.71875" customWidth="1"/>
    <col min="9" max="9" width="4.1640625" customWidth="1"/>
    <col min="10" max="10" width="46.83203125" customWidth="1"/>
    <col min="11" max="11" width="17.1640625" customWidth="1"/>
    <col min="12" max="12" width="9.5546875" customWidth="1"/>
    <col min="13" max="13" width="14.1640625" customWidth="1"/>
    <col min="14" max="14" width="2" customWidth="1"/>
    <col min="15" max="15" width="5.1640625" customWidth="1"/>
    <col min="16" max="16" width="4.27734375" customWidth="1"/>
    <col min="17" max="17" width="49.27734375" customWidth="1"/>
    <col min="18" max="18" width="15.71875" customWidth="1"/>
    <col min="20" max="20" width="15.1640625" customWidth="1"/>
    <col min="21" max="21" width="3.1640625" customWidth="1"/>
    <col min="22" max="22" width="2" customWidth="1"/>
    <col min="23" max="23" width="2.83203125" customWidth="1"/>
    <col min="24" max="24" width="27.44140625" customWidth="1"/>
    <col min="27" max="27" width="10.83203125" customWidth="1"/>
    <col min="28" max="28" width="6.1640625" bestFit="1" customWidth="1"/>
    <col min="29" max="29" width="5.83203125" bestFit="1" customWidth="1"/>
  </cols>
  <sheetData>
    <row r="1" spans="2:29" x14ac:dyDescent="0.4">
      <c r="C1"/>
    </row>
    <row r="2" spans="2:29" ht="24.75" customHeight="1" x14ac:dyDescent="0.4">
      <c r="B2" s="20" t="s">
        <v>40</v>
      </c>
    </row>
    <row r="3" spans="2:29" ht="15" x14ac:dyDescent="0.5">
      <c r="C3" s="19" t="s">
        <v>0</v>
      </c>
      <c r="D3" s="67">
        <v>3</v>
      </c>
      <c r="E3" s="69"/>
      <c r="F3" s="208" t="s">
        <v>57</v>
      </c>
      <c r="G3" s="209"/>
      <c r="H3" s="209"/>
      <c r="I3" s="209"/>
      <c r="J3" s="209"/>
      <c r="K3" s="210"/>
      <c r="N3" s="211" t="s">
        <v>1</v>
      </c>
      <c r="O3" s="212"/>
      <c r="P3" s="213"/>
      <c r="Q3" s="112" t="s">
        <v>39</v>
      </c>
    </row>
    <row r="4" spans="2:29" x14ac:dyDescent="0.4">
      <c r="C4" s="15" t="s">
        <v>12</v>
      </c>
      <c r="D4" s="31">
        <v>225</v>
      </c>
      <c r="E4" s="69"/>
      <c r="F4" s="97" t="s">
        <v>59</v>
      </c>
      <c r="G4" s="33"/>
      <c r="H4" s="33"/>
      <c r="I4" s="33"/>
      <c r="J4" s="33"/>
      <c r="K4" s="98"/>
      <c r="N4" s="215" t="s">
        <v>2</v>
      </c>
      <c r="O4" s="215"/>
      <c r="P4" s="215"/>
      <c r="Q4" s="112" t="s">
        <v>143</v>
      </c>
    </row>
    <row r="5" spans="2:29" ht="12.75" customHeight="1" x14ac:dyDescent="0.4">
      <c r="C5" s="16" t="s">
        <v>41</v>
      </c>
      <c r="D5" s="92" t="s">
        <v>52</v>
      </c>
      <c r="E5" s="68" t="s">
        <v>58</v>
      </c>
      <c r="F5" s="43" t="s">
        <v>69</v>
      </c>
      <c r="G5" s="95"/>
      <c r="H5" s="95"/>
      <c r="I5" s="95"/>
      <c r="J5" s="95"/>
      <c r="K5" s="96"/>
      <c r="N5" s="215" t="s">
        <v>46</v>
      </c>
      <c r="O5" s="215"/>
      <c r="P5" s="215"/>
      <c r="Q5" s="149" t="s">
        <v>198</v>
      </c>
    </row>
    <row r="6" spans="2:29" x14ac:dyDescent="0.4">
      <c r="C6" s="16" t="s">
        <v>44</v>
      </c>
      <c r="D6" s="158">
        <v>0</v>
      </c>
      <c r="F6" s="12" t="s">
        <v>72</v>
      </c>
      <c r="G6" s="9"/>
      <c r="H6" s="9"/>
      <c r="I6" s="9"/>
      <c r="J6" s="9"/>
      <c r="K6" s="11"/>
      <c r="N6" s="215" t="s">
        <v>47</v>
      </c>
      <c r="O6" s="215"/>
      <c r="P6" s="215"/>
      <c r="Q6" s="113">
        <v>43740</v>
      </c>
    </row>
    <row r="7" spans="2:29" ht="12.75" customHeight="1" x14ac:dyDescent="0.4">
      <c r="C7" s="16" t="s">
        <v>144</v>
      </c>
      <c r="D7" s="30">
        <v>500</v>
      </c>
      <c r="E7" s="69"/>
    </row>
    <row r="8" spans="2:29" ht="12.75" customHeight="1" x14ac:dyDescent="0.4">
      <c r="C8" s="16" t="s">
        <v>135</v>
      </c>
      <c r="D8" s="30">
        <v>1280</v>
      </c>
      <c r="E8" s="1"/>
    </row>
    <row r="9" spans="2:29" ht="12.75" customHeight="1" x14ac:dyDescent="0.4">
      <c r="C9" s="16" t="s">
        <v>134</v>
      </c>
      <c r="D9" s="67">
        <f>D8-D7</f>
        <v>780</v>
      </c>
      <c r="E9" s="1"/>
    </row>
    <row r="10" spans="2:29" ht="12.75" customHeight="1" x14ac:dyDescent="0.45">
      <c r="C10" s="16" t="s">
        <v>136</v>
      </c>
      <c r="D10" s="67" t="s">
        <v>139</v>
      </c>
      <c r="E10" s="1">
        <v>5</v>
      </c>
      <c r="F10" s="154" t="str">
        <f>IF(D10='Input arguments'!H3,"scan requests expected per scanning window","")</f>
        <v>scan requests expected per scanning window</v>
      </c>
    </row>
    <row r="11" spans="2:29" ht="12.75" customHeight="1" x14ac:dyDescent="0.4">
      <c r="C11" s="16" t="s">
        <v>8</v>
      </c>
      <c r="D11" s="30">
        <v>100</v>
      </c>
      <c r="E11" s="94"/>
      <c r="F11" s="136"/>
      <c r="G11" s="136"/>
      <c r="H11" s="136"/>
      <c r="I11" s="136"/>
      <c r="J11" s="136"/>
      <c r="K11" s="136"/>
    </row>
    <row r="12" spans="2:29" ht="12.75" customHeight="1" x14ac:dyDescent="0.4">
      <c r="C12" s="16" t="s">
        <v>45</v>
      </c>
      <c r="D12" s="157">
        <v>0</v>
      </c>
      <c r="F12" s="217" t="str">
        <f>IF(AND(D13='Input arguments'!$G$2, D11&gt;999),'Input arguments'!$O$2, "")</f>
        <v/>
      </c>
      <c r="G12" s="217"/>
      <c r="H12" s="217"/>
      <c r="I12" s="217"/>
      <c r="J12" s="217"/>
      <c r="K12" s="136"/>
    </row>
    <row r="13" spans="2:29" ht="12.75" customHeight="1" x14ac:dyDescent="0.5">
      <c r="C13" s="16" t="s">
        <v>63</v>
      </c>
      <c r="D13" s="135" t="s">
        <v>64</v>
      </c>
      <c r="E13" s="94"/>
      <c r="F13" s="136"/>
      <c r="G13" s="136"/>
      <c r="H13" s="136"/>
      <c r="I13" s="136"/>
      <c r="J13" s="136"/>
      <c r="K13" s="136"/>
    </row>
    <row r="14" spans="2:29" ht="12.75" customHeight="1" x14ac:dyDescent="0.4">
      <c r="C14"/>
      <c r="J14" s="136"/>
      <c r="K14" s="136"/>
    </row>
    <row r="15" spans="2:29" ht="15" customHeight="1" x14ac:dyDescent="0.5">
      <c r="C15" s="114" t="s">
        <v>79</v>
      </c>
      <c r="D15" s="156"/>
      <c r="E15" s="14"/>
      <c r="F15" s="13"/>
      <c r="J15" s="114" t="s">
        <v>80</v>
      </c>
      <c r="Q15" s="114" t="s">
        <v>81</v>
      </c>
    </row>
    <row r="16" spans="2:29" ht="18" customHeight="1" x14ac:dyDescent="0.5">
      <c r="B16" s="24"/>
      <c r="C16" s="150" t="s">
        <v>142</v>
      </c>
      <c r="D16" s="155" t="str">
        <f>IF(C16='Input arguments'!$I$3,"* power consuption remain the same for all the PHYs","")</f>
        <v>* power consuption remain the same for all the PHYs</v>
      </c>
      <c r="E16" s="155"/>
      <c r="F16" s="155"/>
      <c r="G16" s="8"/>
      <c r="H16" s="58"/>
      <c r="I16" s="8"/>
      <c r="J16" s="150" t="s">
        <v>160</v>
      </c>
      <c r="K16" s="155" t="str">
        <f>IF(J16='Input arguments'!$I$3,"* power consuption remain the same for all the PHYs","")</f>
        <v/>
      </c>
      <c r="L16" s="155"/>
      <c r="M16" s="155"/>
      <c r="N16" s="3"/>
      <c r="O16" s="10"/>
      <c r="P16" s="8"/>
      <c r="Q16" s="150" t="s">
        <v>86</v>
      </c>
      <c r="R16" s="155" t="str">
        <f>IF(Q16='Input arguments'!$I$3,"* power consuption remain the same for all the PHYs","")</f>
        <v/>
      </c>
      <c r="S16" s="155"/>
      <c r="T16" s="155"/>
      <c r="U16" s="3"/>
      <c r="X16" s="208" t="s">
        <v>35</v>
      </c>
      <c r="Y16" s="209"/>
      <c r="Z16" s="209"/>
      <c r="AA16" s="209"/>
      <c r="AB16" s="209"/>
      <c r="AC16" s="210"/>
    </row>
    <row r="17" spans="2:29" ht="14.25" customHeight="1" x14ac:dyDescent="0.5">
      <c r="B17" s="25"/>
      <c r="C17" s="5"/>
      <c r="D17" s="22"/>
      <c r="E17" s="26"/>
      <c r="F17" s="26"/>
      <c r="G17" s="10"/>
      <c r="H17" s="25"/>
      <c r="I17" s="25"/>
      <c r="J17" s="5"/>
      <c r="K17" s="22"/>
      <c r="L17" s="26"/>
      <c r="M17" s="26"/>
      <c r="N17" s="10"/>
      <c r="P17" s="25"/>
      <c r="Q17" s="5"/>
      <c r="R17" s="22"/>
      <c r="S17" s="26"/>
      <c r="T17" s="26"/>
      <c r="U17" s="10"/>
      <c r="X17" s="205" t="s">
        <v>34</v>
      </c>
      <c r="Y17" s="206"/>
      <c r="Z17" s="206"/>
      <c r="AA17" s="206"/>
      <c r="AB17" s="206"/>
      <c r="AC17" s="207"/>
    </row>
    <row r="18" spans="2:29" s="4" customFormat="1" ht="28.5" customHeight="1" x14ac:dyDescent="0.4">
      <c r="B18" s="21"/>
      <c r="C18" s="35" t="s">
        <v>3</v>
      </c>
      <c r="D18" s="36" t="s">
        <v>24</v>
      </c>
      <c r="E18" s="37" t="s">
        <v>25</v>
      </c>
      <c r="F18" s="16" t="s">
        <v>36</v>
      </c>
      <c r="G18" s="27"/>
      <c r="H18" s="21"/>
      <c r="I18" s="21"/>
      <c r="J18" s="35" t="s">
        <v>3</v>
      </c>
      <c r="K18" s="36" t="s">
        <v>23</v>
      </c>
      <c r="L18" s="37" t="s">
        <v>25</v>
      </c>
      <c r="M18" s="16" t="s">
        <v>36</v>
      </c>
      <c r="N18" s="27"/>
      <c r="P18" s="21"/>
      <c r="Q18" s="35" t="s">
        <v>3</v>
      </c>
      <c r="R18" s="36" t="s">
        <v>23</v>
      </c>
      <c r="S18" s="37" t="s">
        <v>25</v>
      </c>
      <c r="T18" s="16" t="s">
        <v>36</v>
      </c>
      <c r="U18" s="27"/>
      <c r="X18" s="41" t="s">
        <v>29</v>
      </c>
      <c r="Y18" s="39" t="s">
        <v>18</v>
      </c>
      <c r="Z18" s="39" t="s">
        <v>19</v>
      </c>
      <c r="AA18" s="46" t="s">
        <v>27</v>
      </c>
      <c r="AB18" s="60" t="s">
        <v>28</v>
      </c>
      <c r="AC18" s="70" t="s">
        <v>31</v>
      </c>
    </row>
    <row r="19" spans="2:29" x14ac:dyDescent="0.4">
      <c r="B19" s="25">
        <v>1</v>
      </c>
      <c r="C19" s="55" t="str">
        <f ca="1">IF(INDIRECT((ADDRESS(5+$B19,2,1,1,'DataSourceSelection - Central'!$C$19)))="", "", INDIRECT((ADDRESS(5+$B19,2,1,1,'DataSourceSelection - Central'!$C$19))))</f>
        <v>Wake Up &amp; Pre-processing</v>
      </c>
      <c r="D19" s="126">
        <f ca="1">INDIRECT((ADDRESS(5+$B19,3,1,1,'DataSourceSelection - Central'!$C$19)))</f>
        <v>1755.2</v>
      </c>
      <c r="E19" s="126">
        <f ca="1">INDIRECT((ADDRESS(5+$B19,4,1,1,'DataSourceSelection - Central'!$C$19)))</f>
        <v>3.1791999999999998</v>
      </c>
      <c r="F19" s="127">
        <f ca="1">INDIRECT((ADDRESS(5+$B19,5,1,1,'DataSourceSelection - Central'!$C$19)))</f>
        <v>5580.13184</v>
      </c>
      <c r="G19" s="10"/>
      <c r="H19" s="25"/>
      <c r="I19" s="25">
        <v>1</v>
      </c>
      <c r="J19" s="55" t="str">
        <f ca="1">IF(INDIRECT((ADDRESS(5+$B19,2,1,1,'DataSourceSelection - Central'!$C$24)))="", "", INDIRECT((ADDRESS(5+$B19,2,1,1,'DataSourceSelection - Central'!$C$24))))</f>
        <v>Wake Up &amp; Pre-processing</v>
      </c>
      <c r="K19" s="126">
        <f ca="1">INDIRECT((ADDRESS(5+$B19,3,1,1,'DataSourceSelection - Central'!$C$24)))</f>
        <v>1283.8888888888889</v>
      </c>
      <c r="L19" s="126">
        <f ca="1">INDIRECT((ADDRESS(5+$B19,4,1,1,'DataSourceSelection - Central'!$C$24)))</f>
        <v>3.1012666666666662</v>
      </c>
      <c r="M19" s="127">
        <f ca="1">INDIRECT((ADDRESS(5+$B19,5,1,1,'DataSourceSelection - Central'!$C$24)))</f>
        <v>3981.6818148148141</v>
      </c>
      <c r="N19" s="10"/>
      <c r="P19" s="25">
        <v>1</v>
      </c>
      <c r="Q19" s="55" t="str">
        <f ca="1">IF(INDIRECT((ADDRESS(5+$B19,2,1,1,'DataSourceSelection - Central'!$C$29)))="", "", INDIRECT((ADDRESS(5+$B19,2,1,1,'DataSourceSelection - Central'!$C$29))))</f>
        <v/>
      </c>
      <c r="R19" s="126">
        <f ca="1">INDIRECT((ADDRESS(5+$B19,3,1,1,'DataSourceSelection - Central'!$C$29)))</f>
        <v>0</v>
      </c>
      <c r="S19" s="126">
        <f ca="1">INDIRECT((ADDRESS(5+$B19,4,1,1,'DataSourceSelection - Central'!$C$29)))</f>
        <v>0</v>
      </c>
      <c r="T19" s="127">
        <f ca="1">INDIRECT((ADDRESS(5+$B19,5,1,1,'DataSourceSelection - Central'!$C$29)))</f>
        <v>0</v>
      </c>
      <c r="U19" s="10"/>
      <c r="X19" s="40" t="str">
        <f>C16</f>
        <v>Scanning</v>
      </c>
      <c r="Y19" s="33">
        <v>0</v>
      </c>
      <c r="Z19" s="34">
        <v>30</v>
      </c>
      <c r="AA19" s="47">
        <f ca="1">D39</f>
        <v>2544.0531275624999</v>
      </c>
      <c r="AB19" s="61" t="s">
        <v>38</v>
      </c>
      <c r="AC19" s="71">
        <f>Y19/24+Z19/60/24</f>
        <v>2.0833333333333332E-2</v>
      </c>
    </row>
    <row r="20" spans="2:29" ht="13.5" customHeight="1" x14ac:dyDescent="0.4">
      <c r="B20" s="25">
        <v>2</v>
      </c>
      <c r="C20" s="55" t="str">
        <f ca="1">IF(INDIRECT((ADDRESS(5+$B20,2,1,1,'DataSourceSelection - Central'!$C$19)))="", "", INDIRECT((ADDRESS(5+$B20,2,1,1,'DataSourceSelection - Central'!$C$19))))</f>
        <v>Receive (RX)</v>
      </c>
      <c r="D20" s="126">
        <f ca="1">INDIRECT((ADDRESS(5+$B20,3,1,1,'DataSourceSelection - Central'!$C$19)))</f>
        <v>500000</v>
      </c>
      <c r="E20" s="126">
        <f ca="1">INDIRECT((ADDRESS(5+$B20,4,1,1,'DataSourceSelection - Central'!$C$19)))</f>
        <v>6.4947999999999997</v>
      </c>
      <c r="F20" s="128">
        <f ca="1">INDIRECT((ADDRESS(5+$B20,5,1,1,'DataSourceSelection - Central'!$C$19)))</f>
        <v>3247400</v>
      </c>
      <c r="G20" s="10"/>
      <c r="H20" s="25"/>
      <c r="I20" s="25">
        <v>2</v>
      </c>
      <c r="J20" s="55" t="str">
        <f ca="1">IF(INDIRECT((ADDRESS(5+$B20,2,1,1,'DataSourceSelection - Central'!$C$24)))="", "", INDIRECT((ADDRESS(5+$B20,2,1,1,'DataSourceSelection - Central'!$C$24))))</f>
        <v xml:space="preserve">Preparation for Tx </v>
      </c>
      <c r="K20" s="126">
        <f ca="1">INDIRECT((ADDRESS(5+$B20,3,1,1,'DataSourceSelection - Central'!$C$24)))</f>
        <v>394.22222222222223</v>
      </c>
      <c r="L20" s="126">
        <f ca="1">INDIRECT((ADDRESS(5+$B20,4,1,1,'DataSourceSelection - Central'!$C$24)))</f>
        <v>3.5755222222222218</v>
      </c>
      <c r="M20" s="128">
        <f ca="1">INDIRECT((ADDRESS(5+$B20,5,1,1,'DataSourceSelection - Central'!$C$24)))</f>
        <v>1409.5503160493827</v>
      </c>
      <c r="N20" s="10"/>
      <c r="P20" s="25">
        <v>2</v>
      </c>
      <c r="Q20" s="55" t="str">
        <f ca="1">IF(INDIRECT((ADDRESS(5+$B20,2,1,1,'DataSourceSelection - Central'!$C$29)))="", "", INDIRECT((ADDRESS(5+$B20,2,1,1,'DataSourceSelection - Central'!$C$29))))</f>
        <v/>
      </c>
      <c r="R20" s="126">
        <f ca="1">INDIRECT((ADDRESS(5+$B20,3,1,1,'DataSourceSelection - Central'!$C$29)))</f>
        <v>0</v>
      </c>
      <c r="S20" s="126">
        <f ca="1">INDIRECT((ADDRESS(5+$B20,4,1,1,'DataSourceSelection - Central'!$C$29)))</f>
        <v>0</v>
      </c>
      <c r="T20" s="128">
        <f ca="1">INDIRECT((ADDRESS(5+$B20,5,1,1,'DataSourceSelection - Central'!$C$29)))</f>
        <v>0</v>
      </c>
      <c r="U20" s="10"/>
      <c r="X20" s="40" t="str">
        <f>J16</f>
        <v>Connected as Central</v>
      </c>
      <c r="Y20" s="33">
        <v>2</v>
      </c>
      <c r="Z20" s="34">
        <v>0</v>
      </c>
      <c r="AA20" s="47">
        <f ca="1">K39</f>
        <v>120.3103558334568</v>
      </c>
      <c r="AB20" s="61" t="s">
        <v>38</v>
      </c>
      <c r="AC20" s="71">
        <f>Y20/24+Z20/60/24</f>
        <v>8.3333333333333329E-2</v>
      </c>
    </row>
    <row r="21" spans="2:29" ht="12" customHeight="1" x14ac:dyDescent="0.4">
      <c r="B21" s="25">
        <v>3</v>
      </c>
      <c r="C21" s="55" t="str">
        <f ca="1">IF(INDIRECT((ADDRESS(5+$B21,2,1,1,'DataSourceSelection - Central'!$C$19)))="", "", INDIRECT((ADDRESS(5+$B21,2,1,1,'DataSourceSelection - Central'!$C$19))))</f>
        <v>Post-processing</v>
      </c>
      <c r="D21" s="126">
        <f ca="1">INDIRECT((ADDRESS(5+$B21,3,1,1,'DataSourceSelection - Central'!$C$19)))</f>
        <v>854</v>
      </c>
      <c r="E21" s="126">
        <f ca="1">INDIRECT((ADDRESS(5+$B21,4,1,1,'DataSourceSelection - Central'!$C$19)))</f>
        <v>2.8071000000000002</v>
      </c>
      <c r="F21" s="128">
        <f ca="1">INDIRECT((ADDRESS(5+$B21,5,1,1,'DataSourceSelection - Central'!$C$19)))</f>
        <v>2397.2634000000003</v>
      </c>
      <c r="G21" s="10"/>
      <c r="H21" s="25"/>
      <c r="I21" s="25">
        <v>3</v>
      </c>
      <c r="J21" s="55" t="str">
        <f ca="1">IF(INDIRECT((ADDRESS(5+$B21,2,1,1,'DataSourceSelection - Central'!$C$24)))="", "", INDIRECT((ADDRESS(5+$B21,2,1,1,'DataSourceSelection - Central'!$C$24))))</f>
        <v>Transmit (TX)</v>
      </c>
      <c r="K21" s="126">
        <f ca="1">INDIRECT((ADDRESS(5+$B21,3,1,1,'DataSourceSelection - Central'!$C$24)))</f>
        <v>84.39</v>
      </c>
      <c r="L21" s="126">
        <f ca="1">INDIRECT((ADDRESS(5+$B21,4,1,1,'DataSourceSelection - Central'!$C$24)))</f>
        <v>7.3402000000000003</v>
      </c>
      <c r="M21" s="128">
        <f ca="1">INDIRECT((ADDRESS(5+$B21,5,1,1,'DataSourceSelection - Central'!$C$24)))</f>
        <v>619.43947800000001</v>
      </c>
      <c r="N21" s="10"/>
      <c r="P21" s="25">
        <v>3</v>
      </c>
      <c r="Q21" s="55" t="str">
        <f ca="1">IF(INDIRECT((ADDRESS(5+$B21,2,1,1,'DataSourceSelection - Central'!$C$29)))="", "", INDIRECT((ADDRESS(5+$B21,2,1,1,'DataSourceSelection - Central'!$C$29))))</f>
        <v/>
      </c>
      <c r="R21" s="126">
        <f ca="1">INDIRECT((ADDRESS(5+$B21,3,1,1,'DataSourceSelection - Central'!$C$29)))</f>
        <v>0</v>
      </c>
      <c r="S21" s="126">
        <f ca="1">INDIRECT((ADDRESS(5+$B21,4,1,1,'DataSourceSelection - Central'!$C$29)))</f>
        <v>0</v>
      </c>
      <c r="T21" s="128">
        <f ca="1">INDIRECT((ADDRESS(5+$B21,5,1,1,'DataSourceSelection - Central'!$C$29)))</f>
        <v>0</v>
      </c>
      <c r="U21" s="10"/>
      <c r="X21" s="40" t="str">
        <f>Q16</f>
        <v>None</v>
      </c>
      <c r="Y21" s="33">
        <v>0</v>
      </c>
      <c r="Z21" s="34">
        <v>0</v>
      </c>
      <c r="AA21" s="47">
        <f ca="1">R39</f>
        <v>0</v>
      </c>
      <c r="AB21" s="61" t="s">
        <v>38</v>
      </c>
      <c r="AC21" s="71">
        <f>Y21/24+Z21/60/24</f>
        <v>0</v>
      </c>
    </row>
    <row r="22" spans="2:29" ht="11.25" customHeight="1" x14ac:dyDescent="0.4">
      <c r="B22" s="25">
        <v>4</v>
      </c>
      <c r="C22" s="55" t="str">
        <f ca="1">IF(INDIRECT((ADDRESS(5+$B22,2,1,1,'DataSourceSelection - Central'!$C$19)))="", "", INDIRECT((ADDRESS(5+$B22,2,1,1,'DataSourceSelection - Central'!$C$19))))</f>
        <v>Standby</v>
      </c>
      <c r="D22" s="126">
        <f ca="1">INDIRECT((ADDRESS(5+$B22,3,1,1,'DataSourceSelection - Central'!$C$19)))</f>
        <v>777390.8</v>
      </c>
      <c r="E22" s="126">
        <f ca="1">INDIRECT((ADDRESS(5+$B22,4,1,1,'DataSourceSelection - Central'!$C$19)))</f>
        <v>1.2999999999999999E-3</v>
      </c>
      <c r="F22" s="128">
        <f ca="1">INDIRECT((ADDRESS(5+$B22,5,1,1,'DataSourceSelection - Central'!$C$19)))</f>
        <v>1010.60804</v>
      </c>
      <c r="G22" s="10"/>
      <c r="H22" s="25"/>
      <c r="I22" s="25">
        <v>4</v>
      </c>
      <c r="J22" s="55" t="str">
        <f ca="1">IF(INDIRECT((ADDRESS(5+$B22,2,1,1,'DataSourceSelection - Central'!$C$24)))="", "", INDIRECT((ADDRESS(5+$B22,2,1,1,'DataSourceSelection - Central'!$C$24))))</f>
        <v>TX to RX transition</v>
      </c>
      <c r="K22" s="126">
        <f ca="1">INDIRECT((ADDRESS(5+$B22,3,1,1,'DataSourceSelection - Central'!$C$24)))</f>
        <v>109.22222222222223</v>
      </c>
      <c r="L22" s="126">
        <f ca="1">INDIRECT((ADDRESS(5+$B22,4,1,1,'DataSourceSelection - Central'!$C$24)))</f>
        <v>5.2093222222222222</v>
      </c>
      <c r="M22" s="128">
        <f ca="1">INDIRECT((ADDRESS(5+$B22,5,1,1,'DataSourceSelection - Central'!$C$24)))</f>
        <v>568.97374938271605</v>
      </c>
      <c r="N22" s="10"/>
      <c r="P22" s="25">
        <v>4</v>
      </c>
      <c r="Q22" s="55" t="str">
        <f ca="1">IF(INDIRECT((ADDRESS(5+$B22,2,1,1,'DataSourceSelection - Central'!$C$29)))="", "", INDIRECT((ADDRESS(5+$B22,2,1,1,'DataSourceSelection - Central'!$C$29))))</f>
        <v/>
      </c>
      <c r="R22" s="126">
        <f ca="1">INDIRECT((ADDRESS(5+$B22,3,1,1,'DataSourceSelection - Central'!$C$29)))</f>
        <v>0</v>
      </c>
      <c r="S22" s="126">
        <f ca="1">INDIRECT((ADDRESS(5+$B22,4,1,1,'DataSourceSelection - Central'!$C$29)))</f>
        <v>0</v>
      </c>
      <c r="T22" s="128">
        <f ca="1">INDIRECT((ADDRESS(5+$B22,5,1,1,'DataSourceSelection - Central'!$C$29)))</f>
        <v>0</v>
      </c>
      <c r="U22" s="10"/>
      <c r="X22" s="40" t="s">
        <v>26</v>
      </c>
      <c r="Y22" s="34">
        <v>1</v>
      </c>
      <c r="Z22" s="34">
        <v>0</v>
      </c>
      <c r="AA22" s="47">
        <v>100</v>
      </c>
      <c r="AB22" s="61" t="s">
        <v>38</v>
      </c>
      <c r="AC22" s="71">
        <f>Y22/24+Z22/60/24</f>
        <v>4.1666666666666664E-2</v>
      </c>
    </row>
    <row r="23" spans="2:29" ht="12" customHeight="1" x14ac:dyDescent="0.4">
      <c r="B23" s="25">
        <v>5</v>
      </c>
      <c r="C23" s="55" t="str">
        <f ca="1">IF(INDIRECT((ADDRESS(5+$B23,2,1,1,'DataSourceSelection - Central'!$C$19)))="", "", INDIRECT((ADDRESS(5+$B23,2,1,1,'DataSourceSelection - Central'!$C$19))))</f>
        <v/>
      </c>
      <c r="D23" s="126">
        <f ca="1">INDIRECT((ADDRESS(5+$B23,3,1,1,'DataSourceSelection - Central'!$C$19)))</f>
        <v>0</v>
      </c>
      <c r="E23" s="126">
        <f ca="1">INDIRECT((ADDRESS(5+$B23,4,1,1,'DataSourceSelection - Central'!$C$19)))</f>
        <v>0</v>
      </c>
      <c r="F23" s="128">
        <f ca="1">INDIRECT((ADDRESS(5+$B23,5,1,1,'DataSourceSelection - Central'!$C$19)))</f>
        <v>0</v>
      </c>
      <c r="G23" s="10"/>
      <c r="H23" s="25"/>
      <c r="I23" s="25">
        <v>5</v>
      </c>
      <c r="J23" s="55" t="str">
        <f ca="1">IF(INDIRECT((ADDRESS(5+$B23,2,1,1,'DataSourceSelection - Central'!$C$24)))="", "", INDIRECT((ADDRESS(5+$B23,2,1,1,'DataSourceSelection - Central'!$C$24))))</f>
        <v>Receive (RX)</v>
      </c>
      <c r="K23" s="126">
        <f ca="1">INDIRECT((ADDRESS(5+$B23,3,1,1,'DataSourceSelection - Central'!$C$24)))</f>
        <v>461.33333333333331</v>
      </c>
      <c r="L23" s="126">
        <f ca="1">INDIRECT((ADDRESS(5+$B23,4,1,1,'DataSourceSelection - Central'!$C$24)))</f>
        <v>6.6890999999999998</v>
      </c>
      <c r="M23" s="128">
        <f ca="1">INDIRECT((ADDRESS(5+$B23,5,1,1,'DataSourceSelection - Central'!$C$24)))</f>
        <v>3085.9047999999998</v>
      </c>
      <c r="N23" s="10"/>
      <c r="P23" s="25">
        <v>5</v>
      </c>
      <c r="Q23" s="55" t="str">
        <f ca="1">IF(INDIRECT((ADDRESS(5+$B23,2,1,1,'DataSourceSelection - Central'!$C$29)))="", "", INDIRECT((ADDRESS(5+$B23,2,1,1,'DataSourceSelection - Central'!$C$29))))</f>
        <v/>
      </c>
      <c r="R23" s="126">
        <f ca="1">INDIRECT((ADDRESS(5+$B23,3,1,1,'DataSourceSelection - Central'!$C$29)))</f>
        <v>0</v>
      </c>
      <c r="S23" s="126">
        <f ca="1">INDIRECT((ADDRESS(5+$B23,4,1,1,'DataSourceSelection - Central'!$C$29)))</f>
        <v>0</v>
      </c>
      <c r="T23" s="128">
        <f ca="1">INDIRECT((ADDRESS(5+$B23,5,1,1,'DataSourceSelection - Central'!$C$29)))</f>
        <v>0</v>
      </c>
      <c r="U23" s="10"/>
      <c r="X23" s="45" t="s">
        <v>11</v>
      </c>
      <c r="Y23" s="176">
        <f>24-SUM(Y19:Y22)-IF(SUM(Z19:Z22)=0,0,(SUM(Z19:Z22)+Z23)/60)</f>
        <v>20</v>
      </c>
      <c r="Z23" s="176">
        <f>MOD(60-MOD(SUM(Z19:Z22),60),60)</f>
        <v>30</v>
      </c>
      <c r="AA23" s="177">
        <v>0.105</v>
      </c>
      <c r="AB23" s="181" t="s">
        <v>38</v>
      </c>
      <c r="AC23" s="186">
        <f>(1-SUM(AC19:AC22))</f>
        <v>0.85416666666666674</v>
      </c>
    </row>
    <row r="24" spans="2:29" ht="15" customHeight="1" x14ac:dyDescent="0.4">
      <c r="B24" s="25">
        <v>6</v>
      </c>
      <c r="C24" s="55" t="str">
        <f ca="1">IF(INDIRECT((ADDRESS(5+$B24,2,1,1,'DataSourceSelection - Central'!$C$19)))="", "", INDIRECT((ADDRESS(5+$B24,2,1,1,'DataSourceSelection - Central'!$C$19))))</f>
        <v/>
      </c>
      <c r="D24" s="126">
        <f ca="1">INDIRECT((ADDRESS(5+$B24,3,1,1,'DataSourceSelection - Central'!$C$19)))</f>
        <v>0</v>
      </c>
      <c r="E24" s="126">
        <f ca="1">INDIRECT((ADDRESS(5+$B24,4,1,1,'DataSourceSelection - Central'!$C$19)))</f>
        <v>0</v>
      </c>
      <c r="F24" s="128">
        <f ca="1">INDIRECT((ADDRESS(5+$B24,5,1,1,'DataSourceSelection - Central'!$C$19)))</f>
        <v>0</v>
      </c>
      <c r="G24" s="10"/>
      <c r="H24" s="25"/>
      <c r="I24" s="25">
        <v>6</v>
      </c>
      <c r="J24" s="55" t="str">
        <f ca="1">IF(INDIRECT((ADDRESS(5+$B24,2,1,1,'DataSourceSelection - Central'!$C$24)))="", "", INDIRECT((ADDRESS(5+$B24,2,1,1,'DataSourceSelection - Central'!$C$24))))</f>
        <v>Post-Processing</v>
      </c>
      <c r="K24" s="126">
        <f ca="1">INDIRECT((ADDRESS(5+$B24,3,1,1,'DataSourceSelection - Central'!$C$24)))</f>
        <v>853.44444444444446</v>
      </c>
      <c r="L24" s="126">
        <f ca="1">INDIRECT((ADDRESS(5+$B24,4,1,1,'DataSourceSelection - Central'!$C$24)))</f>
        <v>2.6242222222222225</v>
      </c>
      <c r="M24" s="128">
        <f ca="1">INDIRECT((ADDRESS(5+$B24,5,1,1,'DataSourceSelection - Central'!$C$24)))</f>
        <v>2239.6278765432103</v>
      </c>
      <c r="N24" s="10"/>
      <c r="P24" s="25">
        <v>6</v>
      </c>
      <c r="Q24" s="55" t="str">
        <f ca="1">IF(INDIRECT((ADDRESS(5+$B24,2,1,1,'DataSourceSelection - Central'!$C$29)))="", "", INDIRECT((ADDRESS(5+$B24,2,1,1,'DataSourceSelection - Central'!$C$29))))</f>
        <v/>
      </c>
      <c r="R24" s="126">
        <f ca="1">INDIRECT((ADDRESS(5+$B24,3,1,1,'DataSourceSelection - Central'!$C$29)))</f>
        <v>0</v>
      </c>
      <c r="S24" s="126">
        <f ca="1">INDIRECT((ADDRESS(5+$B24,4,1,1,'DataSourceSelection - Central'!$C$29)))</f>
        <v>0</v>
      </c>
      <c r="T24" s="128">
        <f ca="1">INDIRECT((ADDRESS(5+$B24,5,1,1,'DataSourceSelection - Central'!$C$29)))</f>
        <v>0</v>
      </c>
      <c r="U24" s="10"/>
      <c r="X24" s="73" t="s">
        <v>30</v>
      </c>
      <c r="Y24" s="56"/>
      <c r="Z24" s="56"/>
      <c r="AA24" s="180">
        <f ca="1">SUMPRODUCT(AA19:AA23,AC19:AC23)</f>
        <v>67.283323977006816</v>
      </c>
      <c r="AB24" s="179" t="s">
        <v>38</v>
      </c>
      <c r="AC24" s="187"/>
    </row>
    <row r="25" spans="2:29" x14ac:dyDescent="0.4">
      <c r="B25" s="25">
        <v>7</v>
      </c>
      <c r="C25" s="55" t="str">
        <f ca="1">IF(INDIRECT((ADDRESS(5+$B25,2,1,1,'DataSourceSelection - Central'!$C$19)))="", "", INDIRECT((ADDRESS(5+$B25,2,1,1,'DataSourceSelection - Central'!$C$19))))</f>
        <v/>
      </c>
      <c r="D25" s="126">
        <f ca="1">INDIRECT((ADDRESS(5+$B25,3,1,1,'DataSourceSelection - Central'!$C$19)))</f>
        <v>0</v>
      </c>
      <c r="E25" s="126">
        <f ca="1">INDIRECT((ADDRESS(5+$B25,4,1,1,'DataSourceSelection - Central'!$C$19)))</f>
        <v>0</v>
      </c>
      <c r="F25" s="128">
        <f ca="1">INDIRECT((ADDRESS(5+$B25,5,1,1,'DataSourceSelection - Central'!$C$19)))</f>
        <v>0</v>
      </c>
      <c r="G25" s="10"/>
      <c r="H25" s="25"/>
      <c r="I25" s="25">
        <v>7</v>
      </c>
      <c r="J25" s="55" t="str">
        <f ca="1">IF(INDIRECT((ADDRESS(5+$B25,2,1,1,'DataSourceSelection - Central'!$C$24)))="", "", INDIRECT((ADDRESS(5+$B25,2,1,1,'DataSourceSelection - Central'!$C$24))))</f>
        <v/>
      </c>
      <c r="K25" s="126">
        <f ca="1">INDIRECT((ADDRESS(5+$B25,3,1,1,'DataSourceSelection - Central'!$C$24)))</f>
        <v>0</v>
      </c>
      <c r="L25" s="126">
        <f ca="1">INDIRECT((ADDRESS(5+$B25,4,1,1,'DataSourceSelection - Central'!$C$24)))</f>
        <v>0</v>
      </c>
      <c r="M25" s="128">
        <f ca="1">INDIRECT((ADDRESS(5+$B25,5,1,1,'DataSourceSelection - Central'!$C$24)))</f>
        <v>0</v>
      </c>
      <c r="N25" s="10"/>
      <c r="P25" s="25">
        <v>7</v>
      </c>
      <c r="Q25" s="55" t="str">
        <f ca="1">IF(INDIRECT((ADDRESS(5+$B25,2,1,1,'DataSourceSelection - Central'!$C$29)))="", "", INDIRECT((ADDRESS(5+$B25,2,1,1,'DataSourceSelection - Central'!$C$29))))</f>
        <v/>
      </c>
      <c r="R25" s="126">
        <f ca="1">INDIRECT((ADDRESS(5+$B25,3,1,1,'DataSourceSelection - Central'!$C$29)))</f>
        <v>0</v>
      </c>
      <c r="S25" s="126">
        <f ca="1">INDIRECT((ADDRESS(5+$B25,4,1,1,'DataSourceSelection - Central'!$C$29)))</f>
        <v>0</v>
      </c>
      <c r="T25" s="128">
        <f ca="1">INDIRECT((ADDRESS(5+$B25,5,1,1,'DataSourceSelection - Central'!$C$29)))</f>
        <v>0</v>
      </c>
      <c r="U25" s="10"/>
      <c r="X25" s="43"/>
      <c r="Y25" s="38"/>
      <c r="Z25" s="38"/>
      <c r="AA25" s="51">
        <f ca="1">D4/(AA24/1000)</f>
        <v>3344.067841786336</v>
      </c>
      <c r="AB25" s="38" t="s">
        <v>18</v>
      </c>
      <c r="AC25" s="44"/>
    </row>
    <row r="26" spans="2:29" x14ac:dyDescent="0.4">
      <c r="B26" s="25">
        <v>8</v>
      </c>
      <c r="C26" s="55" t="str">
        <f ca="1">IF(INDIRECT((ADDRESS(5+$B26,2,1,1,'DataSourceSelection - Central'!$C$19)))="", "", INDIRECT((ADDRESS(5+$B26,2,1,1,'DataSourceSelection - Central'!$C$19))))</f>
        <v/>
      </c>
      <c r="D26" s="126">
        <f ca="1">INDIRECT((ADDRESS(5+$B26,3,1,1,'DataSourceSelection - Central'!$C$19)))</f>
        <v>0</v>
      </c>
      <c r="E26" s="126">
        <f ca="1">INDIRECT((ADDRESS(5+$B26,4,1,1,'DataSourceSelection - Central'!$C$19)))</f>
        <v>0</v>
      </c>
      <c r="F26" s="128">
        <f ca="1">INDIRECT((ADDRESS(5+$B26,5,1,1,'DataSourceSelection - Central'!$C$19)))</f>
        <v>0</v>
      </c>
      <c r="G26" s="10"/>
      <c r="H26" s="25"/>
      <c r="I26" s="25">
        <v>8</v>
      </c>
      <c r="J26" s="55" t="str">
        <f ca="1">IF(INDIRECT((ADDRESS(5+$B26,2,1,1,'DataSourceSelection - Central'!$C$24)))="", "", INDIRECT((ADDRESS(5+$B26,2,1,1,'DataSourceSelection - Central'!$C$24))))</f>
        <v/>
      </c>
      <c r="K26" s="126">
        <f ca="1">INDIRECT((ADDRESS(5+$B26,3,1,1,'DataSourceSelection - Central'!$C$24)))</f>
        <v>0</v>
      </c>
      <c r="L26" s="126">
        <f ca="1">INDIRECT((ADDRESS(5+$B26,4,1,1,'DataSourceSelection - Central'!$C$24)))</f>
        <v>0</v>
      </c>
      <c r="M26" s="128">
        <f ca="1">INDIRECT((ADDRESS(5+$B26,5,1,1,'DataSourceSelection - Central'!$C$24)))</f>
        <v>0</v>
      </c>
      <c r="N26" s="10"/>
      <c r="P26" s="25">
        <v>8</v>
      </c>
      <c r="Q26" s="55" t="str">
        <f ca="1">IF(INDIRECT((ADDRESS(5+$B26,2,1,1,'DataSourceSelection - Central'!$C$29)))="", "", INDIRECT((ADDRESS(5+$B26,2,1,1,'DataSourceSelection - Central'!$C$29))))</f>
        <v/>
      </c>
      <c r="R26" s="126">
        <f ca="1">INDIRECT((ADDRESS(5+$B26,3,1,1,'DataSourceSelection - Central'!$C$29)))</f>
        <v>0</v>
      </c>
      <c r="S26" s="126">
        <f ca="1">INDIRECT((ADDRESS(5+$B26,4,1,1,'DataSourceSelection - Central'!$C$29)))</f>
        <v>0</v>
      </c>
      <c r="T26" s="128">
        <f ca="1">INDIRECT((ADDRESS(5+$B26,5,1,1,'DataSourceSelection - Central'!$C$29)))</f>
        <v>0</v>
      </c>
      <c r="U26" s="10"/>
      <c r="X26" s="42" t="s">
        <v>20</v>
      </c>
      <c r="Y26" s="38"/>
      <c r="Z26" s="38"/>
      <c r="AA26" s="51">
        <f ca="1">AA25/24</f>
        <v>139.33616007443067</v>
      </c>
      <c r="AB26" s="38" t="s">
        <v>21</v>
      </c>
      <c r="AC26" s="44"/>
    </row>
    <row r="27" spans="2:29" x14ac:dyDescent="0.4">
      <c r="B27" s="25">
        <v>9</v>
      </c>
      <c r="C27" s="55" t="str">
        <f ca="1">IF(INDIRECT((ADDRESS(5+$B27,2,1,1,'DataSourceSelection - Central'!$C$19)))="", "", INDIRECT((ADDRESS(5+$B27,2,1,1,'DataSourceSelection - Central'!$C$19))))</f>
        <v/>
      </c>
      <c r="D27" s="126">
        <f ca="1">INDIRECT((ADDRESS(5+$B27,3,1,1,'DataSourceSelection - Central'!$C$19)))</f>
        <v>0</v>
      </c>
      <c r="E27" s="126">
        <f ca="1">INDIRECT((ADDRESS(5+$B27,4,1,1,'DataSourceSelection - Central'!$C$19)))</f>
        <v>0</v>
      </c>
      <c r="F27" s="128">
        <f ca="1">INDIRECT((ADDRESS(5+$B27,5,1,1,'DataSourceSelection - Central'!$C$19)))</f>
        <v>0</v>
      </c>
      <c r="G27" s="10"/>
      <c r="H27" s="25"/>
      <c r="I27" s="25">
        <v>9</v>
      </c>
      <c r="J27" s="55" t="str">
        <f ca="1">IF(INDIRECT((ADDRESS(5+$B27,2,1,1,'DataSourceSelection - Central'!$C$24)))="", "", INDIRECT((ADDRESS(5+$B27,2,1,1,'DataSourceSelection - Central'!$C$24))))</f>
        <v/>
      </c>
      <c r="K27" s="126">
        <f ca="1">INDIRECT((ADDRESS(5+$B27,3,1,1,'DataSourceSelection - Central'!$C$24)))</f>
        <v>0</v>
      </c>
      <c r="L27" s="126">
        <f ca="1">INDIRECT((ADDRESS(5+$B27,4,1,1,'DataSourceSelection - Central'!$C$24)))</f>
        <v>0</v>
      </c>
      <c r="M27" s="128">
        <f ca="1">INDIRECT((ADDRESS(5+$B27,5,1,1,'DataSourceSelection - Central'!$C$24)))</f>
        <v>0</v>
      </c>
      <c r="N27" s="10"/>
      <c r="P27" s="25">
        <v>9</v>
      </c>
      <c r="Q27" s="55" t="str">
        <f ca="1">IF(INDIRECT((ADDRESS(5+$B27,2,1,1,'DataSourceSelection - Central'!$C$29)))="", "", INDIRECT((ADDRESS(5+$B27,2,1,1,'DataSourceSelection - Central'!$C$29))))</f>
        <v/>
      </c>
      <c r="R27" s="126">
        <f ca="1">INDIRECT((ADDRESS(5+$B27,3,1,1,'DataSourceSelection - Central'!$C$29)))</f>
        <v>0</v>
      </c>
      <c r="S27" s="126">
        <f ca="1">INDIRECT((ADDRESS(5+$B27,4,1,1,'DataSourceSelection - Central'!$C$29)))</f>
        <v>0</v>
      </c>
      <c r="T27" s="128">
        <f ca="1">INDIRECT((ADDRESS(5+$B27,5,1,1,'DataSourceSelection - Central'!$C$29)))</f>
        <v>0</v>
      </c>
      <c r="U27" s="10"/>
      <c r="X27" s="75"/>
      <c r="Y27" s="76"/>
      <c r="Z27" s="76"/>
      <c r="AA27" s="77">
        <f ca="1">AA26/365</f>
        <v>0.38174290431350866</v>
      </c>
      <c r="AB27" s="76" t="s">
        <v>22</v>
      </c>
      <c r="AC27" s="78"/>
    </row>
    <row r="28" spans="2:29" x14ac:dyDescent="0.4">
      <c r="B28" s="25">
        <v>10</v>
      </c>
      <c r="C28" s="55" t="str">
        <f ca="1">IF(INDIRECT((ADDRESS(5+$B28,2,1,1,'DataSourceSelection - Central'!$C$19)))="", "", INDIRECT((ADDRESS(5+$B28,2,1,1,'DataSourceSelection - Central'!$C$19))))</f>
        <v/>
      </c>
      <c r="D28" s="126">
        <f ca="1">INDIRECT((ADDRESS(5+$B28,3,1,1,'DataSourceSelection - Central'!$C$19)))</f>
        <v>0</v>
      </c>
      <c r="E28" s="126">
        <f ca="1">INDIRECT((ADDRESS(5+$B28,4,1,1,'DataSourceSelection - Central'!$C$19)))</f>
        <v>0</v>
      </c>
      <c r="F28" s="128">
        <f ca="1">INDIRECT((ADDRESS(5+$B28,5,1,1,'DataSourceSelection - Central'!$C$19)))</f>
        <v>0</v>
      </c>
      <c r="G28" s="10"/>
      <c r="H28" s="25"/>
      <c r="I28" s="25">
        <v>10</v>
      </c>
      <c r="J28" s="55" t="str">
        <f ca="1">IF(INDIRECT((ADDRESS(5+$B28,2,1,1,'DataSourceSelection - Central'!$C$24)))="", "", INDIRECT((ADDRESS(5+$B28,2,1,1,'DataSourceSelection - Central'!$C$24))))</f>
        <v/>
      </c>
      <c r="K28" s="126">
        <f ca="1">INDIRECT((ADDRESS(5+$B28,3,1,1,'DataSourceSelection - Central'!$C$24)))</f>
        <v>0</v>
      </c>
      <c r="L28" s="126">
        <f ca="1">INDIRECT((ADDRESS(5+$B28,4,1,1,'DataSourceSelection - Central'!$C$24)))</f>
        <v>0</v>
      </c>
      <c r="M28" s="128">
        <f ca="1">INDIRECT((ADDRESS(5+$B28,5,1,1,'DataSourceSelection - Central'!$C$24)))</f>
        <v>0</v>
      </c>
      <c r="N28" s="10"/>
      <c r="P28" s="25">
        <v>10</v>
      </c>
      <c r="Q28" s="55" t="str">
        <f ca="1">IF(INDIRECT((ADDRESS(5+$B28,2,1,1,'DataSourceSelection - Central'!$C$29)))="", "", INDIRECT((ADDRESS(5+$B28,2,1,1,'DataSourceSelection - Central'!$C$29))))</f>
        <v/>
      </c>
      <c r="R28" s="126">
        <f ca="1">INDIRECT((ADDRESS(5+$B28,3,1,1,'DataSourceSelection - Central'!$C$29)))</f>
        <v>0</v>
      </c>
      <c r="S28" s="126">
        <f ca="1">INDIRECT((ADDRESS(5+$B28,4,1,1,'DataSourceSelection - Central'!$C$29)))</f>
        <v>0</v>
      </c>
      <c r="T28" s="128">
        <f ca="1">INDIRECT((ADDRESS(5+$B28,5,1,1,'DataSourceSelection - Central'!$C$29)))</f>
        <v>0</v>
      </c>
      <c r="U28" s="10"/>
      <c r="X28" s="24"/>
      <c r="Y28" s="8"/>
      <c r="Z28" s="8"/>
      <c r="AA28" s="8"/>
      <c r="AB28" s="8"/>
      <c r="AC28" s="3"/>
    </row>
    <row r="29" spans="2:29" ht="12" customHeight="1" x14ac:dyDescent="0.4">
      <c r="B29" s="25">
        <v>11</v>
      </c>
      <c r="C29" s="55" t="str">
        <f ca="1">IF(INDIRECT((ADDRESS(5+$B29,2,1,1,'DataSourceSelection - Central'!$C$19)))="", "", INDIRECT((ADDRESS(5+$B29,2,1,1,'DataSourceSelection - Central'!$C$19))))</f>
        <v/>
      </c>
      <c r="D29" s="126">
        <f ca="1">INDIRECT((ADDRESS(5+$B29,3,1,1,'DataSourceSelection - Central'!$C$19)))</f>
        <v>0</v>
      </c>
      <c r="E29" s="126">
        <f ca="1">INDIRECT((ADDRESS(5+$B29,4,1,1,'DataSourceSelection - Central'!$C$19)))</f>
        <v>0</v>
      </c>
      <c r="F29" s="128">
        <f ca="1">INDIRECT((ADDRESS(5+$B29,5,1,1,'DataSourceSelection - Central'!$C$19)))</f>
        <v>0</v>
      </c>
      <c r="G29" s="10"/>
      <c r="H29" s="25"/>
      <c r="I29" s="25">
        <v>11</v>
      </c>
      <c r="J29" s="55" t="str">
        <f ca="1">IF(INDIRECT((ADDRESS(5+$B29,2,1,1,'DataSourceSelection - Central'!$C$24)))="", "", INDIRECT((ADDRESS(5+$B29,2,1,1,'DataSourceSelection - Central'!$C$24))))</f>
        <v/>
      </c>
      <c r="K29" s="126">
        <f ca="1">INDIRECT((ADDRESS(5+$B29,3,1,1,'DataSourceSelection - Central'!$C$24)))</f>
        <v>0</v>
      </c>
      <c r="L29" s="126">
        <f ca="1">INDIRECT((ADDRESS(5+$B29,4,1,1,'DataSourceSelection - Central'!$C$24)))</f>
        <v>0</v>
      </c>
      <c r="M29" s="128">
        <f ca="1">INDIRECT((ADDRESS(5+$B29,5,1,1,'DataSourceSelection - Central'!$C$24)))</f>
        <v>0</v>
      </c>
      <c r="N29" s="10"/>
      <c r="P29" s="25">
        <v>11</v>
      </c>
      <c r="Q29" s="55" t="str">
        <f ca="1">IF(INDIRECT((ADDRESS(5+$B29,2,1,1,'DataSourceSelection - Central'!$C$29)))="", "", INDIRECT((ADDRESS(5+$B29,2,1,1,'DataSourceSelection - Central'!$C$29))))</f>
        <v/>
      </c>
      <c r="R29" s="126">
        <f ca="1">INDIRECT((ADDRESS(5+$B29,3,1,1,'DataSourceSelection - Central'!$C$29)))</f>
        <v>0</v>
      </c>
      <c r="S29" s="126">
        <f ca="1">INDIRECT((ADDRESS(5+$B29,4,1,1,'DataSourceSelection - Central'!$C$29)))</f>
        <v>0</v>
      </c>
      <c r="T29" s="128">
        <f ca="1">INDIRECT((ADDRESS(5+$B29,5,1,1,'DataSourceSelection - Central'!$C$29)))</f>
        <v>0</v>
      </c>
      <c r="U29" s="10"/>
      <c r="X29" s="25"/>
      <c r="Y29" s="2"/>
      <c r="Z29" s="2"/>
      <c r="AA29" s="2"/>
      <c r="AB29" s="2"/>
      <c r="AC29" s="10"/>
    </row>
    <row r="30" spans="2:29" x14ac:dyDescent="0.4">
      <c r="B30" s="25">
        <v>12</v>
      </c>
      <c r="C30" s="55" t="str">
        <f ca="1">IF(INDIRECT((ADDRESS(5+$B30,2,1,1,'DataSourceSelection - Central'!$C$19)))="", "", INDIRECT((ADDRESS(5+$B30,2,1,1,'DataSourceSelection - Central'!$C$19))))</f>
        <v/>
      </c>
      <c r="D30" s="126">
        <f ca="1">INDIRECT((ADDRESS(5+$B30,3,1,1,'DataSourceSelection - Central'!$C$19)))</f>
        <v>0</v>
      </c>
      <c r="E30" s="126">
        <f ca="1">INDIRECT((ADDRESS(5+$B30,4,1,1,'DataSourceSelection - Central'!$C$19)))</f>
        <v>0</v>
      </c>
      <c r="F30" s="128">
        <f ca="1">INDIRECT((ADDRESS(5+$B30,5,1,1,'DataSourceSelection - Central'!$C$19)))</f>
        <v>0</v>
      </c>
      <c r="G30" s="10"/>
      <c r="H30" s="25"/>
      <c r="I30" s="25">
        <v>12</v>
      </c>
      <c r="J30" s="55" t="str">
        <f ca="1">IF(INDIRECT((ADDRESS(5+$B30,2,1,1,'DataSourceSelection - Central'!$C$24)))="", "", INDIRECT((ADDRESS(5+$B30,2,1,1,'DataSourceSelection - Central'!$C$24))))</f>
        <v/>
      </c>
      <c r="K30" s="126">
        <f ca="1">INDIRECT((ADDRESS(5+$B30,3,1,1,'DataSourceSelection - Central'!$C$24)))</f>
        <v>0</v>
      </c>
      <c r="L30" s="126">
        <f ca="1">INDIRECT((ADDRESS(5+$B30,4,1,1,'DataSourceSelection - Central'!$C$24)))</f>
        <v>0</v>
      </c>
      <c r="M30" s="128">
        <f ca="1">INDIRECT((ADDRESS(5+$B30,5,1,1,'DataSourceSelection - Central'!$C$24)))</f>
        <v>0</v>
      </c>
      <c r="N30" s="10"/>
      <c r="P30" s="25">
        <v>12</v>
      </c>
      <c r="Q30" s="55" t="str">
        <f ca="1">IF(INDIRECT((ADDRESS(5+$B30,2,1,1,'DataSourceSelection - Central'!$C$29)))="", "", INDIRECT((ADDRESS(5+$B30,2,1,1,'DataSourceSelection - Central'!$C$29))))</f>
        <v/>
      </c>
      <c r="R30" s="126">
        <f ca="1">INDIRECT((ADDRESS(5+$B30,3,1,1,'DataSourceSelection - Central'!$C$29)))</f>
        <v>0</v>
      </c>
      <c r="S30" s="126">
        <f ca="1">INDIRECT((ADDRESS(5+$B30,4,1,1,'DataSourceSelection - Central'!$C$29)))</f>
        <v>0</v>
      </c>
      <c r="T30" s="128">
        <f ca="1">INDIRECT((ADDRESS(5+$B30,5,1,1,'DataSourceSelection - Central'!$C$29)))</f>
        <v>0</v>
      </c>
      <c r="U30" s="10"/>
      <c r="X30" s="25"/>
      <c r="Y30" s="2"/>
      <c r="Z30" s="2"/>
      <c r="AA30" s="2"/>
      <c r="AB30" s="2"/>
      <c r="AC30" s="10"/>
    </row>
    <row r="31" spans="2:29" x14ac:dyDescent="0.4">
      <c r="B31" s="25">
        <v>13</v>
      </c>
      <c r="C31" s="55" t="str">
        <f ca="1">IF(INDIRECT((ADDRESS(5+$B31,2,1,1,'DataSourceSelection - Central'!$C$19)))="", "", INDIRECT((ADDRESS(5+$B31,2,1,1,'DataSourceSelection - Central'!$C$19))))</f>
        <v/>
      </c>
      <c r="D31" s="126">
        <f ca="1">INDIRECT((ADDRESS(5+$B31,3,1,1,'DataSourceSelection - Central'!$C$19)))</f>
        <v>0</v>
      </c>
      <c r="E31" s="126">
        <f ca="1">INDIRECT((ADDRESS(5+$B31,4,1,1,'DataSourceSelection - Central'!$C$19)))</f>
        <v>0</v>
      </c>
      <c r="F31" s="128">
        <f ca="1">INDIRECT((ADDRESS(5+$B31,5,1,1,'DataSourceSelection - Central'!$C$19)))</f>
        <v>0</v>
      </c>
      <c r="G31" s="10"/>
      <c r="H31" s="25"/>
      <c r="I31" s="25">
        <v>13</v>
      </c>
      <c r="J31" s="55" t="str">
        <f ca="1">IF(INDIRECT((ADDRESS(5+$B31,2,1,1,'DataSourceSelection - Central'!$C$24)))="", "", INDIRECT((ADDRESS(5+$B31,2,1,1,'DataSourceSelection - Central'!$C$24))))</f>
        <v/>
      </c>
      <c r="K31" s="126">
        <f ca="1">INDIRECT((ADDRESS(5+$B31,3,1,1,'DataSourceSelection - Central'!$C$24)))</f>
        <v>0</v>
      </c>
      <c r="L31" s="126">
        <f ca="1">INDIRECT((ADDRESS(5+$B31,4,1,1,'DataSourceSelection - Central'!$C$24)))</f>
        <v>0</v>
      </c>
      <c r="M31" s="128">
        <f ca="1">INDIRECT((ADDRESS(5+$B31,5,1,1,'DataSourceSelection - Central'!$C$24)))</f>
        <v>0</v>
      </c>
      <c r="N31" s="10"/>
      <c r="P31" s="25">
        <v>13</v>
      </c>
      <c r="Q31" s="55" t="str">
        <f ca="1">IF(INDIRECT((ADDRESS(5+$B31,2,1,1,'DataSourceSelection - Central'!$C$29)))="", "", INDIRECT((ADDRESS(5+$B31,2,1,1,'DataSourceSelection - Central'!$C$29))))</f>
        <v/>
      </c>
      <c r="R31" s="126">
        <f ca="1">INDIRECT((ADDRESS(5+$B31,3,1,1,'DataSourceSelection - Central'!$C$29)))</f>
        <v>0</v>
      </c>
      <c r="S31" s="126">
        <f ca="1">INDIRECT((ADDRESS(5+$B31,4,1,1,'DataSourceSelection - Central'!$C$29)))</f>
        <v>0</v>
      </c>
      <c r="T31" s="128">
        <f ca="1">INDIRECT((ADDRESS(5+$B31,5,1,1,'DataSourceSelection - Central'!$C$29)))</f>
        <v>0</v>
      </c>
      <c r="U31" s="10"/>
      <c r="X31" s="25"/>
      <c r="Y31" s="2"/>
      <c r="Z31" s="2"/>
      <c r="AA31" s="2"/>
      <c r="AB31" s="2"/>
      <c r="AC31" s="10"/>
    </row>
    <row r="32" spans="2:29" x14ac:dyDescent="0.4">
      <c r="B32" s="25">
        <v>14</v>
      </c>
      <c r="C32" s="55" t="str">
        <f ca="1">IF(INDIRECT((ADDRESS(5+$B32,2,1,1,'DataSourceSelection - Central'!$C$19)))="", "", INDIRECT((ADDRESS(5+$B32,2,1,1,'DataSourceSelection - Central'!$C$19))))</f>
        <v/>
      </c>
      <c r="D32" s="126">
        <f ca="1">INDIRECT((ADDRESS(5+$B32,3,1,1,'DataSourceSelection - Central'!$C$19)))</f>
        <v>0</v>
      </c>
      <c r="E32" s="126">
        <f ca="1">INDIRECT((ADDRESS(5+$B32,4,1,1,'DataSourceSelection - Central'!$C$19)))</f>
        <v>0</v>
      </c>
      <c r="F32" s="128">
        <f ca="1">INDIRECT((ADDRESS(5+$B32,5,1,1,'DataSourceSelection - Central'!$C$19)))</f>
        <v>0</v>
      </c>
      <c r="G32" s="10"/>
      <c r="H32" s="25"/>
      <c r="I32" s="25">
        <v>14</v>
      </c>
      <c r="J32" s="55" t="str">
        <f ca="1">IF(INDIRECT((ADDRESS(5+$B32,2,1,1,'DataSourceSelection - Central'!$C$24)))="", "", INDIRECT((ADDRESS(5+$B32,2,1,1,'DataSourceSelection - Central'!$C$24))))</f>
        <v/>
      </c>
      <c r="K32" s="126">
        <f ca="1">INDIRECT((ADDRESS(5+$B32,3,1,1,'DataSourceSelection - Central'!$C$24)))</f>
        <v>0</v>
      </c>
      <c r="L32" s="126">
        <f ca="1">INDIRECT((ADDRESS(5+$B32,4,1,1,'DataSourceSelection - Central'!$C$24)))</f>
        <v>0</v>
      </c>
      <c r="M32" s="128">
        <f ca="1">INDIRECT((ADDRESS(5+$B32,5,1,1,'DataSourceSelection - Central'!$C$24)))</f>
        <v>0</v>
      </c>
      <c r="N32" s="10"/>
      <c r="P32" s="25">
        <v>14</v>
      </c>
      <c r="Q32" s="55" t="str">
        <f ca="1">IF(INDIRECT((ADDRESS(5+$B32,2,1,1,'DataSourceSelection - Central'!$C$29)))="", "", INDIRECT((ADDRESS(5+$B32,2,1,1,'DataSourceSelection - Central'!$C$29))))</f>
        <v/>
      </c>
      <c r="R32" s="126">
        <f ca="1">INDIRECT((ADDRESS(5+$B32,3,1,1,'DataSourceSelection - Central'!$C$29)))</f>
        <v>0</v>
      </c>
      <c r="S32" s="126">
        <f ca="1">INDIRECT((ADDRESS(5+$B32,4,1,1,'DataSourceSelection - Central'!$C$29)))</f>
        <v>0</v>
      </c>
      <c r="T32" s="128">
        <f ca="1">INDIRECT((ADDRESS(5+$B32,5,1,1,'DataSourceSelection - Central'!$C$29)))</f>
        <v>0</v>
      </c>
      <c r="U32" s="10"/>
      <c r="X32" s="25"/>
      <c r="Y32" s="2"/>
      <c r="Z32" s="2"/>
      <c r="AA32" s="2"/>
      <c r="AB32" s="2"/>
      <c r="AC32" s="10"/>
    </row>
    <row r="33" spans="2:29" x14ac:dyDescent="0.4">
      <c r="B33" s="25"/>
      <c r="C33" s="88"/>
      <c r="D33" s="90"/>
      <c r="E33" s="90"/>
      <c r="F33" s="90"/>
      <c r="G33" s="10"/>
      <c r="H33" s="25"/>
      <c r="I33" s="25"/>
      <c r="J33" s="59"/>
      <c r="K33" s="53"/>
      <c r="L33" s="49"/>
      <c r="M33" s="53"/>
      <c r="N33" s="58"/>
      <c r="P33" s="25"/>
      <c r="Q33" s="59"/>
      <c r="R33" s="53"/>
      <c r="S33" s="49"/>
      <c r="T33" s="53"/>
      <c r="U33" s="58"/>
      <c r="X33" s="25"/>
      <c r="Y33" s="2"/>
      <c r="Z33" s="2"/>
      <c r="AA33" s="2"/>
      <c r="AB33" s="2"/>
      <c r="AC33" s="10"/>
    </row>
    <row r="34" spans="2:29" x14ac:dyDescent="0.4">
      <c r="B34" s="25"/>
      <c r="C34" s="89"/>
      <c r="D34" s="91"/>
      <c r="E34" s="91"/>
      <c r="F34" s="91"/>
      <c r="G34" s="10"/>
      <c r="H34" s="25"/>
      <c r="I34" s="25"/>
      <c r="J34" s="52"/>
      <c r="K34" s="54"/>
      <c r="L34" s="50"/>
      <c r="M34" s="54"/>
      <c r="N34" s="58"/>
      <c r="P34" s="25"/>
      <c r="Q34" s="52"/>
      <c r="R34" s="54"/>
      <c r="S34" s="50"/>
      <c r="T34" s="54"/>
      <c r="U34" s="58"/>
      <c r="X34" s="25"/>
      <c r="Y34" s="2"/>
      <c r="Z34" s="2"/>
      <c r="AA34" s="2"/>
      <c r="AB34" s="2"/>
      <c r="AC34" s="10"/>
    </row>
    <row r="35" spans="2:29" ht="16.5" customHeight="1" x14ac:dyDescent="0.4">
      <c r="B35" s="25"/>
      <c r="C35" s="87" t="str">
        <f ca="1">INDIRECT((ADDRESS(23,2,1,1,'DataSourceSelection - Central'!$C$19)))</f>
        <v>Total time of scanning event [us]</v>
      </c>
      <c r="D35" s="162">
        <f ca="1">INDIRECT((ADDRESS(23,3,1,1,'DataSourceSelection - Central'!$C$19)))</f>
        <v>1280000</v>
      </c>
      <c r="E35" s="6"/>
      <c r="F35" s="3"/>
      <c r="G35" s="10"/>
      <c r="H35" s="2"/>
      <c r="I35" s="25"/>
      <c r="J35" s="87" t="str">
        <f ca="1">INDIRECT((ADDRESS(23,2,1,1,'DataSourceSelection - Central'!$C$24)))</f>
        <v>Total time of connection event [us]</v>
      </c>
      <c r="K35" s="162">
        <f ca="1">INDIRECT((ADDRESS(23,3,1,1,'DataSourceSelection - Central'!$C$24)))</f>
        <v>3186.5011111111112</v>
      </c>
      <c r="L35" s="6"/>
      <c r="M35" s="3"/>
      <c r="N35" s="58"/>
      <c r="P35" s="25"/>
      <c r="Q35" s="87">
        <f ca="1">INDIRECT((ADDRESS(23,2,1,1,'DataSourceSelection - Central'!$C$29)))</f>
        <v>0</v>
      </c>
      <c r="R35" s="162">
        <f ca="1">INDIRECT((ADDRESS(23,3,1,1,'DataSourceSelection - Central'!$C$29)))</f>
        <v>0</v>
      </c>
      <c r="S35" s="6"/>
      <c r="T35" s="3"/>
      <c r="U35" s="58"/>
      <c r="X35" s="25"/>
      <c r="Y35" s="2"/>
      <c r="Z35" s="2"/>
      <c r="AA35" s="2"/>
      <c r="AB35" s="2"/>
      <c r="AC35" s="10"/>
    </row>
    <row r="36" spans="2:29" ht="12" customHeight="1" x14ac:dyDescent="0.4">
      <c r="B36" s="25"/>
      <c r="C36" s="130" t="str">
        <f ca="1">INDIRECT((ADDRESS(24,2,1,1,'DataSourceSelection - Central'!$C$19)))</f>
        <v>Total time * current [us*mA]</v>
      </c>
      <c r="D36" s="64"/>
      <c r="E36" s="7"/>
      <c r="F36" s="66">
        <f ca="1">INDIRECT((ADDRESS(24,5,1,1,'DataSourceSelection - Central'!$C$19)))</f>
        <v>3256388.0032799998</v>
      </c>
      <c r="G36" s="10"/>
      <c r="I36" s="25"/>
      <c r="J36" s="130" t="str">
        <f ca="1">INDIRECT((ADDRESS(24,2,1,1,'DataSourceSelection - Central'!$C$24)))</f>
        <v>Total time * current [us*mA]</v>
      </c>
      <c r="K36" s="64"/>
      <c r="L36" s="7"/>
      <c r="M36" s="66">
        <f ca="1">INDIRECT((ADDRESS(24,5,1,1,'DataSourceSelection - Central'!$C$24)))</f>
        <v>11905.178034790124</v>
      </c>
      <c r="N36" s="10"/>
      <c r="P36" s="25"/>
      <c r="Q36" s="130">
        <f ca="1">INDIRECT((ADDRESS(24,2,1,1,'DataSourceSelection - Central'!$C$29)))</f>
        <v>0</v>
      </c>
      <c r="R36" s="64"/>
      <c r="S36" s="7"/>
      <c r="T36" s="66">
        <f ca="1">INDIRECT((ADDRESS(24,5,1,1,'DataSourceSelection - Central'!$C$29)))</f>
        <v>0</v>
      </c>
      <c r="U36" s="10"/>
      <c r="X36" s="25"/>
      <c r="Y36" s="2"/>
      <c r="Z36" s="2"/>
      <c r="AA36" s="2"/>
      <c r="AB36" s="2"/>
      <c r="AC36" s="10"/>
    </row>
    <row r="37" spans="2:29" ht="11.25" customHeight="1" x14ac:dyDescent="0.4">
      <c r="B37" s="25"/>
      <c r="C37" s="131" t="str">
        <f ca="1">INDIRECT((ADDRESS(25,2,1,1,'DataSourceSelection - Central'!$C$19)))</f>
        <v>Average Current draw during scanning event [uA]</v>
      </c>
      <c r="D37" s="83"/>
      <c r="E37" s="9"/>
      <c r="F37" s="63">
        <f ca="1">INDIRECT((ADDRESS(25,5,1,1,'DataSourceSelection - Central'!$C$19)))</f>
        <v>2544.0531275624999</v>
      </c>
      <c r="G37" s="10"/>
      <c r="I37" s="25"/>
      <c r="J37" s="131" t="str">
        <f ca="1">INDIRECT((ADDRESS(25,2,1,1,'DataSourceSelection - Central'!$C$24)))</f>
        <v>Average Current draw during connection event [uA]</v>
      </c>
      <c r="K37" s="83"/>
      <c r="L37" s="9"/>
      <c r="M37" s="63">
        <f ca="1">INDIRECT((ADDRESS(25,5,1,1,'DataSourceSelection - Central'!$C$24)))</f>
        <v>3736.1286312681909</v>
      </c>
      <c r="N37" s="10"/>
      <c r="P37" s="25"/>
      <c r="Q37" s="131">
        <f ca="1">INDIRECT((ADDRESS(25,2,1,1,'DataSourceSelection - Central'!$C$29)))</f>
        <v>0</v>
      </c>
      <c r="R37" s="83"/>
      <c r="S37" s="9"/>
      <c r="T37" s="63">
        <f ca="1">INDIRECT((ADDRESS(25,5,1,1,'DataSourceSelection - Central'!$C$29)))</f>
        <v>0</v>
      </c>
      <c r="U37" s="10"/>
      <c r="X37" s="25"/>
      <c r="Y37" s="2"/>
      <c r="Z37" s="2"/>
      <c r="AA37" s="2"/>
      <c r="AB37" s="2"/>
      <c r="AC37" s="10"/>
    </row>
    <row r="38" spans="2:29" x14ac:dyDescent="0.4">
      <c r="B38" s="25"/>
      <c r="C38" s="5"/>
      <c r="D38" s="2"/>
      <c r="E38" s="2"/>
      <c r="F38" s="2"/>
      <c r="G38" s="10"/>
      <c r="I38" s="25"/>
      <c r="J38" s="5"/>
      <c r="K38" s="2"/>
      <c r="L38" s="2"/>
      <c r="M38" s="2"/>
      <c r="N38" s="10"/>
      <c r="P38" s="25"/>
      <c r="Q38" s="5"/>
      <c r="R38" s="2"/>
      <c r="S38" s="2"/>
      <c r="T38" s="2"/>
      <c r="U38" s="10"/>
      <c r="X38" s="12"/>
      <c r="Y38" s="9"/>
      <c r="Z38" s="9"/>
      <c r="AA38" s="9"/>
      <c r="AB38" s="9"/>
      <c r="AC38" s="11"/>
    </row>
    <row r="39" spans="2:29" ht="15" customHeight="1" x14ac:dyDescent="0.4">
      <c r="B39" s="25"/>
      <c r="C39" s="18" t="str">
        <f ca="1">INDIRECT((ADDRESS(27,2,1,1,'DataSourceSelection - Central'!$C$19)))</f>
        <v>Average current draw during scanning:</v>
      </c>
      <c r="D39" s="86">
        <f ca="1">INDIRECT((ADDRESS(27,3,1,1,'DataSourceSelection - Central'!$C$19)))</f>
        <v>2544.0531275624999</v>
      </c>
      <c r="E39" s="102" t="s">
        <v>38</v>
      </c>
      <c r="G39" s="10"/>
      <c r="I39" s="25"/>
      <c r="J39" s="18" t="str">
        <f ca="1">INDIRECT((ADDRESS(27,2,1,1,'DataSourceSelection - Central'!$C$24)))</f>
        <v>Average current draw during connection:</v>
      </c>
      <c r="K39" s="86">
        <f ca="1">INDIRECT((ADDRESS(27,3,1,1,'DataSourceSelection - Central'!$C$24)))</f>
        <v>120.3103558334568</v>
      </c>
      <c r="L39" s="102" t="s">
        <v>38</v>
      </c>
      <c r="N39" s="10"/>
      <c r="P39" s="25"/>
      <c r="Q39" s="18">
        <f ca="1">INDIRECT((ADDRESS(27,2,1,1,'DataSourceSelection - Central'!$C$29)))</f>
        <v>0</v>
      </c>
      <c r="R39" s="86">
        <f ca="1">INDIRECT((ADDRESS(27,3,1,1,'DataSourceSelection - Central'!$C$29)))</f>
        <v>0</v>
      </c>
      <c r="S39" s="102" t="s">
        <v>38</v>
      </c>
      <c r="U39" s="10"/>
    </row>
    <row r="40" spans="2:29" ht="15" customHeight="1" x14ac:dyDescent="0.4">
      <c r="B40" s="25"/>
      <c r="C40" s="18" t="str">
        <f ca="1">INDIRECT((ADDRESS(28,2,1,1,'DataSourceSelection - Central'!$C$19)))</f>
        <v>Expected battery life:</v>
      </c>
      <c r="D40" s="101">
        <f ca="1">INDIRECT((ADDRESS(28,3,1,1,'DataSourceSelection - Central'!$C$19)))</f>
        <v>88.441549259459165</v>
      </c>
      <c r="E40" s="103" t="s">
        <v>18</v>
      </c>
      <c r="G40" s="10"/>
      <c r="I40" s="25"/>
      <c r="J40" s="18" t="str">
        <f ca="1">INDIRECT((ADDRESS(28,2,1,1,'DataSourceSelection - Central'!$C$24)))</f>
        <v>Expected battery life:</v>
      </c>
      <c r="K40" s="101">
        <f ca="1">INDIRECT((ADDRESS(28,3,1,1,'DataSourceSelection - Central'!$C$24)))</f>
        <v>1870.1631995126252</v>
      </c>
      <c r="L40" s="103" t="s">
        <v>18</v>
      </c>
      <c r="N40" s="10"/>
      <c r="P40" s="25"/>
      <c r="Q40" s="18">
        <f ca="1">INDIRECT((ADDRESS(28,2,1,1,'DataSourceSelection - Central'!$C$29)))</f>
        <v>0</v>
      </c>
      <c r="R40" s="101">
        <f ca="1">INDIRECT((ADDRESS(28,3,1,1,'DataSourceSelection - Central'!$C$29)))</f>
        <v>0</v>
      </c>
      <c r="S40" s="103" t="s">
        <v>18</v>
      </c>
      <c r="U40" s="10"/>
    </row>
    <row r="41" spans="2:29" ht="15" customHeight="1" x14ac:dyDescent="0.4">
      <c r="B41" s="25"/>
      <c r="C41" s="18" t="str">
        <f ca="1">INDIRECT((ADDRESS(29,2,1,1,'DataSourceSelection - Central'!$C$19)))</f>
        <v>Expected battery life:</v>
      </c>
      <c r="D41" s="93">
        <f ca="1">INDIRECT((ADDRESS(29,3,1,1,'DataSourceSelection - Central'!$C$19)))</f>
        <v>3.6850645524774652</v>
      </c>
      <c r="E41" s="102" t="s">
        <v>21</v>
      </c>
      <c r="G41" s="10"/>
      <c r="I41" s="25"/>
      <c r="J41" s="18" t="str">
        <f ca="1">INDIRECT((ADDRESS(29,2,1,1,'DataSourceSelection - Central'!$C$24)))</f>
        <v>Expected battery life:</v>
      </c>
      <c r="K41" s="93">
        <f ca="1">INDIRECT((ADDRESS(29,3,1,1,'DataSourceSelection - Central'!$C$24)))</f>
        <v>77.923466646359387</v>
      </c>
      <c r="L41" s="102" t="s">
        <v>21</v>
      </c>
      <c r="N41" s="10"/>
      <c r="P41" s="25"/>
      <c r="Q41" s="18">
        <f ca="1">INDIRECT((ADDRESS(29,2,1,1,'DataSourceSelection - Central'!$C$29)))</f>
        <v>0</v>
      </c>
      <c r="R41" s="93">
        <f ca="1">INDIRECT((ADDRESS(29,3,1,1,'DataSourceSelection - Central'!$C$29)))</f>
        <v>0</v>
      </c>
      <c r="S41" s="102" t="s">
        <v>21</v>
      </c>
      <c r="U41" s="10"/>
    </row>
    <row r="42" spans="2:29" ht="17.25" customHeight="1" x14ac:dyDescent="0.4">
      <c r="B42" s="12"/>
      <c r="C42" s="9"/>
      <c r="D42" s="9"/>
      <c r="E42" s="9"/>
      <c r="F42" s="9"/>
      <c r="G42" s="11"/>
      <c r="I42" s="12"/>
      <c r="J42" s="28"/>
      <c r="K42" s="29"/>
      <c r="L42" s="9"/>
      <c r="M42" s="9"/>
      <c r="N42" s="11"/>
      <c r="P42" s="12"/>
      <c r="Q42" s="28"/>
      <c r="R42" s="29"/>
      <c r="S42" s="9"/>
      <c r="T42" s="9"/>
      <c r="U42" s="11"/>
    </row>
    <row r="43" spans="2:29" x14ac:dyDescent="0.4">
      <c r="B43" s="2"/>
      <c r="C43" s="2"/>
      <c r="D43" s="2"/>
      <c r="E43" s="2"/>
      <c r="F43" s="2"/>
    </row>
    <row r="44" spans="2:29" x14ac:dyDescent="0.4">
      <c r="B44" s="2"/>
      <c r="C44" s="2"/>
      <c r="D44" s="2"/>
      <c r="E44" s="2"/>
      <c r="F44" s="2"/>
      <c r="G44" s="2"/>
      <c r="H44" s="2"/>
      <c r="I44" s="2"/>
      <c r="J44" s="2"/>
      <c r="K44" s="2"/>
      <c r="L44" s="2"/>
      <c r="M44" s="2"/>
      <c r="N44" s="2"/>
    </row>
    <row r="45" spans="2:29" ht="31.5" customHeight="1" x14ac:dyDescent="0.5">
      <c r="B45" s="2"/>
      <c r="C45" s="214" t="str">
        <f>"Power Consumption profile"&amp;" " &amp; C16</f>
        <v>Power Consumption profile Scanning</v>
      </c>
      <c r="D45" s="214"/>
      <c r="E45" s="214"/>
      <c r="F45" s="214"/>
      <c r="G45" s="2"/>
      <c r="H45" s="2"/>
      <c r="I45" s="2"/>
      <c r="J45" s="214" t="str">
        <f>"Power Consumption profile"&amp;" " &amp; J16</f>
        <v>Power Consumption profile Connected as Central</v>
      </c>
      <c r="K45" s="214"/>
      <c r="L45" s="214"/>
      <c r="M45" s="214"/>
      <c r="N45" s="2"/>
      <c r="Q45" s="214" t="str">
        <f>"Power Consumption profile"&amp;" " &amp; Q16</f>
        <v>Power Consumption profile None</v>
      </c>
      <c r="R45" s="214"/>
      <c r="S45" s="214"/>
      <c r="T45" s="214"/>
    </row>
    <row r="46" spans="2:29" x14ac:dyDescent="0.4">
      <c r="B46" s="2"/>
      <c r="C46" s="2"/>
      <c r="D46" s="2"/>
      <c r="E46" s="2"/>
      <c r="F46" s="2"/>
      <c r="G46" s="2"/>
      <c r="H46" s="2"/>
      <c r="I46" s="2"/>
      <c r="J46" s="2"/>
      <c r="K46" s="2"/>
      <c r="L46" s="2"/>
      <c r="M46" s="2"/>
      <c r="N46" s="2"/>
    </row>
    <row r="47" spans="2:29" x14ac:dyDescent="0.4">
      <c r="B47" s="2"/>
      <c r="C47" s="2"/>
      <c r="D47" s="2"/>
      <c r="E47" s="2"/>
      <c r="F47" s="2"/>
      <c r="G47" s="2"/>
      <c r="H47" s="2"/>
      <c r="I47" s="2"/>
      <c r="J47" s="2"/>
      <c r="K47" s="2"/>
      <c r="L47" s="2"/>
      <c r="M47" s="2"/>
      <c r="N47" s="2"/>
    </row>
    <row r="48" spans="2:29" x14ac:dyDescent="0.4">
      <c r="B48" s="2"/>
      <c r="C48" s="2"/>
      <c r="D48" s="2"/>
      <c r="E48" s="2"/>
      <c r="F48" s="2"/>
      <c r="G48" s="2"/>
      <c r="H48" s="2"/>
      <c r="I48" s="2"/>
      <c r="J48" s="2"/>
      <c r="K48" s="2"/>
      <c r="L48" s="2"/>
      <c r="M48" s="2"/>
      <c r="N48" s="2"/>
    </row>
    <row r="49" spans="2:14" ht="12.75" customHeight="1" x14ac:dyDescent="0.4">
      <c r="B49" s="2"/>
      <c r="C49" s="2"/>
      <c r="D49" s="2"/>
      <c r="E49" s="2"/>
      <c r="F49" s="2"/>
      <c r="G49" s="2"/>
      <c r="H49" s="2"/>
      <c r="I49" s="2"/>
      <c r="J49" s="2"/>
      <c r="K49" s="2"/>
      <c r="L49" s="2"/>
      <c r="M49" s="2"/>
      <c r="N49" s="2"/>
    </row>
    <row r="50" spans="2:14" x14ac:dyDescent="0.4">
      <c r="B50" s="2"/>
      <c r="C50" s="2"/>
      <c r="D50" s="2"/>
      <c r="E50" s="2"/>
      <c r="F50" s="2"/>
      <c r="G50" s="2"/>
      <c r="H50" s="2"/>
      <c r="I50" s="2"/>
      <c r="J50" s="2"/>
      <c r="K50" s="2"/>
      <c r="L50" s="2"/>
      <c r="M50" s="2"/>
      <c r="N50" s="2"/>
    </row>
    <row r="51" spans="2:14" x14ac:dyDescent="0.4">
      <c r="B51" s="2"/>
      <c r="C51" s="2"/>
      <c r="D51" s="2"/>
      <c r="E51" s="2"/>
      <c r="F51" s="2"/>
      <c r="G51" s="2"/>
      <c r="H51" s="2"/>
      <c r="I51" s="2"/>
      <c r="J51" s="2"/>
      <c r="K51" s="2"/>
      <c r="L51" s="2"/>
      <c r="M51" s="2"/>
      <c r="N51" s="2"/>
    </row>
    <row r="52" spans="2:14" x14ac:dyDescent="0.4">
      <c r="B52" s="2"/>
      <c r="C52" s="2"/>
      <c r="D52" s="2"/>
      <c r="E52" s="2"/>
      <c r="F52" s="2"/>
      <c r="G52" s="2"/>
      <c r="H52" s="2"/>
      <c r="I52" s="2"/>
      <c r="J52" s="2"/>
      <c r="K52" s="2"/>
      <c r="L52" s="2"/>
      <c r="M52" s="2"/>
      <c r="N52" s="2"/>
    </row>
    <row r="53" spans="2:14" x14ac:dyDescent="0.4">
      <c r="B53" s="2"/>
      <c r="C53" s="2"/>
      <c r="D53" s="2"/>
      <c r="E53" s="2"/>
      <c r="F53" s="2"/>
      <c r="G53" s="2"/>
      <c r="H53" s="2"/>
      <c r="I53" s="2"/>
      <c r="J53" s="2"/>
      <c r="K53" s="2"/>
      <c r="L53" s="2"/>
      <c r="M53" s="2"/>
      <c r="N53" s="2"/>
    </row>
    <row r="54" spans="2:14" x14ac:dyDescent="0.4">
      <c r="B54" s="2"/>
      <c r="C54" s="5"/>
      <c r="D54" s="2"/>
      <c r="E54" s="2"/>
      <c r="F54" s="2"/>
      <c r="G54" s="2"/>
      <c r="H54" s="2"/>
      <c r="I54" s="2"/>
      <c r="J54" s="2"/>
      <c r="K54" s="2"/>
      <c r="L54" s="2"/>
      <c r="M54" s="2"/>
      <c r="N54" s="2"/>
    </row>
    <row r="55" spans="2:14" x14ac:dyDescent="0.4">
      <c r="B55" s="2"/>
      <c r="C55" s="5"/>
      <c r="D55" s="2"/>
      <c r="E55" s="2"/>
      <c r="F55" s="2"/>
      <c r="G55" s="2"/>
      <c r="H55" s="2"/>
      <c r="I55" s="2"/>
      <c r="J55" s="2"/>
      <c r="K55" s="2"/>
      <c r="L55" s="2"/>
      <c r="M55" s="2"/>
      <c r="N55" s="2"/>
    </row>
    <row r="56" spans="2:14" x14ac:dyDescent="0.4">
      <c r="G56" s="2"/>
      <c r="H56" s="2"/>
      <c r="I56" s="2"/>
      <c r="J56" s="2"/>
      <c r="K56" s="2"/>
      <c r="L56" s="2"/>
      <c r="M56" s="2"/>
      <c r="N56" s="2"/>
    </row>
    <row r="57" spans="2:14" x14ac:dyDescent="0.4">
      <c r="G57" s="2"/>
      <c r="H57" s="2"/>
      <c r="I57" s="2"/>
      <c r="J57" s="2"/>
      <c r="K57" s="2"/>
      <c r="L57" s="2"/>
      <c r="M57" s="2"/>
      <c r="N57" s="2"/>
    </row>
  </sheetData>
  <mergeCells count="11">
    <mergeCell ref="X16:AC16"/>
    <mergeCell ref="X17:AC17"/>
    <mergeCell ref="C45:F45"/>
    <mergeCell ref="J45:M45"/>
    <mergeCell ref="Q45:T45"/>
    <mergeCell ref="F12:J12"/>
    <mergeCell ref="F3:K3"/>
    <mergeCell ref="N3:P3"/>
    <mergeCell ref="N4:P4"/>
    <mergeCell ref="N5:P5"/>
    <mergeCell ref="N6:P6"/>
  </mergeCells>
  <conditionalFormatting sqref="F11:K11 J14:K14 F13:K13 K12">
    <cfRule type="notContainsBlanks" dxfId="6" priority="14">
      <formula>LEN(TRIM(F11))&gt;0</formula>
    </cfRule>
  </conditionalFormatting>
  <conditionalFormatting sqref="F12">
    <cfRule type="notContainsBlanks" dxfId="5" priority="4">
      <formula>LEN(TRIM(F12))&gt;0</formula>
    </cfRule>
  </conditionalFormatting>
  <conditionalFormatting sqref="Y19:Z23">
    <cfRule type="cellIs" dxfId="4" priority="3" operator="lessThan">
      <formula>0</formula>
    </cfRule>
  </conditionalFormatting>
  <conditionalFormatting sqref="Y19:Y23">
    <cfRule type="cellIs" dxfId="3" priority="2" operator="greaterThan">
      <formula>24</formula>
    </cfRule>
  </conditionalFormatting>
  <conditionalFormatting sqref="Z19:Z23">
    <cfRule type="cellIs" dxfId="2" priority="1" operator="greaterThan">
      <formula>59</formula>
    </cfRule>
  </conditionalFormatting>
  <dataValidations count="6">
    <dataValidation type="decimal" operator="greaterThanOrEqual" allowBlank="1" showInputMessage="1" showErrorMessage="1" error="Scanning Duration cannot be negative!" prompt="Scanning Duration in each scanning window" sqref="D7">
      <formula1>0</formula1>
    </dataValidation>
    <dataValidation type="decimal" operator="greaterThanOrEqual" allowBlank="1" showInputMessage="1" showErrorMessage="1" error="The Scanning Window must be at least as long as the Scanning Duration (continuous scanning)" prompt="The Scanning Window must be at least as long as the Scanning Duration (continuous scanning)" sqref="D8">
      <formula1>D7</formula1>
    </dataValidation>
    <dataValidation type="decimal" operator="equal" allowBlank="1" showInputMessage="1" showErrorMessage="1" error="The Scanning Interval must be equal to the Scanning Window minus the Scanning Duration" prompt="The scanning interval must be equal to the Scanning Window length minus the Scanning Duration length" sqref="D9">
      <formula1>D8-D7</formula1>
    </dataValidation>
    <dataValidation type="decimal" errorStyle="warning" allowBlank="1" showInputMessage="1" showErrorMessage="1" error="The connection  data length shall be in the range of 0 to 251 bytes." prompt="The connection  data length shall be in the range of 0 to 251 bytes." sqref="D12">
      <formula1>0</formula1>
      <formula2>251</formula2>
    </dataValidation>
    <dataValidation type="decimal" errorStyle="warning" showInputMessage="1" showErrorMessage="1" error="The connection interval shall be in the range of 7.5 ms to 4 s." prompt="The connection interval shall be in the range of 7.5 ms to 4 s." sqref="D11">
      <formula1>7.5</formula1>
      <formula2>4000</formula2>
    </dataValidation>
    <dataValidation type="whole" operator="greaterThan" showInputMessage="1" showErrorMessage="1" error="Invalid battery capacity!" prompt="Battery capacity in mAh_x000a__x000a_Typical Battery Capacities (mAh)_x000a_CR2032: 225_x000a_AAA: 1200_x000a_AA: 2700" sqref="D4">
      <formula1>0</formula1>
    </dataValidation>
  </dataValidations>
  <pageMargins left="0.75" right="0.75" top="1" bottom="1" header="0.5" footer="0.5"/>
  <pageSetup orientation="portrait" r:id="rId1"/>
  <headerFooter alignWithMargins="0"/>
  <drawing r:id="rId2"/>
  <extLst>
    <ext xmlns:x14="http://schemas.microsoft.com/office/spreadsheetml/2009/9/main" uri="{78C0D931-6437-407d-A8EE-F0AAD7539E65}">
      <x14:conditionalFormattings>
        <x14:conditionalFormatting xmlns:xm="http://schemas.microsoft.com/office/excel/2006/main">
          <x14:cfRule type="expression" priority="11" id="{13EE7E8E-F093-4803-83CE-BF29CF422939}">
            <xm:f>(NOT(EXACT($D$10,'Input arguments'!$H$3)))</xm:f>
            <x14:dxf>
              <font>
                <color theme="0"/>
              </font>
            </x14:dxf>
          </x14:cfRule>
          <x14:cfRule type="expression" priority="13" id="{CB90C835-5AA5-478B-8D61-B55D548EFCA7}">
            <xm:f>(EXACT($D$10,'Input arguments'!$H$3))</xm:f>
            <x14:dxf>
              <fill>
                <patternFill>
                  <bgColor theme="8" tint="0.59996337778862885"/>
                </patternFill>
              </fill>
            </x14:dxf>
          </x14:cfRule>
          <xm:sqref>E10</xm:sqref>
        </x14:conditionalFormatting>
      </x14:conditionalFormattings>
    </ext>
    <ext xmlns:x14="http://schemas.microsoft.com/office/spreadsheetml/2009/9/main" uri="{CCE6A557-97BC-4b89-ADB6-D9C93CAAB3DF}">
      <x14:dataValidations xmlns:xm="http://schemas.microsoft.com/office/excel/2006/main" count="6">
        <x14:dataValidation type="list" allowBlank="1" showInputMessage="1" showErrorMessage="1">
          <x14:formula1>
            <xm:f>'Input arguments'!$F$2:$F$7</xm:f>
          </x14:formula1>
          <xm:sqref>D6</xm:sqref>
        </x14:dataValidation>
        <x14:dataValidation type="list" allowBlank="1" showInputMessage="1" showErrorMessage="1">
          <x14:formula1>
            <xm:f>'Input arguments'!$C$2:$C$4</xm:f>
          </x14:formula1>
          <xm:sqref>D5</xm:sqref>
        </x14:dataValidation>
        <x14:dataValidation type="list" allowBlank="1" showInputMessage="1" showErrorMessage="1">
          <x14:formula1>
            <xm:f>'Input arguments'!$A$2:$A$4</xm:f>
          </x14:formula1>
          <xm:sqref>D3</xm:sqref>
        </x14:dataValidation>
        <x14:dataValidation type="list" errorStyle="information" allowBlank="1" showInputMessage="1" showErrorMessage="1" error="Data won't be updated according to this parameter" prompt="If you select &quot;Active&quot;, please chose the average number of scan request sent">
          <x14:formula1>
            <xm:f>'Input arguments'!$H$2:$H$3</xm:f>
          </x14:formula1>
          <xm:sqref>D10</xm:sqref>
        </x14:dataValidation>
        <x14:dataValidation type="list" allowBlank="1" showInputMessage="1" showErrorMessage="1">
          <x14:formula1>
            <xm:f>'Input arguments'!$I$2:$I$4</xm:f>
          </x14:formula1>
          <xm:sqref>Q16 C16 J16</xm:sqref>
        </x14:dataValidation>
        <x14:dataValidation type="list" allowBlank="1" showInputMessage="1" showErrorMessage="1">
          <x14:formula1>
            <xm:f>'Input arguments'!$G$2:$G$3</xm:f>
          </x14:formula1>
          <xm:sqref>D13</xm:sqref>
        </x14:dataValidation>
      </x14:dataValidations>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H29"/>
  <sheetViews>
    <sheetView workbookViewId="0">
      <selection activeCell="E31" sqref="E31"/>
    </sheetView>
  </sheetViews>
  <sheetFormatPr defaultColWidth="8.83203125" defaultRowHeight="12.3" x14ac:dyDescent="0.4"/>
  <cols>
    <col min="1" max="1" width="8.83203125" style="163"/>
    <col min="2" max="2" width="28.5546875" style="163" customWidth="1"/>
    <col min="3" max="16384" width="8.83203125" style="163"/>
  </cols>
  <sheetData>
    <row r="4" spans="2:7" x14ac:dyDescent="0.4">
      <c r="G4" s="189"/>
    </row>
    <row r="5" spans="2:7" ht="24.6" x14ac:dyDescent="0.4">
      <c r="B5" s="174" t="s">
        <v>3</v>
      </c>
      <c r="C5" s="200" t="s">
        <v>24</v>
      </c>
      <c r="D5" s="175" t="s">
        <v>25</v>
      </c>
      <c r="E5" s="170" t="s">
        <v>36</v>
      </c>
      <c r="G5" s="189"/>
    </row>
    <row r="6" spans="2:7" ht="14.25" customHeight="1" x14ac:dyDescent="0.4">
      <c r="B6" s="178" t="str">
        <f>'3V_ScanResponse'!B6</f>
        <v>Wake Up &amp; Pre-Processing</v>
      </c>
      <c r="C6" s="199">
        <f>'3V_ScanResponse'!C6</f>
        <v>1294.6666666666667</v>
      </c>
      <c r="D6" s="197">
        <f>('3V_ScanResponse'!D6)*3/3.6</f>
        <v>2.6482833333333335</v>
      </c>
      <c r="E6" s="182">
        <f t="shared" ref="E6:E19" si="0">C6*D6</f>
        <v>3428.6441555555562</v>
      </c>
      <c r="G6" s="189"/>
    </row>
    <row r="7" spans="2:7" x14ac:dyDescent="0.4">
      <c r="B7" s="178" t="str">
        <f>'3V_ScanResponse'!B7</f>
        <v>Radio Preparation</v>
      </c>
      <c r="C7" s="199">
        <f>'3V_ScanResponse'!C7</f>
        <v>329.11111111111109</v>
      </c>
      <c r="D7" s="197">
        <f>('3V_ScanResponse'!D7)*3/3.6</f>
        <v>3.1368177777777775</v>
      </c>
      <c r="E7" s="182">
        <f t="shared" si="0"/>
        <v>1032.3615841975306</v>
      </c>
      <c r="G7" s="189"/>
    </row>
    <row r="8" spans="2:7" x14ac:dyDescent="0.4">
      <c r="B8" s="178" t="str">
        <f>'3V_ScanResponse'!B8</f>
        <v>Transmit (TX)</v>
      </c>
      <c r="C8" s="199">
        <f>'3V_ScanResponse'!C8</f>
        <v>176.4975</v>
      </c>
      <c r="D8" s="197">
        <f>('3V_ScanResponse'!D8)*3/3.6</f>
        <v>6.2289144444444435</v>
      </c>
      <c r="E8" s="182">
        <f t="shared" si="0"/>
        <v>1099.3878271583333</v>
      </c>
      <c r="G8" s="189"/>
    </row>
    <row r="9" spans="2:7" x14ac:dyDescent="0.4">
      <c r="B9" s="178" t="str">
        <f>'3V_ScanResponse'!B9</f>
        <v>TX to RX transition</v>
      </c>
      <c r="C9" s="199">
        <f>'3V_ScanResponse'!C9</f>
        <v>131</v>
      </c>
      <c r="D9" s="197">
        <f>('3V_ScanResponse'!D9)*3/3.6</f>
        <v>3.8942037037037043</v>
      </c>
      <c r="E9" s="182">
        <f t="shared" si="0"/>
        <v>510.14068518518525</v>
      </c>
      <c r="G9" s="189"/>
    </row>
    <row r="10" spans="2:7" x14ac:dyDescent="0.4">
      <c r="B10" s="178" t="str">
        <f>'3V_ScanResponse'!B10</f>
        <v>Recieve (RX)</v>
      </c>
      <c r="C10" s="199">
        <f>'3V_ScanResponse'!C10</f>
        <v>104.11111111111111</v>
      </c>
      <c r="D10" s="197">
        <f>('3V_ScanResponse'!D10)*3/3.6</f>
        <v>5.5308055555555553</v>
      </c>
      <c r="E10" s="182">
        <f t="shared" si="0"/>
        <v>575.81831172839509</v>
      </c>
      <c r="G10" s="189"/>
    </row>
    <row r="11" spans="2:7" x14ac:dyDescent="0.4">
      <c r="B11" s="178" t="str">
        <f>'3V_ScanResponse'!B11</f>
        <v>RX to TX transition</v>
      </c>
      <c r="C11" s="199">
        <f>'3V_ScanResponse'!C11</f>
        <v>286.88888888888891</v>
      </c>
      <c r="D11" s="197">
        <f>('3V_ScanResponse'!D11)*3/3.6</f>
        <v>2.9022037037037038</v>
      </c>
      <c r="E11" s="182">
        <f t="shared" si="0"/>
        <v>832.60999588477375</v>
      </c>
      <c r="G11" s="189"/>
    </row>
    <row r="12" spans="2:7" x14ac:dyDescent="0.4">
      <c r="B12" s="178" t="str">
        <f>'3V_ScanResponse'!B12</f>
        <v>Transmit (TX)</v>
      </c>
      <c r="C12" s="199">
        <f>'3V_ScanResponse'!C12</f>
        <v>176.4975</v>
      </c>
      <c r="D12" s="197">
        <f>('3V_ScanResponse'!D12)*3/3.6</f>
        <v>6.2289144444444435</v>
      </c>
      <c r="E12" s="182">
        <f t="shared" si="0"/>
        <v>1099.3878271583333</v>
      </c>
      <c r="G12" s="189"/>
    </row>
    <row r="13" spans="2:7" x14ac:dyDescent="0.4">
      <c r="B13" s="178" t="str">
        <f>'3V_ScanResponse'!B13</f>
        <v>TX to RX transition</v>
      </c>
      <c r="C13" s="199">
        <f>'3V_ScanResponse'!C13</f>
        <v>130.77777777777777</v>
      </c>
      <c r="D13" s="197">
        <f>('3V_ScanResponse'!D13)*3/3.6</f>
        <v>3.9182962962962966</v>
      </c>
      <c r="E13" s="182">
        <f t="shared" si="0"/>
        <v>512.42608230452674</v>
      </c>
      <c r="G13" s="189"/>
    </row>
    <row r="14" spans="2:7" x14ac:dyDescent="0.4">
      <c r="B14" s="178" t="str">
        <f>'3V_ScanResponse'!B14</f>
        <v>Recieve (RX)</v>
      </c>
      <c r="C14" s="199">
        <f>'3V_ScanResponse'!C14</f>
        <v>108.11111111111111</v>
      </c>
      <c r="D14" s="197">
        <f>('3V_ScanResponse'!D14)*3/3.6</f>
        <v>5.5372499999999993</v>
      </c>
      <c r="E14" s="182">
        <f t="shared" si="0"/>
        <v>598.63824999999997</v>
      </c>
      <c r="G14" s="189"/>
    </row>
    <row r="15" spans="2:7" x14ac:dyDescent="0.4">
      <c r="B15" s="178" t="str">
        <f>'3V_ScanResponse'!B15</f>
        <v>RX to TX transition</v>
      </c>
      <c r="C15" s="199">
        <f>'3V_ScanResponse'!C15</f>
        <v>286.88888888888891</v>
      </c>
      <c r="D15" s="197">
        <f>('3V_ScanResponse'!D15)*3/3.6</f>
        <v>2.9321944444444439</v>
      </c>
      <c r="E15" s="182">
        <f t="shared" si="0"/>
        <v>841.21400617283939</v>
      </c>
      <c r="G15" s="189"/>
    </row>
    <row r="16" spans="2:7" x14ac:dyDescent="0.4">
      <c r="B16" s="178" t="str">
        <f>'3V_ScanResponse'!B16</f>
        <v>Scan Response - Transmit (TX)</v>
      </c>
      <c r="C16" s="199">
        <f>'3V_ScanResponse'!C16</f>
        <v>350.50620000000004</v>
      </c>
      <c r="D16" s="197">
        <f>('3V_ScanResponse'!D16)*3/3.6</f>
        <v>6.5730833333333329</v>
      </c>
      <c r="E16" s="182">
        <f t="shared" si="0"/>
        <v>2303.9064614500003</v>
      </c>
      <c r="G16" s="189"/>
    </row>
    <row r="17" spans="2:8" ht="24.6" x14ac:dyDescent="0.4">
      <c r="B17" s="178" t="str">
        <f>'3V_ScanResponse'!B17</f>
        <v>Scan Response - TX to TX transition</v>
      </c>
      <c r="C17" s="199">
        <f>'3V_ScanResponse'!C17</f>
        <v>299</v>
      </c>
      <c r="D17" s="197">
        <f>('3V_ScanResponse'!D17)*3/3.6</f>
        <v>2.8971111111111112</v>
      </c>
      <c r="E17" s="182">
        <f t="shared" si="0"/>
        <v>866.2362222222223</v>
      </c>
      <c r="G17" s="189"/>
    </row>
    <row r="18" spans="2:8" x14ac:dyDescent="0.4">
      <c r="B18" s="178" t="str">
        <f>'3V_ScanResponse'!B18</f>
        <v>Transmit (TX)</v>
      </c>
      <c r="C18" s="199">
        <f>'3V_ScanResponse'!C18</f>
        <v>176.4975</v>
      </c>
      <c r="D18" s="197">
        <f>('3V_ScanResponse'!D18)*3/3.6</f>
        <v>6.2289144444444435</v>
      </c>
      <c r="E18" s="182">
        <f t="shared" si="0"/>
        <v>1099.3878271583333</v>
      </c>
      <c r="G18" s="189"/>
    </row>
    <row r="19" spans="2:8" x14ac:dyDescent="0.4">
      <c r="B19" s="178" t="str">
        <f>'3V_ScanResponse'!B19</f>
        <v>TX to RX transition</v>
      </c>
      <c r="C19" s="199">
        <f>'3V_ScanResponse'!C19</f>
        <v>131.22222222222223</v>
      </c>
      <c r="D19" s="197">
        <f>('3V_ScanResponse'!D19)*3/3.6</f>
        <v>3.9304814814814804</v>
      </c>
      <c r="E19" s="182">
        <f t="shared" si="0"/>
        <v>515.76651440329204</v>
      </c>
      <c r="G19" s="189"/>
    </row>
    <row r="20" spans="2:8" x14ac:dyDescent="0.4">
      <c r="B20" s="178" t="str">
        <f>'3V_ScanResponse'!B20</f>
        <v>Recieve (RX)</v>
      </c>
      <c r="C20" s="199">
        <f>'3V_ScanResponse'!C20</f>
        <v>107.55555555555556</v>
      </c>
      <c r="D20" s="197">
        <f>('3V_ScanResponse'!D20)*3/3.6</f>
        <v>5.5696018518518526</v>
      </c>
      <c r="E20" s="182">
        <f>C20*D20</f>
        <v>599.04162139917707</v>
      </c>
      <c r="G20" s="189"/>
      <c r="H20" s="189"/>
    </row>
    <row r="21" spans="2:8" x14ac:dyDescent="0.4">
      <c r="B21" s="178" t="str">
        <f>'3V_ScanResponse'!B21</f>
        <v>Post-Processing</v>
      </c>
      <c r="C21" s="199">
        <f>'3V_ScanResponse'!C21</f>
        <v>846.44444444444446</v>
      </c>
      <c r="D21" s="197">
        <f>('3V_ScanResponse'!D21)*3/3.6</f>
        <v>2.1486018518518519</v>
      </c>
      <c r="E21" s="182">
        <f>C21*D21</f>
        <v>1818.6721008230454</v>
      </c>
      <c r="G21" s="189"/>
      <c r="H21" s="189"/>
    </row>
    <row r="22" spans="2:8" x14ac:dyDescent="0.4">
      <c r="B22" s="178">
        <f>'3V_ScanResponse'!B22</f>
        <v>0</v>
      </c>
      <c r="C22" s="199">
        <f>'3V_ScanResponse'!C22</f>
        <v>0</v>
      </c>
      <c r="D22" s="197">
        <f>('3V_ScanResponse'!D22)*3/3.6</f>
        <v>0</v>
      </c>
      <c r="E22" s="182">
        <f>C22*D22</f>
        <v>0</v>
      </c>
      <c r="G22" s="189"/>
      <c r="H22" s="189"/>
    </row>
    <row r="23" spans="2:8" x14ac:dyDescent="0.4">
      <c r="B23" s="191" t="str">
        <f>'3V_ScanResponse'!B23</f>
        <v>Total time of advertising event [us]</v>
      </c>
      <c r="C23" s="198">
        <f>SUM(C6:C20)</f>
        <v>4089.3320333333331</v>
      </c>
      <c r="D23" s="167"/>
      <c r="E23" s="165"/>
    </row>
    <row r="24" spans="2:8" x14ac:dyDescent="0.4">
      <c r="B24" s="171" t="str">
        <f>'3V_ScanResponse'!B24</f>
        <v>Total time * current [us*mA]</v>
      </c>
      <c r="C24" s="184"/>
      <c r="D24" s="168"/>
      <c r="E24" s="185">
        <f>SUM(E6:E20)</f>
        <v>15914.967371978497</v>
      </c>
    </row>
    <row r="25" spans="2:8" ht="24.6" x14ac:dyDescent="0.4">
      <c r="B25" s="173" t="str">
        <f>'3V_ScanResponse'!B25</f>
        <v>Average Current draw during advertising event [uA]</v>
      </c>
      <c r="C25" s="188"/>
      <c r="D25" s="169"/>
      <c r="E25" s="183">
        <f>1000*IF(E24=0,0,E24/C23)</f>
        <v>3891.8256679210626</v>
      </c>
    </row>
    <row r="26" spans="2:8" x14ac:dyDescent="0.4">
      <c r="B26" s="166"/>
      <c r="C26" s="164"/>
      <c r="D26" s="164"/>
      <c r="E26" s="164"/>
    </row>
    <row r="27" spans="2:8" ht="24.6" x14ac:dyDescent="0.4">
      <c r="B27" s="172" t="s">
        <v>54</v>
      </c>
      <c r="C27" s="190">
        <f>((E25*C23)+((('BLE - Peripheral'!D7*1000)-C23)*'Input arguments'!L4))/('BLE - Peripheral'!D7*1000)</f>
        <v>160.39651240335164</v>
      </c>
      <c r="D27" s="195" t="s">
        <v>38</v>
      </c>
    </row>
    <row r="28" spans="2:8" ht="15" x14ac:dyDescent="0.4">
      <c r="B28" s="172" t="s">
        <v>33</v>
      </c>
      <c r="C28" s="194">
        <f>'BLE - Peripheral'!D4/(C27/1000)</f>
        <v>1402.7736428220394</v>
      </c>
      <c r="D28" s="196" t="s">
        <v>18</v>
      </c>
    </row>
    <row r="29" spans="2:8" ht="15" x14ac:dyDescent="0.4">
      <c r="B29" s="193" t="s">
        <v>33</v>
      </c>
      <c r="C29" s="192">
        <f>C28/24</f>
        <v>58.448901784251639</v>
      </c>
      <c r="D29" s="195" t="s">
        <v>21</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H38"/>
  <sheetViews>
    <sheetView workbookViewId="0">
      <selection activeCell="D16" sqref="D16"/>
    </sheetView>
  </sheetViews>
  <sheetFormatPr defaultColWidth="8.83203125" defaultRowHeight="12.3" x14ac:dyDescent="0.4"/>
  <cols>
    <col min="2" max="2" width="32.71875" customWidth="1"/>
    <col min="3" max="3" width="22.71875" bestFit="1" customWidth="1"/>
    <col min="4" max="4" width="28.44140625" bestFit="1" customWidth="1"/>
    <col min="5" max="5" width="11.71875" customWidth="1"/>
  </cols>
  <sheetData>
    <row r="4" spans="2:8" x14ac:dyDescent="0.4">
      <c r="G4" s="2"/>
      <c r="H4" s="2"/>
    </row>
    <row r="5" spans="2:8" ht="24.6" x14ac:dyDescent="0.4">
      <c r="B5" s="35" t="s">
        <v>3</v>
      </c>
      <c r="C5" s="36" t="s">
        <v>24</v>
      </c>
      <c r="D5" s="37" t="s">
        <v>25</v>
      </c>
      <c r="E5" s="85" t="s">
        <v>36</v>
      </c>
      <c r="G5" s="84"/>
      <c r="H5" s="84"/>
    </row>
    <row r="6" spans="2:8" ht="15" customHeight="1" x14ac:dyDescent="0.4">
      <c r="B6" s="55" t="str">
        <f>'3V_LegacyAdvertisement'!$B$6</f>
        <v>Wake Up &amp; Pre-Processing</v>
      </c>
      <c r="C6" s="62">
        <f>'3V_LegacyAdvertisement'!$C$6</f>
        <v>1294.6666666666667</v>
      </c>
      <c r="D6" s="104">
        <f>'3V_LegacyAdvertisement'!$D$6</f>
        <v>3.17794</v>
      </c>
      <c r="E6" s="62">
        <f t="shared" ref="E6:E17" si="0">C6*D6</f>
        <v>4114.3729866666672</v>
      </c>
      <c r="G6" s="84"/>
      <c r="H6" s="84"/>
    </row>
    <row r="7" spans="2:8" x14ac:dyDescent="0.4">
      <c r="B7" s="55" t="str">
        <f>'3V_LegacyAdvertisement'!$B$7</f>
        <v>Radio Preparation</v>
      </c>
      <c r="C7" s="62">
        <f>'3V_LegacyAdvertisement'!$C$7</f>
        <v>329.11111111111109</v>
      </c>
      <c r="D7" s="104">
        <f>'3V_LegacyAdvertisement'!$D$7</f>
        <v>3.7641813333333332</v>
      </c>
      <c r="E7" s="62">
        <f t="shared" si="0"/>
        <v>1238.8339010370369</v>
      </c>
      <c r="G7" s="84"/>
      <c r="H7" s="84"/>
    </row>
    <row r="8" spans="2:8" x14ac:dyDescent="0.4">
      <c r="B8" s="55" t="str">
        <f>'3V_LegacyAdvertisement'!$B$8</f>
        <v>Transmit (TX)</v>
      </c>
      <c r="C8" s="62">
        <f>'3V_LegacyAdvertisement'!$C$8</f>
        <v>176.4975</v>
      </c>
      <c r="D8" s="104">
        <f>'3V_LegacyAdvertisement'!$D$8</f>
        <v>7.4746973333333324</v>
      </c>
      <c r="E8" s="62">
        <f t="shared" si="0"/>
        <v>1319.2653925899999</v>
      </c>
      <c r="G8" s="84"/>
      <c r="H8" s="84"/>
    </row>
    <row r="9" spans="2:8" x14ac:dyDescent="0.4">
      <c r="B9" s="55" t="str">
        <f>'3V_LegacyAdvertisement'!$B$9</f>
        <v>TX to RX transition</v>
      </c>
      <c r="C9" s="62">
        <f>'3V_LegacyAdvertisement'!$C$9</f>
        <v>131</v>
      </c>
      <c r="D9" s="104">
        <f>'3V_LegacyAdvertisement'!$D$9</f>
        <v>4.6730444444444457</v>
      </c>
      <c r="E9" s="62">
        <f t="shared" si="0"/>
        <v>612.16882222222239</v>
      </c>
      <c r="G9" s="84"/>
      <c r="H9" s="84"/>
    </row>
    <row r="10" spans="2:8" x14ac:dyDescent="0.4">
      <c r="B10" s="55" t="str">
        <f>'3V_LegacyAdvertisement'!$B$10</f>
        <v>Recieve (RX)</v>
      </c>
      <c r="C10" s="62">
        <f>'3V_LegacyAdvertisement'!$C$10</f>
        <v>104.11111111111111</v>
      </c>
      <c r="D10" s="104">
        <f>'3V_LegacyAdvertisement'!$D$10</f>
        <v>6.636966666666666</v>
      </c>
      <c r="E10" s="62">
        <f t="shared" si="0"/>
        <v>690.98197407407406</v>
      </c>
      <c r="G10" s="84"/>
      <c r="H10" s="84"/>
    </row>
    <row r="11" spans="2:8" x14ac:dyDescent="0.4">
      <c r="B11" s="55" t="str">
        <f>'3V_LegacyAdvertisement'!$B$11</f>
        <v>RX to TX transition</v>
      </c>
      <c r="C11" s="62">
        <f>'3V_LegacyAdvertisement'!$C$11</f>
        <v>286.88888888888891</v>
      </c>
      <c r="D11" s="104">
        <f>'3V_LegacyAdvertisement'!$D$11</f>
        <v>3.4826444444444444</v>
      </c>
      <c r="E11" s="62">
        <f t="shared" si="0"/>
        <v>999.1319950617285</v>
      </c>
      <c r="G11" s="84"/>
      <c r="H11" s="84"/>
    </row>
    <row r="12" spans="2:8" x14ac:dyDescent="0.4">
      <c r="B12" s="55" t="str">
        <f>'3V_LegacyAdvertisement'!$B$12</f>
        <v>Transmit (TX)</v>
      </c>
      <c r="C12" s="62">
        <f>'3V_LegacyAdvertisement'!$C$12</f>
        <v>176.4975</v>
      </c>
      <c r="D12" s="104">
        <f>'3V_LegacyAdvertisement'!$D$12</f>
        <v>7.4746973333333324</v>
      </c>
      <c r="E12" s="62">
        <f t="shared" si="0"/>
        <v>1319.2653925899999</v>
      </c>
      <c r="G12" s="84"/>
      <c r="H12" s="84"/>
    </row>
    <row r="13" spans="2:8" x14ac:dyDescent="0.4">
      <c r="B13" s="55" t="str">
        <f>'3V_LegacyAdvertisement'!$B$13</f>
        <v>TX to RX transition</v>
      </c>
      <c r="C13" s="62">
        <f>'3V_LegacyAdvertisement'!$C$13</f>
        <v>130.77777777777777</v>
      </c>
      <c r="D13" s="104">
        <f>'3V_LegacyAdvertisement'!$D$13</f>
        <v>4.7019555555555561</v>
      </c>
      <c r="E13" s="62">
        <f t="shared" si="0"/>
        <v>614.91129876543209</v>
      </c>
      <c r="G13" s="84"/>
      <c r="H13" s="84"/>
    </row>
    <row r="14" spans="2:8" x14ac:dyDescent="0.4">
      <c r="B14" s="55" t="str">
        <f>'3V_LegacyAdvertisement'!$B$14</f>
        <v>Recieve (RX)</v>
      </c>
      <c r="C14" s="62">
        <f>'3V_LegacyAdvertisement'!$C$14</f>
        <v>108.11111111111111</v>
      </c>
      <c r="D14" s="104">
        <f>'3V_LegacyAdvertisement'!$D$14</f>
        <v>6.6446999999999994</v>
      </c>
      <c r="E14" s="62">
        <f t="shared" si="0"/>
        <v>718.36590000000001</v>
      </c>
      <c r="G14" s="84"/>
      <c r="H14" s="84"/>
    </row>
    <row r="15" spans="2:8" x14ac:dyDescent="0.4">
      <c r="B15" s="55" t="str">
        <f>'3V_LegacyAdvertisement'!$B$15</f>
        <v>RX to TX transition</v>
      </c>
      <c r="C15" s="62">
        <f>'3V_LegacyAdvertisement'!$C$15</f>
        <v>286.88888888888891</v>
      </c>
      <c r="D15" s="104">
        <f>'3V_LegacyAdvertisement'!$D$15</f>
        <v>3.5186333333333328</v>
      </c>
      <c r="E15" s="62">
        <f t="shared" si="0"/>
        <v>1009.4568074074074</v>
      </c>
      <c r="G15" s="84"/>
      <c r="H15" s="84"/>
    </row>
    <row r="16" spans="2:8" x14ac:dyDescent="0.4">
      <c r="B16" s="55" t="s">
        <v>169</v>
      </c>
      <c r="C16" s="62">
        <f>'BLE - Peripheral'!$D$12*7.5006+147.99</f>
        <v>350.50620000000004</v>
      </c>
      <c r="D16" s="104">
        <f>VLOOKUP('BLE - Peripheral'!$D$6,B33:D38,2)</f>
        <v>7.8876999999999997</v>
      </c>
      <c r="E16" s="62">
        <f t="shared" si="0"/>
        <v>2764.6877537400001</v>
      </c>
      <c r="G16" s="84"/>
      <c r="H16" s="84"/>
    </row>
    <row r="17" spans="2:8" x14ac:dyDescent="0.4">
      <c r="B17" s="55" t="s">
        <v>170</v>
      </c>
      <c r="C17" s="62">
        <v>299</v>
      </c>
      <c r="D17" s="104">
        <f>VLOOKUP('BLE - Peripheral'!$D$6,B33:D38,3)</f>
        <v>3.4765333333333337</v>
      </c>
      <c r="E17" s="62">
        <f t="shared" si="0"/>
        <v>1039.4834666666668</v>
      </c>
      <c r="G17" s="84"/>
      <c r="H17" s="84"/>
    </row>
    <row r="18" spans="2:8" x14ac:dyDescent="0.4">
      <c r="B18" s="55" t="str">
        <f>'3V_LegacyAdvertisement'!$B$16</f>
        <v>Transmit (TX)</v>
      </c>
      <c r="C18" s="62">
        <f>'3V_LegacyAdvertisement'!$C$16</f>
        <v>176.4975</v>
      </c>
      <c r="D18" s="104">
        <f>'3V_LegacyAdvertisement'!$D$16</f>
        <v>7.4746973333333324</v>
      </c>
      <c r="E18" s="62">
        <f>C18*D18</f>
        <v>1319.2653925899999</v>
      </c>
      <c r="G18" s="84"/>
      <c r="H18" s="84"/>
    </row>
    <row r="19" spans="2:8" x14ac:dyDescent="0.4">
      <c r="B19" s="55" t="str">
        <f>'3V_LegacyAdvertisement'!$B$17</f>
        <v>TX to RX transition</v>
      </c>
      <c r="C19" s="62">
        <f>'3V_LegacyAdvertisement'!$C$17</f>
        <v>131.22222222222223</v>
      </c>
      <c r="D19" s="104">
        <f>'3V_LegacyAdvertisement'!$D$17</f>
        <v>4.7165777777777764</v>
      </c>
      <c r="E19" s="62">
        <f>C19*D19</f>
        <v>618.91981728395047</v>
      </c>
      <c r="G19" s="84"/>
      <c r="H19" s="84"/>
    </row>
    <row r="20" spans="2:8" x14ac:dyDescent="0.4">
      <c r="B20" s="55" t="str">
        <f>'3V_LegacyAdvertisement'!$B$18</f>
        <v>Recieve (RX)</v>
      </c>
      <c r="C20" s="62">
        <f>'3V_LegacyAdvertisement'!$C$18</f>
        <v>107.55555555555556</v>
      </c>
      <c r="D20" s="104">
        <f>'3V_LegacyAdvertisement'!$D$18</f>
        <v>6.6835222222222228</v>
      </c>
      <c r="E20" s="62">
        <f>C20*D20</f>
        <v>718.84994567901242</v>
      </c>
      <c r="G20" s="84"/>
      <c r="H20" s="84"/>
    </row>
    <row r="21" spans="2:8" x14ac:dyDescent="0.4">
      <c r="B21" s="55" t="str">
        <f>'3V_LegacyAdvertisement'!$B$19</f>
        <v>Post-Processing</v>
      </c>
      <c r="C21" s="62">
        <f>'3V_LegacyAdvertisement'!$C$19</f>
        <v>846.44444444444446</v>
      </c>
      <c r="D21" s="104">
        <f>'3V_LegacyAdvertisement'!$D$19</f>
        <v>2.5783222222222224</v>
      </c>
      <c r="E21" s="62">
        <f>C21*D21</f>
        <v>2182.4065209876544</v>
      </c>
      <c r="G21" s="84"/>
      <c r="H21" s="84"/>
    </row>
    <row r="22" spans="2:8" x14ac:dyDescent="0.4">
      <c r="B22" s="55"/>
      <c r="C22" s="125"/>
      <c r="D22" s="129"/>
      <c r="E22" s="124"/>
      <c r="G22" s="84"/>
      <c r="H22" s="84"/>
    </row>
    <row r="23" spans="2:8" x14ac:dyDescent="0.4">
      <c r="B23" s="87" t="s">
        <v>56</v>
      </c>
      <c r="C23" s="120">
        <f>SUM(C6:C21)</f>
        <v>4935.7764777777775</v>
      </c>
      <c r="D23" s="6"/>
      <c r="E23" s="3"/>
    </row>
    <row r="24" spans="2:8" x14ac:dyDescent="0.4">
      <c r="B24" s="17" t="s">
        <v>43</v>
      </c>
      <c r="C24" s="64"/>
      <c r="D24" s="7"/>
      <c r="E24" s="66">
        <f>SUM(E6:E21)</f>
        <v>21280.36736736185</v>
      </c>
    </row>
    <row r="25" spans="2:8" ht="24.6" x14ac:dyDescent="0.4">
      <c r="B25" s="32" t="s">
        <v>37</v>
      </c>
      <c r="C25" s="83"/>
      <c r="D25" s="9"/>
      <c r="E25" s="63">
        <f>1000*IF(E24=0,0,E24/C23)</f>
        <v>4311.4528105500558</v>
      </c>
    </row>
    <row r="26" spans="2:8" x14ac:dyDescent="0.4">
      <c r="B26" s="5"/>
      <c r="C26" s="2"/>
      <c r="D26" s="2"/>
      <c r="E26" s="2"/>
    </row>
    <row r="27" spans="2:8" ht="15" x14ac:dyDescent="0.4">
      <c r="B27" s="18" t="s">
        <v>54</v>
      </c>
      <c r="C27" s="86">
        <f>((E25*C23)+((('BLE - Peripheral'!D7*1000)-C23)*'Input arguments'!L4))/('BLE - Peripheral'!D7*1000)</f>
        <v>214.03950857940745</v>
      </c>
      <c r="D27" s="102" t="s">
        <v>38</v>
      </c>
    </row>
    <row r="28" spans="2:8" ht="15" x14ac:dyDescent="0.4">
      <c r="B28" s="18" t="s">
        <v>33</v>
      </c>
      <c r="C28" s="101">
        <f>'BLE - Peripheral'!D4/(C27/1000)</f>
        <v>1051.2077956697713</v>
      </c>
      <c r="D28" s="103" t="s">
        <v>18</v>
      </c>
    </row>
    <row r="29" spans="2:8" ht="15" x14ac:dyDescent="0.4">
      <c r="B29" s="99" t="s">
        <v>33</v>
      </c>
      <c r="C29" s="93">
        <f>C28/24</f>
        <v>43.800324819573802</v>
      </c>
      <c r="D29" s="102" t="s">
        <v>21</v>
      </c>
    </row>
    <row r="32" spans="2:8" ht="14.4" x14ac:dyDescent="0.55000000000000004">
      <c r="B32" s="109" t="s">
        <v>61</v>
      </c>
      <c r="C32" s="1" t="s">
        <v>171</v>
      </c>
      <c r="D32" s="1" t="s">
        <v>172</v>
      </c>
    </row>
    <row r="33" spans="2:4" ht="14.4" x14ac:dyDescent="0.55000000000000004">
      <c r="B33" s="109">
        <v>-21</v>
      </c>
      <c r="C33">
        <v>5.3927000000000005</v>
      </c>
      <c r="D33">
        <v>3.5266000000000002</v>
      </c>
    </row>
    <row r="34" spans="2:4" ht="14.4" x14ac:dyDescent="0.55000000000000004">
      <c r="B34" s="109">
        <v>-15</v>
      </c>
      <c r="C34">
        <v>5.6945000000000006</v>
      </c>
      <c r="D34">
        <v>3.5354666666666668</v>
      </c>
    </row>
    <row r="35" spans="2:4" ht="14.4" x14ac:dyDescent="0.55000000000000004">
      <c r="B35" s="109">
        <v>-9</v>
      </c>
      <c r="C35">
        <v>6.1474666666666664</v>
      </c>
      <c r="D35">
        <v>3.5524333333333331</v>
      </c>
    </row>
    <row r="36" spans="2:4" ht="14.4" x14ac:dyDescent="0.55000000000000004">
      <c r="B36" s="109">
        <v>0</v>
      </c>
      <c r="C36" s="109">
        <v>7.8876999999999997</v>
      </c>
      <c r="D36">
        <v>3.4765333333333337</v>
      </c>
    </row>
    <row r="37" spans="2:4" ht="14.4" x14ac:dyDescent="0.55000000000000004">
      <c r="B37" s="109">
        <v>3</v>
      </c>
      <c r="C37" s="109">
        <v>8.9844000000000008</v>
      </c>
      <c r="D37">
        <v>3.7605666666666671</v>
      </c>
    </row>
    <row r="38" spans="2:4" ht="14.4" x14ac:dyDescent="0.55000000000000004">
      <c r="B38" s="109">
        <v>5</v>
      </c>
      <c r="C38" s="109">
        <v>10.4315</v>
      </c>
      <c r="D38">
        <v>3.8930666666666665</v>
      </c>
    </row>
  </sheetData>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H29"/>
  <sheetViews>
    <sheetView workbookViewId="0">
      <selection activeCell="D19" sqref="D19"/>
    </sheetView>
  </sheetViews>
  <sheetFormatPr defaultColWidth="8.83203125" defaultRowHeight="12.3" x14ac:dyDescent="0.4"/>
  <cols>
    <col min="1" max="1" width="8.83203125" style="163"/>
    <col min="2" max="2" width="28.5546875" style="163" customWidth="1"/>
    <col min="3" max="16384" width="8.83203125" style="163"/>
  </cols>
  <sheetData>
    <row r="4" spans="2:7" x14ac:dyDescent="0.4">
      <c r="G4" s="189"/>
    </row>
    <row r="5" spans="2:7" ht="24.6" x14ac:dyDescent="0.4">
      <c r="B5" s="174" t="s">
        <v>3</v>
      </c>
      <c r="C5" s="200" t="s">
        <v>24</v>
      </c>
      <c r="D5" s="175" t="s">
        <v>25</v>
      </c>
      <c r="E5" s="170" t="s">
        <v>36</v>
      </c>
      <c r="G5" s="189"/>
    </row>
    <row r="6" spans="2:7" ht="14.25" customHeight="1" x14ac:dyDescent="0.4">
      <c r="B6" s="178" t="str">
        <f>'3V_ScanResponse'!B6</f>
        <v>Wake Up &amp; Pre-Processing</v>
      </c>
      <c r="C6" s="199">
        <f>'3V_ScanResponse'!C6</f>
        <v>1294.6666666666667</v>
      </c>
      <c r="D6" s="197">
        <f>('3V_ScanResponse'!D6)*3/1.8</f>
        <v>5.2965666666666671</v>
      </c>
      <c r="E6" s="182">
        <f t="shared" ref="E6:E22" si="0">C6*D6</f>
        <v>6857.2883111111123</v>
      </c>
      <c r="G6" s="189"/>
    </row>
    <row r="7" spans="2:7" x14ac:dyDescent="0.4">
      <c r="B7" s="178" t="str">
        <f>'3V_ScanResponse'!B7</f>
        <v>Radio Preparation</v>
      </c>
      <c r="C7" s="199">
        <f>'3V_ScanResponse'!C7</f>
        <v>329.11111111111109</v>
      </c>
      <c r="D7" s="197">
        <f>('3V_ScanResponse'!D7)*3/1.8</f>
        <v>6.273635555555555</v>
      </c>
      <c r="E7" s="182">
        <f t="shared" si="0"/>
        <v>2064.7231683950613</v>
      </c>
      <c r="G7" s="189"/>
    </row>
    <row r="8" spans="2:7" x14ac:dyDescent="0.4">
      <c r="B8" s="178" t="str">
        <f>'3V_ScanResponse'!B8</f>
        <v>Transmit (TX)</v>
      </c>
      <c r="C8" s="199">
        <f>'3V_ScanResponse'!C8</f>
        <v>176.4975</v>
      </c>
      <c r="D8" s="197">
        <f>('3V_ScanResponse'!D8)*3/1.8</f>
        <v>12.457828888888887</v>
      </c>
      <c r="E8" s="182">
        <f t="shared" si="0"/>
        <v>2198.7756543166665</v>
      </c>
      <c r="G8" s="189"/>
    </row>
    <row r="9" spans="2:7" x14ac:dyDescent="0.4">
      <c r="B9" s="178" t="str">
        <f>'3V_ScanResponse'!B9</f>
        <v>TX to RX transition</v>
      </c>
      <c r="C9" s="199">
        <f>'3V_ScanResponse'!C9</f>
        <v>131</v>
      </c>
      <c r="D9" s="197">
        <f>('3V_ScanResponse'!D9)*3/1.8</f>
        <v>7.7884074074074086</v>
      </c>
      <c r="E9" s="182">
        <f t="shared" si="0"/>
        <v>1020.2813703703705</v>
      </c>
      <c r="G9" s="189"/>
    </row>
    <row r="10" spans="2:7" x14ac:dyDescent="0.4">
      <c r="B10" s="178" t="str">
        <f>'3V_ScanResponse'!B10</f>
        <v>Recieve (RX)</v>
      </c>
      <c r="C10" s="199">
        <f>'3V_ScanResponse'!C10</f>
        <v>104.11111111111111</v>
      </c>
      <c r="D10" s="197">
        <f>('3V_ScanResponse'!D10)*3/1.8</f>
        <v>11.061611111111111</v>
      </c>
      <c r="E10" s="182">
        <f t="shared" si="0"/>
        <v>1151.6366234567902</v>
      </c>
      <c r="G10" s="189"/>
    </row>
    <row r="11" spans="2:7" x14ac:dyDescent="0.4">
      <c r="B11" s="178" t="str">
        <f>'3V_ScanResponse'!B11</f>
        <v>RX to TX transition</v>
      </c>
      <c r="C11" s="199">
        <f>'3V_ScanResponse'!C11</f>
        <v>286.88888888888891</v>
      </c>
      <c r="D11" s="197">
        <f>('3V_ScanResponse'!D11)*3/1.8</f>
        <v>5.8044074074074077</v>
      </c>
      <c r="E11" s="182">
        <f t="shared" si="0"/>
        <v>1665.2199917695475</v>
      </c>
      <c r="G11" s="189"/>
    </row>
    <row r="12" spans="2:7" x14ac:dyDescent="0.4">
      <c r="B12" s="178" t="str">
        <f>'3V_ScanResponse'!B12</f>
        <v>Transmit (TX)</v>
      </c>
      <c r="C12" s="199">
        <f>'3V_ScanResponse'!C12</f>
        <v>176.4975</v>
      </c>
      <c r="D12" s="197">
        <f>('3V_ScanResponse'!D12)*3/1.8</f>
        <v>12.457828888888887</v>
      </c>
      <c r="E12" s="182">
        <f t="shared" si="0"/>
        <v>2198.7756543166665</v>
      </c>
      <c r="G12" s="189"/>
    </row>
    <row r="13" spans="2:7" x14ac:dyDescent="0.4">
      <c r="B13" s="178" t="str">
        <f>'3V_ScanResponse'!B13</f>
        <v>TX to RX transition</v>
      </c>
      <c r="C13" s="199">
        <f>'3V_ScanResponse'!C13</f>
        <v>130.77777777777777</v>
      </c>
      <c r="D13" s="197">
        <f>('3V_ScanResponse'!D13)*3/1.8</f>
        <v>7.8365925925925932</v>
      </c>
      <c r="E13" s="182">
        <f t="shared" si="0"/>
        <v>1024.8521646090535</v>
      </c>
      <c r="G13" s="189"/>
    </row>
    <row r="14" spans="2:7" x14ac:dyDescent="0.4">
      <c r="B14" s="178" t="str">
        <f>'3V_ScanResponse'!B14</f>
        <v>Recieve (RX)</v>
      </c>
      <c r="C14" s="199">
        <f>'3V_ScanResponse'!C14</f>
        <v>108.11111111111111</v>
      </c>
      <c r="D14" s="197">
        <f>('3V_ScanResponse'!D14)*3/1.8</f>
        <v>11.074499999999999</v>
      </c>
      <c r="E14" s="182">
        <f t="shared" si="0"/>
        <v>1197.2764999999999</v>
      </c>
      <c r="G14" s="189"/>
    </row>
    <row r="15" spans="2:7" x14ac:dyDescent="0.4">
      <c r="B15" s="178" t="str">
        <f>'3V_ScanResponse'!B15</f>
        <v>RX to TX transition</v>
      </c>
      <c r="C15" s="199">
        <f>'3V_ScanResponse'!C15</f>
        <v>286.88888888888891</v>
      </c>
      <c r="D15" s="197">
        <f>('3V_ScanResponse'!D15)*3/1.8</f>
        <v>5.8643888888888878</v>
      </c>
      <c r="E15" s="182">
        <f t="shared" si="0"/>
        <v>1682.4280123456788</v>
      </c>
      <c r="G15" s="189"/>
    </row>
    <row r="16" spans="2:7" x14ac:dyDescent="0.4">
      <c r="B16" s="178" t="str">
        <f>'3V_ScanResponse'!B16</f>
        <v>Scan Response - Transmit (TX)</v>
      </c>
      <c r="C16" s="199">
        <f>'3V_ScanResponse'!C16</f>
        <v>350.50620000000004</v>
      </c>
      <c r="D16" s="197">
        <f>('3V_ScanResponse'!D16)*3/1.8</f>
        <v>13.146166666666666</v>
      </c>
      <c r="E16" s="182">
        <f t="shared" si="0"/>
        <v>4607.8129229000006</v>
      </c>
      <c r="G16" s="189"/>
    </row>
    <row r="17" spans="2:8" ht="24.6" x14ac:dyDescent="0.4">
      <c r="B17" s="178" t="str">
        <f>'3V_ScanResponse'!B17</f>
        <v>Scan Response - TX to TX transition</v>
      </c>
      <c r="C17" s="199">
        <f>'3V_ScanResponse'!C17</f>
        <v>299</v>
      </c>
      <c r="D17" s="197">
        <f>('3V_ScanResponse'!D17)*3/1.8</f>
        <v>5.7942222222222224</v>
      </c>
      <c r="E17" s="182">
        <f t="shared" si="0"/>
        <v>1732.4724444444446</v>
      </c>
      <c r="G17" s="189"/>
    </row>
    <row r="18" spans="2:8" x14ac:dyDescent="0.4">
      <c r="B18" s="178" t="str">
        <f>'3V_ScanResponse'!B18</f>
        <v>Transmit (TX)</v>
      </c>
      <c r="C18" s="199">
        <f>'3V_ScanResponse'!C18</f>
        <v>176.4975</v>
      </c>
      <c r="D18" s="197">
        <f>('3V_ScanResponse'!D18)*3/1.8</f>
        <v>12.457828888888887</v>
      </c>
      <c r="E18" s="182">
        <f t="shared" si="0"/>
        <v>2198.7756543166665</v>
      </c>
      <c r="G18" s="189"/>
    </row>
    <row r="19" spans="2:8" x14ac:dyDescent="0.4">
      <c r="B19" s="178" t="str">
        <f>'3V_ScanResponse'!B19</f>
        <v>TX to RX transition</v>
      </c>
      <c r="C19" s="199">
        <f>'3V_ScanResponse'!C19</f>
        <v>131.22222222222223</v>
      </c>
      <c r="D19" s="197">
        <f>('3V_ScanResponse'!D19)*3/1.8</f>
        <v>7.8609629629629607</v>
      </c>
      <c r="E19" s="182">
        <f t="shared" si="0"/>
        <v>1031.5330288065841</v>
      </c>
      <c r="G19" s="189"/>
    </row>
    <row r="20" spans="2:8" x14ac:dyDescent="0.4">
      <c r="B20" s="178" t="str">
        <f>'3V_ScanResponse'!B20</f>
        <v>Recieve (RX)</v>
      </c>
      <c r="C20" s="199">
        <f>'3V_ScanResponse'!C20</f>
        <v>107.55555555555556</v>
      </c>
      <c r="D20" s="197">
        <f>('3V_ScanResponse'!D20)*3/1.8</f>
        <v>11.139203703703705</v>
      </c>
      <c r="E20" s="182">
        <f t="shared" si="0"/>
        <v>1198.0832427983541</v>
      </c>
      <c r="G20" s="189"/>
      <c r="H20" s="189"/>
    </row>
    <row r="21" spans="2:8" x14ac:dyDescent="0.4">
      <c r="B21" s="178" t="str">
        <f>'3V_ScanResponse'!B21</f>
        <v>Post-Processing</v>
      </c>
      <c r="C21" s="199">
        <f>'3V_ScanResponse'!C21</f>
        <v>846.44444444444446</v>
      </c>
      <c r="D21" s="197">
        <f>('3V_ScanResponse'!D21)*3/1.8</f>
        <v>4.2972037037037039</v>
      </c>
      <c r="E21" s="182">
        <f t="shared" si="0"/>
        <v>3637.3442016460908</v>
      </c>
      <c r="G21" s="189"/>
      <c r="H21" s="189"/>
    </row>
    <row r="22" spans="2:8" x14ac:dyDescent="0.4">
      <c r="B22" s="178">
        <f>'3V_ScanResponse'!B22</f>
        <v>0</v>
      </c>
      <c r="C22" s="199">
        <f>'3V_ScanResponse'!C22</f>
        <v>0</v>
      </c>
      <c r="D22" s="197">
        <f>('3V_ScanResponse'!D22)*3/1.8</f>
        <v>0</v>
      </c>
      <c r="E22" s="182">
        <f t="shared" si="0"/>
        <v>0</v>
      </c>
      <c r="G22" s="189"/>
      <c r="H22" s="189"/>
    </row>
    <row r="23" spans="2:8" x14ac:dyDescent="0.4">
      <c r="B23" s="191" t="str">
        <f>'3V_ScanResponse'!B23</f>
        <v>Total time of advertising event [us]</v>
      </c>
      <c r="C23" s="198">
        <f>SUM(C6:C20)</f>
        <v>4089.3320333333331</v>
      </c>
      <c r="D23" s="167"/>
      <c r="E23" s="165"/>
    </row>
    <row r="24" spans="2:8" x14ac:dyDescent="0.4">
      <c r="B24" s="171" t="str">
        <f>'3V_ScanResponse'!B24</f>
        <v>Total time * current [us*mA]</v>
      </c>
      <c r="C24" s="184"/>
      <c r="D24" s="168"/>
      <c r="E24" s="185">
        <f>SUM(E6:E20)</f>
        <v>31829.934743956994</v>
      </c>
    </row>
    <row r="25" spans="2:8" ht="24.6" x14ac:dyDescent="0.4">
      <c r="B25" s="173" t="str">
        <f>'3V_ScanResponse'!B25</f>
        <v>Average Current draw during advertising event [uA]</v>
      </c>
      <c r="C25" s="188"/>
      <c r="D25" s="169"/>
      <c r="E25" s="183">
        <f>1000*IF(E24=0,0,E24/C23)</f>
        <v>7783.6513358421253</v>
      </c>
    </row>
    <row r="26" spans="2:8" x14ac:dyDescent="0.4">
      <c r="B26" s="166"/>
      <c r="C26" s="164"/>
      <c r="D26" s="164"/>
      <c r="E26" s="164"/>
    </row>
    <row r="27" spans="2:8" ht="24.6" x14ac:dyDescent="0.4">
      <c r="B27" s="172" t="s">
        <v>54</v>
      </c>
      <c r="C27" s="190">
        <f>((E25*C23)+((('BLE - Peripheral'!D7*1000)-C23)*'Input arguments'!L4))/('BLE - Peripheral'!D7*1000)</f>
        <v>319.54618612313664</v>
      </c>
      <c r="D27" s="195" t="s">
        <v>38</v>
      </c>
    </row>
    <row r="28" spans="2:8" ht="15" x14ac:dyDescent="0.4">
      <c r="B28" s="172" t="s">
        <v>33</v>
      </c>
      <c r="C28" s="194">
        <f>'BLE - Peripheral'!D4/(C27/1000)</f>
        <v>704.12356576616003</v>
      </c>
      <c r="D28" s="196" t="s">
        <v>18</v>
      </c>
    </row>
    <row r="29" spans="2:8" ht="15" x14ac:dyDescent="0.4">
      <c r="B29" s="193" t="s">
        <v>33</v>
      </c>
      <c r="C29" s="192">
        <f>C28/24</f>
        <v>29.338481906923334</v>
      </c>
      <c r="D29" s="195" t="s">
        <v>21</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Q18"/>
  <sheetViews>
    <sheetView showGridLines="0" showRowColHeaders="0" zoomScale="130" zoomScaleNormal="130" workbookViewId="0"/>
  </sheetViews>
  <sheetFormatPr defaultColWidth="8.83203125" defaultRowHeight="12.3" x14ac:dyDescent="0.4"/>
  <cols>
    <col min="1" max="1" width="4" style="163" customWidth="1"/>
    <col min="2" max="2" width="2" customWidth="1"/>
  </cols>
  <sheetData>
    <row r="2" spans="2:17" ht="15" x14ac:dyDescent="0.4">
      <c r="B2" s="20" t="s">
        <v>189</v>
      </c>
    </row>
    <row r="3" spans="2:17" s="163" customFormat="1" x14ac:dyDescent="0.4">
      <c r="C3" s="1"/>
    </row>
    <row r="4" spans="2:17" s="163" customFormat="1" x14ac:dyDescent="0.4">
      <c r="C4" s="1" t="s">
        <v>196</v>
      </c>
    </row>
    <row r="5" spans="2:17" s="163" customFormat="1" x14ac:dyDescent="0.4">
      <c r="C5" s="1" t="s">
        <v>179</v>
      </c>
    </row>
    <row r="6" spans="2:17" s="163" customFormat="1" x14ac:dyDescent="0.4"/>
    <row r="7" spans="2:17" x14ac:dyDescent="0.4">
      <c r="C7" t="s">
        <v>77</v>
      </c>
    </row>
    <row r="9" spans="2:17" x14ac:dyDescent="0.4">
      <c r="C9" s="1" t="s">
        <v>195</v>
      </c>
    </row>
    <row r="11" spans="2:17" x14ac:dyDescent="0.4">
      <c r="C11" s="1" t="s">
        <v>197</v>
      </c>
    </row>
    <row r="13" spans="2:17" x14ac:dyDescent="0.4">
      <c r="C13" s="1" t="s">
        <v>194</v>
      </c>
    </row>
    <row r="16" spans="2:17" ht="81.75" customHeight="1" x14ac:dyDescent="0.4">
      <c r="C16" s="220" t="s">
        <v>78</v>
      </c>
      <c r="D16" s="221"/>
      <c r="E16" s="221"/>
      <c r="F16" s="221"/>
      <c r="G16" s="221"/>
      <c r="H16" s="221"/>
      <c r="I16" s="221"/>
      <c r="J16" s="221"/>
      <c r="K16" s="221"/>
      <c r="L16" s="221"/>
      <c r="M16" s="221"/>
      <c r="N16" s="221"/>
      <c r="O16" s="221"/>
      <c r="P16" s="221"/>
      <c r="Q16" s="221"/>
    </row>
    <row r="18" spans="3:17" ht="49.5" customHeight="1" x14ac:dyDescent="0.4">
      <c r="C18" s="222" t="s">
        <v>203</v>
      </c>
      <c r="D18" s="223"/>
      <c r="E18" s="223"/>
      <c r="F18" s="223"/>
      <c r="G18" s="223"/>
      <c r="H18" s="223"/>
      <c r="I18" s="223"/>
      <c r="J18" s="223"/>
      <c r="K18" s="223"/>
      <c r="L18" s="223"/>
      <c r="M18" s="223"/>
      <c r="N18" s="223"/>
      <c r="O18" s="223"/>
      <c r="P18" s="223"/>
      <c r="Q18" s="223"/>
    </row>
  </sheetData>
  <mergeCells count="2">
    <mergeCell ref="C16:Q16"/>
    <mergeCell ref="C18:Q18"/>
  </mergeCells>
  <pageMargins left="0.7" right="0.7" top="0.75" bottom="0.75" header="0.3" footer="0.3"/>
  <pageSetup orientation="portrait"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0"/>
  <sheetViews>
    <sheetView workbookViewId="0"/>
  </sheetViews>
  <sheetFormatPr defaultRowHeight="12.3" x14ac:dyDescent="0.4"/>
  <cols>
    <col min="1" max="1" width="19.71875" customWidth="1"/>
    <col min="2" max="2" width="24.83203125" customWidth="1"/>
    <col min="3" max="3" width="31.71875" customWidth="1"/>
    <col min="4" max="4" width="30.71875" customWidth="1"/>
    <col min="5" max="5" width="30.5546875" customWidth="1"/>
    <col min="6" max="6" width="17.27734375" customWidth="1"/>
  </cols>
  <sheetData>
    <row r="1" spans="1:6" x14ac:dyDescent="0.4">
      <c r="A1" t="s">
        <v>89</v>
      </c>
    </row>
    <row r="3" spans="1:6" x14ac:dyDescent="0.4">
      <c r="C3" s="224" t="s">
        <v>0</v>
      </c>
      <c r="D3" s="224"/>
      <c r="E3" s="224"/>
    </row>
    <row r="4" spans="1:6" x14ac:dyDescent="0.4">
      <c r="C4" s="116">
        <v>0</v>
      </c>
      <c r="D4" s="116">
        <f>'Input arguments'!$A$2</f>
        <v>3.6</v>
      </c>
      <c r="E4" s="116">
        <f>'Input arguments'!$A$3</f>
        <v>3</v>
      </c>
      <c r="F4" s="116">
        <f>'Input arguments'!$A$4</f>
        <v>1.8</v>
      </c>
    </row>
    <row r="5" spans="1:6" x14ac:dyDescent="0.4">
      <c r="A5" s="225" t="s">
        <v>88</v>
      </c>
      <c r="B5" t="str">
        <f>'Input arguments'!B2</f>
        <v>None</v>
      </c>
      <c r="C5" t="s">
        <v>90</v>
      </c>
      <c r="D5" t="s">
        <v>90</v>
      </c>
      <c r="E5" t="s">
        <v>90</v>
      </c>
      <c r="F5" t="s">
        <v>90</v>
      </c>
    </row>
    <row r="6" spans="1:6" x14ac:dyDescent="0.4">
      <c r="A6" s="225"/>
      <c r="B6" t="str">
        <f>'Input arguments'!B3</f>
        <v>Legacy Advertising</v>
      </c>
      <c r="C6" t="s">
        <v>90</v>
      </c>
      <c r="D6" t="s">
        <v>92</v>
      </c>
      <c r="E6" t="s">
        <v>91</v>
      </c>
      <c r="F6" t="s">
        <v>93</v>
      </c>
    </row>
    <row r="7" spans="1:6" x14ac:dyDescent="0.4">
      <c r="A7" s="225"/>
      <c r="B7" t="str">
        <f>'Input arguments'!B4</f>
        <v>Long Range (S2) Advertising</v>
      </c>
      <c r="C7" t="s">
        <v>90</v>
      </c>
      <c r="D7" t="s">
        <v>87</v>
      </c>
      <c r="E7" t="s">
        <v>97</v>
      </c>
      <c r="F7" t="s">
        <v>98</v>
      </c>
    </row>
    <row r="8" spans="1:6" x14ac:dyDescent="0.4">
      <c r="A8" s="225"/>
      <c r="B8" t="str">
        <f>'Input arguments'!B5</f>
        <v>Long Range (S8) Advertising</v>
      </c>
      <c r="C8" t="s">
        <v>90</v>
      </c>
      <c r="D8" t="s">
        <v>99</v>
      </c>
      <c r="E8" t="s">
        <v>100</v>
      </c>
      <c r="F8" t="s">
        <v>101</v>
      </c>
    </row>
    <row r="9" spans="1:6" x14ac:dyDescent="0.4">
      <c r="A9" s="225"/>
      <c r="B9" t="str">
        <f>'Input arguments'!B6</f>
        <v>Extended Advertisement 1M</v>
      </c>
      <c r="C9" t="s">
        <v>90</v>
      </c>
      <c r="D9" t="s">
        <v>128</v>
      </c>
      <c r="E9" t="s">
        <v>129</v>
      </c>
      <c r="F9" t="s">
        <v>131</v>
      </c>
    </row>
    <row r="10" spans="1:6" x14ac:dyDescent="0.4">
      <c r="A10" s="225"/>
      <c r="B10" t="str">
        <f>'Input arguments'!B7</f>
        <v>Extended Advertisement 2M</v>
      </c>
      <c r="C10" t="s">
        <v>90</v>
      </c>
      <c r="D10" t="s">
        <v>127</v>
      </c>
      <c r="E10" t="s">
        <v>130</v>
      </c>
      <c r="F10" t="s">
        <v>132</v>
      </c>
    </row>
    <row r="11" spans="1:6" x14ac:dyDescent="0.4">
      <c r="A11" s="225"/>
      <c r="B11" t="str">
        <f>'Input arguments'!B8</f>
        <v>Legacy Advertising &amp; Scan Response</v>
      </c>
      <c r="C11" t="s">
        <v>90</v>
      </c>
      <c r="D11" t="s">
        <v>166</v>
      </c>
      <c r="E11" t="s">
        <v>168</v>
      </c>
      <c r="F11" t="s">
        <v>167</v>
      </c>
    </row>
    <row r="12" spans="1:6" x14ac:dyDescent="0.4">
      <c r="A12" s="225"/>
      <c r="B12" t="str">
        <f>'Input arguments'!B9</f>
        <v>Connected as Peripheral</v>
      </c>
      <c r="C12" t="s">
        <v>90</v>
      </c>
      <c r="D12" t="s">
        <v>95</v>
      </c>
      <c r="E12" t="s">
        <v>96</v>
      </c>
      <c r="F12" t="s">
        <v>94</v>
      </c>
    </row>
    <row r="17" spans="2:3" ht="14.4" x14ac:dyDescent="0.55000000000000004">
      <c r="B17" s="118" t="s">
        <v>111</v>
      </c>
      <c r="C17" s="118" t="str">
        <f>'BLE - Peripheral'!C16</f>
        <v>Legacy Advertising</v>
      </c>
    </row>
    <row r="18" spans="2:3" ht="14.4" x14ac:dyDescent="0.55000000000000004">
      <c r="B18" s="118" t="s">
        <v>105</v>
      </c>
      <c r="C18" s="118">
        <f>IF('BLE - Peripheral'!$D$3=$D$4,COLUMN($D$4), IF('BLE - Peripheral'!$D$3=$E$4, COLUMN($E$4), IF('BLE - Peripheral'!$D$3=$F$4, COLUMN($F$4), COLUMN($C$4))))</f>
        <v>5</v>
      </c>
    </row>
    <row r="19" spans="2:3" ht="14.4" x14ac:dyDescent="0.55000000000000004">
      <c r="B19" s="118" t="s">
        <v>106</v>
      </c>
      <c r="C19" s="118">
        <f>IF(C17=$B$6,ROW($B$6),IF(C17=$B$7,ROW($B$7),IF(C17=$B$8,ROW($B$8),IF(C17=$B$9,ROW($B$9),IF(C17=$B$10,ROW($B$10),IF(C17=$B$11,ROW($B$11),IF(C17=$B$12,ROW($B$12),ROW($B$5))))))))</f>
        <v>6</v>
      </c>
    </row>
    <row r="20" spans="2:3" ht="14.4" x14ac:dyDescent="0.55000000000000004">
      <c r="B20" t="s">
        <v>102</v>
      </c>
      <c r="C20" s="117" t="str">
        <f ca="1">INDIRECT(ADDRESS(C19,C18))</f>
        <v>3V_LegacyAdvertisement</v>
      </c>
    </row>
    <row r="22" spans="2:3" ht="14.4" x14ac:dyDescent="0.55000000000000004">
      <c r="B22" s="118" t="s">
        <v>112</v>
      </c>
      <c r="C22" s="118" t="str">
        <f>'BLE - Peripheral'!J16</f>
        <v>Long Range (S8) Advertising</v>
      </c>
    </row>
    <row r="23" spans="2:3" ht="14.4" x14ac:dyDescent="0.55000000000000004">
      <c r="B23" s="118" t="s">
        <v>107</v>
      </c>
      <c r="C23" s="118">
        <f>IF('BLE - Peripheral'!$D$3=$D$4,COLUMN($D$4), IF('BLE - Peripheral'!$D$3=$E$4, COLUMN($E$4), IF('BLE - Peripheral'!$D$3=$F$4, COLUMN($F$4), COLUMN($C$4))))</f>
        <v>5</v>
      </c>
    </row>
    <row r="24" spans="2:3" ht="14.4" x14ac:dyDescent="0.55000000000000004">
      <c r="B24" s="118" t="s">
        <v>108</v>
      </c>
      <c r="C24" s="118">
        <f>IF(C22=$B$6,ROW($B$6),IF(C22=$B$7,ROW($B$7),IF(C22=$B$8,ROW($B$8),IF(C22=$B$9,ROW($B$9),IF(C22=$B$10,ROW($B$10),IF(C22=$B$11,ROW($B$11),IF(C22=$B$12,ROW($B$12),ROW($B$5))))))))</f>
        <v>8</v>
      </c>
    </row>
    <row r="25" spans="2:3" ht="14.4" x14ac:dyDescent="0.55000000000000004">
      <c r="B25" t="s">
        <v>103</v>
      </c>
      <c r="C25" s="117" t="str">
        <f ca="1">INDIRECT(ADDRESS(C24,C23))</f>
        <v>3V_LongRangeS8Advertisement</v>
      </c>
    </row>
    <row r="27" spans="2:3" ht="14.4" x14ac:dyDescent="0.55000000000000004">
      <c r="B27" s="118" t="s">
        <v>113</v>
      </c>
      <c r="C27" s="118" t="str">
        <f>'BLE - Peripheral'!Q16</f>
        <v>Connected as Peripheral</v>
      </c>
    </row>
    <row r="28" spans="2:3" ht="14.4" x14ac:dyDescent="0.55000000000000004">
      <c r="B28" s="118" t="s">
        <v>109</v>
      </c>
      <c r="C28" s="118">
        <f>IF('BLE - Peripheral'!$D$3=$D$4,COLUMN($D$4), IF('BLE - Peripheral'!$D$3=$E$4, COLUMN($E$4), IF('BLE - Peripheral'!$D$3=$F$4, COLUMN($F$4), COLUMN($C$4))))</f>
        <v>5</v>
      </c>
    </row>
    <row r="29" spans="2:3" ht="14.4" x14ac:dyDescent="0.55000000000000004">
      <c r="B29" s="118" t="s">
        <v>110</v>
      </c>
      <c r="C29" s="118">
        <f>IF(C27=$B$6,ROW($B$6),IF(C27=$B$7,ROW($B$7),IF(C27=$B$8,ROW($B$8),IF(C27=$B$9,ROW($B$9),IF(C27=$B$10,ROW($B$10),IF(C27=$B$11,ROW($B$11),IF(C27=$B$12,ROW($B$12),ROW($B$5))))))))</f>
        <v>12</v>
      </c>
    </row>
    <row r="30" spans="2:3" ht="14.4" x14ac:dyDescent="0.55000000000000004">
      <c r="B30" t="s">
        <v>104</v>
      </c>
      <c r="C30" s="117" t="str">
        <f ca="1">INDIRECT(ADDRESS(C29,C28))</f>
        <v>3V_Connected</v>
      </c>
    </row>
  </sheetData>
  <mergeCells count="2">
    <mergeCell ref="C3:E3"/>
    <mergeCell ref="A5:A12"/>
  </mergeCells>
  <pageMargins left="0.7" right="0.7" top="0.75" bottom="0.75" header="0.3" footer="0.3"/>
  <pageSetup orientation="portrait"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N128"/>
  <sheetViews>
    <sheetView topLeftCell="A92" zoomScale="115" zoomScaleNormal="115" workbookViewId="0">
      <selection activeCell="Q127" sqref="Q127"/>
    </sheetView>
  </sheetViews>
  <sheetFormatPr defaultRowHeight="12.3" x14ac:dyDescent="0.4"/>
  <cols>
    <col min="1" max="1" width="3.44140625" customWidth="1"/>
    <col min="2" max="2" width="31" customWidth="1"/>
    <col min="3" max="3" width="13.27734375" customWidth="1"/>
    <col min="4" max="4" width="15.27734375" bestFit="1" customWidth="1"/>
    <col min="5" max="5" width="12" bestFit="1" customWidth="1"/>
    <col min="11" max="11" width="15.71875" customWidth="1"/>
    <col min="13" max="13" width="23.1640625" customWidth="1"/>
    <col min="14" max="14" width="20.83203125" customWidth="1"/>
  </cols>
  <sheetData>
    <row r="3" spans="1:14" x14ac:dyDescent="0.4">
      <c r="B3" t="s">
        <v>111</v>
      </c>
    </row>
    <row r="4" spans="1:14" x14ac:dyDescent="0.4">
      <c r="M4" t="s">
        <v>75</v>
      </c>
      <c r="N4" t="s">
        <v>76</v>
      </c>
    </row>
    <row r="5" spans="1:14" x14ac:dyDescent="0.4">
      <c r="L5" t="str">
        <f>C9</f>
        <v>Time
[µs]</v>
      </c>
      <c r="M5" t="str">
        <f>D9</f>
        <v>Avg Current [mA]</v>
      </c>
      <c r="N5" t="str">
        <f>E9</f>
        <v>Energy [pAh]</v>
      </c>
    </row>
    <row r="6" spans="1:14" x14ac:dyDescent="0.4">
      <c r="L6">
        <v>-200</v>
      </c>
      <c r="M6">
        <v>0</v>
      </c>
      <c r="N6">
        <v>0</v>
      </c>
    </row>
    <row r="7" spans="1:14" x14ac:dyDescent="0.4">
      <c r="L7">
        <v>0</v>
      </c>
      <c r="M7">
        <v>0</v>
      </c>
      <c r="N7">
        <v>0</v>
      </c>
    </row>
    <row r="8" spans="1:14" x14ac:dyDescent="0.4">
      <c r="L8">
        <v>0</v>
      </c>
      <c r="M8">
        <f ca="1">M9</f>
        <v>3.17794</v>
      </c>
      <c r="N8">
        <v>0</v>
      </c>
    </row>
    <row r="9" spans="1:14" x14ac:dyDescent="0.4">
      <c r="C9" t="s">
        <v>24</v>
      </c>
      <c r="D9" t="s">
        <v>62</v>
      </c>
      <c r="E9" t="s">
        <v>74</v>
      </c>
      <c r="K9" t="str">
        <f ca="1">B10</f>
        <v>Wake Up &amp; Pre-Processing</v>
      </c>
      <c r="L9">
        <f ca="1">C10</f>
        <v>1294.6666666666667</v>
      </c>
      <c r="M9">
        <f ca="1">D10</f>
        <v>3.17794</v>
      </c>
      <c r="N9">
        <f ca="1">E10</f>
        <v>4114.3729866666672</v>
      </c>
    </row>
    <row r="10" spans="1:14" x14ac:dyDescent="0.4">
      <c r="A10">
        <f>'BLE - Peripheral'!B19</f>
        <v>1</v>
      </c>
      <c r="B10" t="str">
        <f ca="1">'BLE - Peripheral'!C19</f>
        <v>Wake Up &amp; Pre-Processing</v>
      </c>
      <c r="C10">
        <f ca="1">'BLE - Peripheral'!D19</f>
        <v>1294.6666666666667</v>
      </c>
      <c r="D10">
        <f ca="1">'BLE - Peripheral'!E19</f>
        <v>3.17794</v>
      </c>
      <c r="E10">
        <f ca="1">'BLE - Peripheral'!F19</f>
        <v>4114.3729866666672</v>
      </c>
      <c r="L10">
        <f ca="1">L9</f>
        <v>1294.6666666666667</v>
      </c>
      <c r="M10">
        <f ca="1">M11</f>
        <v>3.7641813333333332</v>
      </c>
      <c r="N10">
        <f ca="1">N9</f>
        <v>4114.3729866666672</v>
      </c>
    </row>
    <row r="11" spans="1:14" x14ac:dyDescent="0.4">
      <c r="A11">
        <f>'BLE - Peripheral'!B20</f>
        <v>2</v>
      </c>
      <c r="B11" t="str">
        <f ca="1">'BLE - Peripheral'!C20</f>
        <v>Radio Preparation</v>
      </c>
      <c r="C11">
        <f ca="1">'BLE - Peripheral'!D20</f>
        <v>329.11111111111109</v>
      </c>
      <c r="D11">
        <f ca="1">'BLE - Peripheral'!E20</f>
        <v>3.7641813333333332</v>
      </c>
      <c r="E11">
        <f ca="1">'BLE - Peripheral'!F20</f>
        <v>1238.8339010370369</v>
      </c>
      <c r="K11" t="str">
        <f ca="1">B11</f>
        <v>Radio Preparation</v>
      </c>
      <c r="L11">
        <f ca="1">C11+L9</f>
        <v>1623.7777777777778</v>
      </c>
      <c r="M11">
        <f ca="1">D11</f>
        <v>3.7641813333333332</v>
      </c>
      <c r="N11">
        <f ca="1">E11+N9</f>
        <v>5353.2068877037036</v>
      </c>
    </row>
    <row r="12" spans="1:14" x14ac:dyDescent="0.4">
      <c r="A12">
        <f>'BLE - Peripheral'!B21</f>
        <v>3</v>
      </c>
      <c r="B12" t="str">
        <f ca="1">'BLE - Peripheral'!C21</f>
        <v>Transmit (TX)</v>
      </c>
      <c r="C12">
        <f ca="1">'BLE - Peripheral'!D21</f>
        <v>176.4975</v>
      </c>
      <c r="D12">
        <f ca="1">'BLE - Peripheral'!E21</f>
        <v>7.4746973333333324</v>
      </c>
      <c r="E12">
        <f ca="1">'BLE - Peripheral'!F21</f>
        <v>1319.2653925899999</v>
      </c>
      <c r="L12">
        <f ca="1">L11</f>
        <v>1623.7777777777778</v>
      </c>
      <c r="M12">
        <f ca="1">M13</f>
        <v>7.4746973333333324</v>
      </c>
      <c r="N12">
        <f ca="1">N11</f>
        <v>5353.2068877037036</v>
      </c>
    </row>
    <row r="13" spans="1:14" x14ac:dyDescent="0.4">
      <c r="A13">
        <f>'BLE - Peripheral'!B22</f>
        <v>4</v>
      </c>
      <c r="B13" t="str">
        <f ca="1">'BLE - Peripheral'!C22</f>
        <v>TX to RX transition</v>
      </c>
      <c r="C13">
        <f ca="1">'BLE - Peripheral'!D22</f>
        <v>131</v>
      </c>
      <c r="D13">
        <f ca="1">'BLE - Peripheral'!E22</f>
        <v>4.6730444444444457</v>
      </c>
      <c r="E13">
        <f ca="1">'BLE - Peripheral'!F22</f>
        <v>612.16882222222239</v>
      </c>
      <c r="K13" t="str">
        <f ca="1">B12</f>
        <v>Transmit (TX)</v>
      </c>
      <c r="L13">
        <f ca="1">C12+L11</f>
        <v>1800.2752777777778</v>
      </c>
      <c r="M13">
        <f ca="1">D12</f>
        <v>7.4746973333333324</v>
      </c>
      <c r="N13">
        <f ca="1">E12+N11</f>
        <v>6672.4722802937031</v>
      </c>
    </row>
    <row r="14" spans="1:14" x14ac:dyDescent="0.4">
      <c r="A14">
        <f>'BLE - Peripheral'!B23</f>
        <v>5</v>
      </c>
      <c r="B14" t="str">
        <f ca="1">'BLE - Peripheral'!C23</f>
        <v>Recieve (RX)</v>
      </c>
      <c r="C14">
        <f ca="1">'BLE - Peripheral'!D23</f>
        <v>104.11111111111111</v>
      </c>
      <c r="D14">
        <f ca="1">'BLE - Peripheral'!E23</f>
        <v>6.636966666666666</v>
      </c>
      <c r="E14">
        <f ca="1">'BLE - Peripheral'!F23</f>
        <v>690.98197407407406</v>
      </c>
      <c r="L14">
        <f ca="1">L13</f>
        <v>1800.2752777777778</v>
      </c>
      <c r="M14">
        <f ca="1">M15</f>
        <v>4.6730444444444457</v>
      </c>
      <c r="N14">
        <f ca="1">N13</f>
        <v>6672.4722802937031</v>
      </c>
    </row>
    <row r="15" spans="1:14" x14ac:dyDescent="0.4">
      <c r="A15">
        <f>'BLE - Peripheral'!B24</f>
        <v>6</v>
      </c>
      <c r="B15" t="str">
        <f ca="1">'BLE - Peripheral'!C24</f>
        <v>RX to TX transition</v>
      </c>
      <c r="C15">
        <f ca="1">'BLE - Peripheral'!D24</f>
        <v>286.88888888888891</v>
      </c>
      <c r="D15">
        <f ca="1">'BLE - Peripheral'!E24</f>
        <v>3.4826444444444444</v>
      </c>
      <c r="E15">
        <f ca="1">'BLE - Peripheral'!F24</f>
        <v>999.1319950617285</v>
      </c>
      <c r="K15" t="str">
        <f ca="1">B13</f>
        <v>TX to RX transition</v>
      </c>
      <c r="L15">
        <f ca="1">C13+L13</f>
        <v>1931.2752777777778</v>
      </c>
      <c r="M15">
        <f ca="1">D13</f>
        <v>4.6730444444444457</v>
      </c>
      <c r="N15">
        <f ca="1">E13+N13</f>
        <v>7284.641102515925</v>
      </c>
    </row>
    <row r="16" spans="1:14" x14ac:dyDescent="0.4">
      <c r="A16">
        <f>'BLE - Peripheral'!B25</f>
        <v>7</v>
      </c>
      <c r="B16" t="str">
        <f ca="1">'BLE - Peripheral'!C25</f>
        <v>Transmit (TX)</v>
      </c>
      <c r="C16">
        <f ca="1">'BLE - Peripheral'!D25</f>
        <v>176.4975</v>
      </c>
      <c r="D16">
        <f ca="1">'BLE - Peripheral'!E25</f>
        <v>7.4746973333333324</v>
      </c>
      <c r="E16">
        <f ca="1">'BLE - Peripheral'!F25</f>
        <v>1319.2653925899999</v>
      </c>
      <c r="L16">
        <f ca="1">L15</f>
        <v>1931.2752777777778</v>
      </c>
      <c r="M16">
        <f ca="1">M17</f>
        <v>6.636966666666666</v>
      </c>
      <c r="N16">
        <f ca="1">N15</f>
        <v>7284.641102515925</v>
      </c>
    </row>
    <row r="17" spans="1:14" x14ac:dyDescent="0.4">
      <c r="A17">
        <f>'BLE - Peripheral'!B26</f>
        <v>8</v>
      </c>
      <c r="B17" t="str">
        <f ca="1">'BLE - Peripheral'!C26</f>
        <v>TX to RX transition</v>
      </c>
      <c r="C17">
        <f ca="1">'BLE - Peripheral'!D26</f>
        <v>130.77777777777777</v>
      </c>
      <c r="D17">
        <f ca="1">'BLE - Peripheral'!E26</f>
        <v>4.7019555555555561</v>
      </c>
      <c r="E17">
        <f ca="1">'BLE - Peripheral'!F26</f>
        <v>614.91129876543209</v>
      </c>
      <c r="K17" t="str">
        <f ca="1">B14</f>
        <v>Recieve (RX)</v>
      </c>
      <c r="L17">
        <f ca="1">C14+L15</f>
        <v>2035.3863888888889</v>
      </c>
      <c r="M17">
        <f ca="1">D14</f>
        <v>6.636966666666666</v>
      </c>
      <c r="N17">
        <f ca="1">E14+N15</f>
        <v>7975.6230765899991</v>
      </c>
    </row>
    <row r="18" spans="1:14" x14ac:dyDescent="0.4">
      <c r="A18">
        <f>'BLE - Peripheral'!B27</f>
        <v>9</v>
      </c>
      <c r="B18" t="str">
        <f ca="1">'BLE - Peripheral'!C27</f>
        <v>Recieve (RX)</v>
      </c>
      <c r="C18">
        <f ca="1">'BLE - Peripheral'!D27</f>
        <v>108.11111111111111</v>
      </c>
      <c r="D18">
        <f ca="1">'BLE - Peripheral'!E27</f>
        <v>6.6446999999999994</v>
      </c>
      <c r="E18">
        <f ca="1">'BLE - Peripheral'!F27</f>
        <v>718.36590000000001</v>
      </c>
      <c r="L18">
        <f ca="1">L17</f>
        <v>2035.3863888888889</v>
      </c>
      <c r="M18">
        <f ca="1">M19</f>
        <v>3.4826444444444444</v>
      </c>
      <c r="N18">
        <f ca="1">N17</f>
        <v>7975.6230765899991</v>
      </c>
    </row>
    <row r="19" spans="1:14" x14ac:dyDescent="0.4">
      <c r="A19">
        <f>'BLE - Peripheral'!B28</f>
        <v>10</v>
      </c>
      <c r="B19" t="str">
        <f ca="1">'BLE - Peripheral'!C28</f>
        <v>RX to TX transition</v>
      </c>
      <c r="C19">
        <f ca="1">'BLE - Peripheral'!D28</f>
        <v>286.88888888888891</v>
      </c>
      <c r="D19">
        <f ca="1">'BLE - Peripheral'!E28</f>
        <v>3.5186333333333328</v>
      </c>
      <c r="E19">
        <f ca="1">'BLE - Peripheral'!F28</f>
        <v>1009.4568074074074</v>
      </c>
      <c r="K19" t="str">
        <f ca="1">B15</f>
        <v>RX to TX transition</v>
      </c>
      <c r="L19">
        <f ca="1">C15+L17</f>
        <v>2322.2752777777778</v>
      </c>
      <c r="M19">
        <f ca="1">D15</f>
        <v>3.4826444444444444</v>
      </c>
      <c r="N19">
        <f ca="1">E15+N17</f>
        <v>8974.7550716517271</v>
      </c>
    </row>
    <row r="20" spans="1:14" x14ac:dyDescent="0.4">
      <c r="A20">
        <f>'BLE - Peripheral'!B29</f>
        <v>11</v>
      </c>
      <c r="B20" t="str">
        <f ca="1">'BLE - Peripheral'!C29</f>
        <v>Transmit (TX)</v>
      </c>
      <c r="C20">
        <f ca="1">'BLE - Peripheral'!D29</f>
        <v>176.4975</v>
      </c>
      <c r="D20">
        <f ca="1">'BLE - Peripheral'!E29</f>
        <v>7.4746973333333324</v>
      </c>
      <c r="E20">
        <f ca="1">'BLE - Peripheral'!F29</f>
        <v>1319.2653925899999</v>
      </c>
      <c r="L20">
        <f ca="1">L19</f>
        <v>2322.2752777777778</v>
      </c>
      <c r="M20">
        <f ca="1">M21</f>
        <v>7.4746973333333324</v>
      </c>
      <c r="N20">
        <f ca="1">N19</f>
        <v>8974.7550716517271</v>
      </c>
    </row>
    <row r="21" spans="1:14" x14ac:dyDescent="0.4">
      <c r="A21">
        <f>'BLE - Peripheral'!B30</f>
        <v>12</v>
      </c>
      <c r="B21" t="str">
        <f ca="1">'BLE - Peripheral'!C30</f>
        <v>TX to RX transition</v>
      </c>
      <c r="C21">
        <f ca="1">'BLE - Peripheral'!D30</f>
        <v>131.22222222222223</v>
      </c>
      <c r="D21">
        <f ca="1">'BLE - Peripheral'!E30</f>
        <v>4.7165777777777764</v>
      </c>
      <c r="E21">
        <f ca="1">'BLE - Peripheral'!F30</f>
        <v>618.91981728395047</v>
      </c>
      <c r="K21" t="str">
        <f ca="1">B16</f>
        <v>Transmit (TX)</v>
      </c>
      <c r="L21">
        <f ca="1">C16+L19</f>
        <v>2498.7727777777777</v>
      </c>
      <c r="M21">
        <f ca="1">D16</f>
        <v>7.4746973333333324</v>
      </c>
      <c r="N21">
        <f ca="1">E16+N19</f>
        <v>10294.020464241727</v>
      </c>
    </row>
    <row r="22" spans="1:14" x14ac:dyDescent="0.4">
      <c r="A22">
        <f>'BLE - Peripheral'!B31</f>
        <v>13</v>
      </c>
      <c r="B22" t="str">
        <f ca="1">'BLE - Peripheral'!C31</f>
        <v>Recieve (RX)</v>
      </c>
      <c r="C22">
        <f ca="1">'BLE - Peripheral'!D31</f>
        <v>107.55555555555556</v>
      </c>
      <c r="D22">
        <f ca="1">'BLE - Peripheral'!E31</f>
        <v>6.6835222222222228</v>
      </c>
      <c r="E22">
        <f ca="1">'BLE - Peripheral'!F31</f>
        <v>718.84994567901242</v>
      </c>
      <c r="L22">
        <f ca="1">L21</f>
        <v>2498.7727777777777</v>
      </c>
      <c r="M22">
        <f ca="1">M23</f>
        <v>4.7019555555555561</v>
      </c>
      <c r="N22">
        <f ca="1">N21</f>
        <v>10294.020464241727</v>
      </c>
    </row>
    <row r="23" spans="1:14" x14ac:dyDescent="0.4">
      <c r="A23">
        <f>'BLE - Peripheral'!B32</f>
        <v>14</v>
      </c>
      <c r="B23" t="str">
        <f ca="1">'BLE - Peripheral'!C32</f>
        <v>Post-Processing</v>
      </c>
      <c r="C23">
        <f ca="1">'BLE - Peripheral'!D32</f>
        <v>846.44444444444446</v>
      </c>
      <c r="D23">
        <f ca="1">'BLE - Peripheral'!E32</f>
        <v>2.5783222222222224</v>
      </c>
      <c r="E23">
        <f ca="1">'BLE - Peripheral'!F32</f>
        <v>2182.4065209876544</v>
      </c>
      <c r="K23" t="str">
        <f ca="1">B17</f>
        <v>TX to RX transition</v>
      </c>
      <c r="L23">
        <f ca="1">C17+L21</f>
        <v>2629.5505555555555</v>
      </c>
      <c r="M23">
        <f ca="1">D17</f>
        <v>4.7019555555555561</v>
      </c>
      <c r="N23">
        <f ca="1">E17+N21</f>
        <v>10908.931763007158</v>
      </c>
    </row>
    <row r="24" spans="1:14" x14ac:dyDescent="0.4">
      <c r="A24">
        <f>'BLE - Peripheral'!B33</f>
        <v>15</v>
      </c>
      <c r="B24" t="str">
        <f ca="1">'BLE - Peripheral'!C33</f>
        <v/>
      </c>
      <c r="C24">
        <f ca="1">'BLE - Peripheral'!D33</f>
        <v>0</v>
      </c>
      <c r="D24">
        <f ca="1">'BLE - Peripheral'!E33</f>
        <v>0</v>
      </c>
      <c r="E24">
        <f ca="1">'BLE - Peripheral'!F33</f>
        <v>0</v>
      </c>
      <c r="L24">
        <f ca="1">L23</f>
        <v>2629.5505555555555</v>
      </c>
      <c r="M24">
        <f ca="1">M25</f>
        <v>6.6446999999999994</v>
      </c>
      <c r="N24">
        <f ca="1">N23</f>
        <v>10908.931763007158</v>
      </c>
    </row>
    <row r="25" spans="1:14" x14ac:dyDescent="0.4">
      <c r="A25">
        <f>'BLE - Peripheral'!B34</f>
        <v>16</v>
      </c>
      <c r="B25" t="str">
        <f ca="1">'BLE - Peripheral'!C34</f>
        <v/>
      </c>
      <c r="C25">
        <f ca="1">'BLE - Peripheral'!D34</f>
        <v>0</v>
      </c>
      <c r="D25">
        <f ca="1">'BLE - Peripheral'!E34</f>
        <v>0</v>
      </c>
      <c r="E25">
        <f ca="1">'BLE - Peripheral'!F34</f>
        <v>0</v>
      </c>
      <c r="K25" t="str">
        <f ca="1">B18</f>
        <v>Recieve (RX)</v>
      </c>
      <c r="L25">
        <f ca="1">C18+L23</f>
        <v>2737.6616666666669</v>
      </c>
      <c r="M25">
        <f ca="1">D18</f>
        <v>6.6446999999999994</v>
      </c>
      <c r="N25">
        <f ca="1">E18+N23</f>
        <v>11627.297663007159</v>
      </c>
    </row>
    <row r="26" spans="1:14" x14ac:dyDescent="0.4">
      <c r="A26">
        <v>17</v>
      </c>
      <c r="C26">
        <v>200</v>
      </c>
      <c r="D26">
        <v>0</v>
      </c>
      <c r="E26">
        <v>0</v>
      </c>
      <c r="L26">
        <f ca="1">L25</f>
        <v>2737.6616666666669</v>
      </c>
      <c r="M26">
        <f ca="1">M27</f>
        <v>3.5186333333333328</v>
      </c>
      <c r="N26">
        <f ca="1">N25</f>
        <v>11627.297663007159</v>
      </c>
    </row>
    <row r="27" spans="1:14" x14ac:dyDescent="0.4">
      <c r="K27" t="str">
        <f ca="1">B19</f>
        <v>RX to TX transition</v>
      </c>
      <c r="L27">
        <f ca="1">C19+L25</f>
        <v>3024.5505555555555</v>
      </c>
      <c r="M27">
        <f ca="1">D19</f>
        <v>3.5186333333333328</v>
      </c>
      <c r="N27">
        <f ca="1">E19+N25</f>
        <v>12636.754470414566</v>
      </c>
    </row>
    <row r="28" spans="1:14" x14ac:dyDescent="0.4">
      <c r="L28">
        <f ca="1">L27</f>
        <v>3024.5505555555555</v>
      </c>
      <c r="M28">
        <f ca="1">M29</f>
        <v>7.4746973333333324</v>
      </c>
      <c r="N28">
        <f ca="1">N27</f>
        <v>12636.754470414566</v>
      </c>
    </row>
    <row r="29" spans="1:14" x14ac:dyDescent="0.4">
      <c r="K29" t="str">
        <f ca="1">B20</f>
        <v>Transmit (TX)</v>
      </c>
      <c r="L29">
        <f ca="1">C20+L27</f>
        <v>3201.0480555555555</v>
      </c>
      <c r="M29">
        <f ca="1">D20</f>
        <v>7.4746973333333324</v>
      </c>
      <c r="N29">
        <f ca="1">E20+N27</f>
        <v>13956.019863004565</v>
      </c>
    </row>
    <row r="30" spans="1:14" x14ac:dyDescent="0.4">
      <c r="L30">
        <f ca="1">L29</f>
        <v>3201.0480555555555</v>
      </c>
      <c r="M30">
        <f ca="1">M31</f>
        <v>4.7165777777777764</v>
      </c>
      <c r="N30">
        <f ca="1">N29</f>
        <v>13956.019863004565</v>
      </c>
    </row>
    <row r="31" spans="1:14" x14ac:dyDescent="0.4">
      <c r="K31" t="str">
        <f ca="1">B21</f>
        <v>TX to RX transition</v>
      </c>
      <c r="L31">
        <f ca="1">C21+L29</f>
        <v>3332.2702777777777</v>
      </c>
      <c r="M31">
        <f ca="1">D21</f>
        <v>4.7165777777777764</v>
      </c>
      <c r="N31">
        <f ca="1">E21+N29</f>
        <v>14574.939680288515</v>
      </c>
    </row>
    <row r="32" spans="1:14" x14ac:dyDescent="0.4">
      <c r="L32">
        <f ca="1">L31</f>
        <v>3332.2702777777777</v>
      </c>
      <c r="M32">
        <f ca="1">M33</f>
        <v>6.6835222222222228</v>
      </c>
      <c r="N32">
        <f ca="1">N31</f>
        <v>14574.939680288515</v>
      </c>
    </row>
    <row r="33" spans="2:14" x14ac:dyDescent="0.4">
      <c r="K33" t="str">
        <f ca="1">B22</f>
        <v>Recieve (RX)</v>
      </c>
      <c r="L33">
        <f ca="1">C22+L31</f>
        <v>3439.8258333333333</v>
      </c>
      <c r="M33">
        <f ca="1">D22</f>
        <v>6.6835222222222228</v>
      </c>
      <c r="N33">
        <f ca="1">E22+N31</f>
        <v>15293.789625967527</v>
      </c>
    </row>
    <row r="34" spans="2:14" x14ac:dyDescent="0.4">
      <c r="L34">
        <f ca="1">L33</f>
        <v>3439.8258333333333</v>
      </c>
      <c r="M34">
        <f ca="1">M35</f>
        <v>2.5783222222222224</v>
      </c>
      <c r="N34">
        <f ca="1">N33</f>
        <v>15293.789625967527</v>
      </c>
    </row>
    <row r="35" spans="2:14" x14ac:dyDescent="0.4">
      <c r="K35" t="str">
        <f ca="1">B23</f>
        <v>Post-Processing</v>
      </c>
      <c r="L35">
        <f ca="1">C23+L33</f>
        <v>4286.2702777777777</v>
      </c>
      <c r="M35">
        <f ca="1">D23</f>
        <v>2.5783222222222224</v>
      </c>
      <c r="N35">
        <f ca="1">E23+N33</f>
        <v>17476.196146955182</v>
      </c>
    </row>
    <row r="36" spans="2:14" x14ac:dyDescent="0.4">
      <c r="L36">
        <f ca="1">L35</f>
        <v>4286.2702777777777</v>
      </c>
      <c r="M36">
        <f ca="1">M37</f>
        <v>0</v>
      </c>
      <c r="N36">
        <f ca="1">N35</f>
        <v>17476.196146955182</v>
      </c>
    </row>
    <row r="37" spans="2:14" x14ac:dyDescent="0.4">
      <c r="K37" t="str">
        <f ca="1">B24</f>
        <v/>
      </c>
      <c r="L37">
        <f ca="1">C24+L35</f>
        <v>4286.2702777777777</v>
      </c>
      <c r="M37">
        <f ca="1">D24</f>
        <v>0</v>
      </c>
      <c r="N37">
        <f ca="1">E24+N35</f>
        <v>17476.196146955182</v>
      </c>
    </row>
    <row r="38" spans="2:14" x14ac:dyDescent="0.4">
      <c r="L38">
        <f ca="1">L37</f>
        <v>4286.2702777777777</v>
      </c>
      <c r="M38">
        <f ca="1">M39</f>
        <v>0</v>
      </c>
      <c r="N38">
        <f ca="1">N37</f>
        <v>17476.196146955182</v>
      </c>
    </row>
    <row r="39" spans="2:14" x14ac:dyDescent="0.4">
      <c r="K39" t="str">
        <f ca="1">B25</f>
        <v/>
      </c>
      <c r="L39">
        <f ca="1">C26+L37</f>
        <v>4486.2702777777777</v>
      </c>
      <c r="M39">
        <f ca="1">D25</f>
        <v>0</v>
      </c>
      <c r="N39">
        <f ca="1">E25+N37</f>
        <v>17476.196146955182</v>
      </c>
    </row>
    <row r="40" spans="2:14" x14ac:dyDescent="0.4">
      <c r="L40">
        <f ca="1">L39</f>
        <v>4486.2702777777777</v>
      </c>
      <c r="M40">
        <f>M45</f>
        <v>0</v>
      </c>
      <c r="N40">
        <f ca="1">N39</f>
        <v>17476.196146955182</v>
      </c>
    </row>
    <row r="41" spans="2:14" x14ac:dyDescent="0.4">
      <c r="K41" t="str">
        <f>IF(B26="","",B26)</f>
        <v/>
      </c>
      <c r="L41">
        <f ca="1">C26+L39</f>
        <v>4686.2702777777777</v>
      </c>
      <c r="M41">
        <f>D26</f>
        <v>0</v>
      </c>
      <c r="N41">
        <f ca="1">E26+N39</f>
        <v>17476.196146955182</v>
      </c>
    </row>
    <row r="42" spans="2:14" x14ac:dyDescent="0.4">
      <c r="L42">
        <f ca="1">L41</f>
        <v>4686.2702777777777</v>
      </c>
      <c r="M42">
        <f>M43</f>
        <v>0</v>
      </c>
      <c r="N42">
        <f ca="1">N41+E32</f>
        <v>17476.196146955182</v>
      </c>
    </row>
    <row r="46" spans="2:14" x14ac:dyDescent="0.4">
      <c r="B46" t="s">
        <v>112</v>
      </c>
    </row>
    <row r="47" spans="2:14" x14ac:dyDescent="0.4">
      <c r="M47" t="s">
        <v>75</v>
      </c>
      <c r="N47" t="s">
        <v>76</v>
      </c>
    </row>
    <row r="48" spans="2:14" x14ac:dyDescent="0.4">
      <c r="L48" t="str">
        <f>C52</f>
        <v>Time
[µs]</v>
      </c>
      <c r="M48" t="str">
        <f>D52</f>
        <v>Avg Current [mA]</v>
      </c>
      <c r="N48" t="str">
        <f>E52</f>
        <v>Energy [pAh]</v>
      </c>
    </row>
    <row r="49" spans="1:14" x14ac:dyDescent="0.4">
      <c r="L49">
        <v>-200</v>
      </c>
      <c r="M49">
        <v>0</v>
      </c>
      <c r="N49">
        <v>0</v>
      </c>
    </row>
    <row r="50" spans="1:14" x14ac:dyDescent="0.4">
      <c r="L50">
        <v>0</v>
      </c>
      <c r="M50">
        <v>0</v>
      </c>
      <c r="N50">
        <v>0</v>
      </c>
    </row>
    <row r="51" spans="1:14" x14ac:dyDescent="0.4">
      <c r="L51">
        <v>0</v>
      </c>
      <c r="M51">
        <f ca="1">M52</f>
        <v>3.0618222222222222</v>
      </c>
      <c r="N51">
        <v>0</v>
      </c>
    </row>
    <row r="52" spans="1:14" x14ac:dyDescent="0.4">
      <c r="C52" t="s">
        <v>24</v>
      </c>
      <c r="D52" t="s">
        <v>62</v>
      </c>
      <c r="E52" t="s">
        <v>74</v>
      </c>
      <c r="K52" t="str">
        <f ca="1">B53</f>
        <v>Wake Up &amp; Pre-Processing</v>
      </c>
      <c r="L52">
        <f ca="1">C53</f>
        <v>1317.8</v>
      </c>
      <c r="M52">
        <f ca="1">D53</f>
        <v>3.0618222222222222</v>
      </c>
      <c r="N52">
        <f ca="1">E53</f>
        <v>4034.8693244444444</v>
      </c>
    </row>
    <row r="53" spans="1:14" x14ac:dyDescent="0.4">
      <c r="A53">
        <f>'BLE - Peripheral'!I19</f>
        <v>1</v>
      </c>
      <c r="B53" t="str">
        <f ca="1">'BLE - Peripheral'!J19</f>
        <v>Wake Up &amp; Pre-Processing</v>
      </c>
      <c r="C53">
        <f ca="1">'BLE - Peripheral'!K19</f>
        <v>1317.8</v>
      </c>
      <c r="D53">
        <f ca="1">'BLE - Peripheral'!L19</f>
        <v>3.0618222222222222</v>
      </c>
      <c r="E53">
        <f ca="1">'BLE - Peripheral'!M19</f>
        <v>4034.8693244444444</v>
      </c>
      <c r="L53">
        <f ca="1">L52</f>
        <v>1317.8</v>
      </c>
      <c r="M53">
        <f ca="1">M54</f>
        <v>4.0637999999999996</v>
      </c>
      <c r="N53">
        <f ca="1">N52</f>
        <v>4034.8693244444444</v>
      </c>
    </row>
    <row r="54" spans="1:14" x14ac:dyDescent="0.4">
      <c r="A54">
        <f>'BLE - Peripheral'!I20</f>
        <v>2</v>
      </c>
      <c r="B54" t="str">
        <f ca="1">'BLE - Peripheral'!J20</f>
        <v>Radio Preparation</v>
      </c>
      <c r="C54">
        <f ca="1">'BLE - Peripheral'!K20</f>
        <v>328</v>
      </c>
      <c r="D54">
        <f ca="1">'BLE - Peripheral'!L20</f>
        <v>4.0637999999999996</v>
      </c>
      <c r="E54">
        <f ca="1">'BLE - Peripheral'!M20</f>
        <v>1332.9263999999998</v>
      </c>
      <c r="K54" t="str">
        <f ca="1">B54</f>
        <v>Radio Preparation</v>
      </c>
      <c r="L54">
        <f ca="1">C54+L52</f>
        <v>1645.8</v>
      </c>
      <c r="M54">
        <f ca="1">D54</f>
        <v>4.0637999999999996</v>
      </c>
      <c r="N54">
        <f ca="1">E54+N52</f>
        <v>5367.7957244444442</v>
      </c>
    </row>
    <row r="55" spans="1:14" x14ac:dyDescent="0.4">
      <c r="A55">
        <f>'BLE - Peripheral'!I21</f>
        <v>3</v>
      </c>
      <c r="B55" t="str">
        <f ca="1">'BLE - Peripheral'!J21</f>
        <v>Transmit (TX)</v>
      </c>
      <c r="C55">
        <f ca="1">'BLE - Peripheral'!K21</f>
        <v>1118.7</v>
      </c>
      <c r="D55">
        <f ca="1">'BLE - Peripheral'!L21</f>
        <v>7.0700999999999992</v>
      </c>
      <c r="E55">
        <f ca="1">'BLE - Peripheral'!M21</f>
        <v>7909.3208699999996</v>
      </c>
      <c r="L55">
        <f ca="1">L54</f>
        <v>1645.8</v>
      </c>
      <c r="M55">
        <f ca="1">M56</f>
        <v>7.0700999999999992</v>
      </c>
      <c r="N55">
        <f ca="1">N54</f>
        <v>5367.7957244444442</v>
      </c>
    </row>
    <row r="56" spans="1:14" x14ac:dyDescent="0.4">
      <c r="A56">
        <f>'BLE - Peripheral'!I22</f>
        <v>4</v>
      </c>
      <c r="B56" t="str">
        <f ca="1">'BLE - Peripheral'!J22</f>
        <v>TX to TX transition</v>
      </c>
      <c r="C56">
        <f ca="1">'BLE - Peripheral'!K22</f>
        <v>570</v>
      </c>
      <c r="D56">
        <f ca="1">'BLE - Peripheral'!L22</f>
        <v>3.6073666666666671</v>
      </c>
      <c r="E56">
        <f ca="1">'BLE - Peripheral'!M22</f>
        <v>2056.1990000000001</v>
      </c>
      <c r="K56" t="str">
        <f ca="1">B55</f>
        <v>Transmit (TX)</v>
      </c>
      <c r="L56">
        <f ca="1">C55+L54</f>
        <v>2764.5</v>
      </c>
      <c r="M56">
        <f ca="1">D55</f>
        <v>7.0700999999999992</v>
      </c>
      <c r="N56">
        <f ca="1">E55+N54</f>
        <v>13277.116594444444</v>
      </c>
    </row>
    <row r="57" spans="1:14" x14ac:dyDescent="0.4">
      <c r="A57">
        <f>'BLE - Peripheral'!I23</f>
        <v>5</v>
      </c>
      <c r="B57" t="str">
        <f ca="1">'BLE - Peripheral'!J23</f>
        <v>Transmit (TX)</v>
      </c>
      <c r="C57">
        <f ca="1">'BLE - Peripheral'!K23</f>
        <v>1118.7</v>
      </c>
      <c r="D57">
        <f ca="1">'BLE - Peripheral'!L23</f>
        <v>7.0700999999999992</v>
      </c>
      <c r="E57">
        <f ca="1">'BLE - Peripheral'!M23</f>
        <v>7909.3208699999996</v>
      </c>
      <c r="L57">
        <f ca="1">L56</f>
        <v>2764.5</v>
      </c>
      <c r="M57">
        <f ca="1">M58</f>
        <v>3.6073666666666671</v>
      </c>
      <c r="N57">
        <f ca="1">N56</f>
        <v>13277.116594444444</v>
      </c>
    </row>
    <row r="58" spans="1:14" x14ac:dyDescent="0.4">
      <c r="A58">
        <f>'BLE - Peripheral'!I24</f>
        <v>6</v>
      </c>
      <c r="B58" t="str">
        <f ca="1">'BLE - Peripheral'!J24</f>
        <v>TX to TX transition</v>
      </c>
      <c r="C58">
        <f ca="1">'BLE - Peripheral'!K24</f>
        <v>570</v>
      </c>
      <c r="D58">
        <f ca="1">'BLE - Peripheral'!L24</f>
        <v>3.6073666666666671</v>
      </c>
      <c r="E58">
        <f ca="1">'BLE - Peripheral'!M24</f>
        <v>2056.1990000000001</v>
      </c>
      <c r="K58" t="str">
        <f ca="1">B56</f>
        <v>TX to TX transition</v>
      </c>
      <c r="L58">
        <f ca="1">C56+L56</f>
        <v>3334.5</v>
      </c>
      <c r="M58">
        <f ca="1">D56</f>
        <v>3.6073666666666671</v>
      </c>
      <c r="N58">
        <f ca="1">E56+N56</f>
        <v>15333.315594444444</v>
      </c>
    </row>
    <row r="59" spans="1:14" x14ac:dyDescent="0.4">
      <c r="A59">
        <f>'BLE - Peripheral'!I25</f>
        <v>7</v>
      </c>
      <c r="B59" t="str">
        <f ca="1">'BLE - Peripheral'!J25</f>
        <v>Transmit (TX)</v>
      </c>
      <c r="C59">
        <f ca="1">'BLE - Peripheral'!K25</f>
        <v>1118.7</v>
      </c>
      <c r="D59">
        <f ca="1">'BLE - Peripheral'!L25</f>
        <v>7.0700999999999992</v>
      </c>
      <c r="E59">
        <f ca="1">'BLE - Peripheral'!M25</f>
        <v>7909.3208699999996</v>
      </c>
      <c r="L59">
        <f ca="1">L58</f>
        <v>3334.5</v>
      </c>
      <c r="M59">
        <f ca="1">M60</f>
        <v>7.0700999999999992</v>
      </c>
      <c r="N59">
        <f ca="1">N58</f>
        <v>15333.315594444444</v>
      </c>
    </row>
    <row r="60" spans="1:14" x14ac:dyDescent="0.4">
      <c r="A60">
        <f>'BLE - Peripheral'!I26</f>
        <v>8</v>
      </c>
      <c r="B60" t="str">
        <f ca="1">'BLE - Peripheral'!J26</f>
        <v>TX to TX transition</v>
      </c>
      <c r="C60">
        <f ca="1">'BLE - Peripheral'!K26</f>
        <v>570</v>
      </c>
      <c r="D60">
        <f ca="1">'BLE - Peripheral'!L26</f>
        <v>3.6073666666666671</v>
      </c>
      <c r="E60">
        <f ca="1">'BLE - Peripheral'!M26</f>
        <v>2056.1990000000001</v>
      </c>
      <c r="K60" t="str">
        <f ca="1">B57</f>
        <v>Transmit (TX)</v>
      </c>
      <c r="L60">
        <f ca="1">C57+L58</f>
        <v>4453.2</v>
      </c>
      <c r="M60">
        <f ca="1">D57</f>
        <v>7.0700999999999992</v>
      </c>
      <c r="N60">
        <f ca="1">E57+N58</f>
        <v>23242.636464444444</v>
      </c>
    </row>
    <row r="61" spans="1:14" x14ac:dyDescent="0.4">
      <c r="A61">
        <f>'BLE - Peripheral'!I27</f>
        <v>9</v>
      </c>
      <c r="B61" t="str">
        <f ca="1">'BLE - Peripheral'!J27</f>
        <v>Transmit (TX) – on secondary channel</v>
      </c>
      <c r="C61">
        <f ca="1">'BLE - Peripheral'!K27</f>
        <v>1653.2199999999998</v>
      </c>
      <c r="D61">
        <f ca="1">'BLE - Peripheral'!L27</f>
        <v>7.0700999999999992</v>
      </c>
      <c r="E61">
        <f ca="1">'BLE - Peripheral'!M27</f>
        <v>11688.430721999997</v>
      </c>
      <c r="L61">
        <f ca="1">L60</f>
        <v>4453.2</v>
      </c>
      <c r="M61">
        <f ca="1">M62</f>
        <v>3.6073666666666671</v>
      </c>
      <c r="N61">
        <f ca="1">N60</f>
        <v>23242.636464444444</v>
      </c>
    </row>
    <row r="62" spans="1:14" x14ac:dyDescent="0.4">
      <c r="A62">
        <f>'BLE - Peripheral'!I28</f>
        <v>10</v>
      </c>
      <c r="B62" t="str">
        <f ca="1">'BLE - Peripheral'!J28</f>
        <v>TX to RX transition</v>
      </c>
      <c r="C62">
        <f ca="1">'BLE - Peripheral'!K28</f>
        <v>145.56</v>
      </c>
      <c r="D62">
        <f ca="1">'BLE - Peripheral'!L28</f>
        <v>5.8626666666666667</v>
      </c>
      <c r="E62">
        <f ca="1">'BLE - Peripheral'!M28</f>
        <v>853.36976000000004</v>
      </c>
      <c r="K62" t="str">
        <f ca="1">B58</f>
        <v>TX to TX transition</v>
      </c>
      <c r="L62">
        <f ca="1">C58+L60</f>
        <v>5023.2</v>
      </c>
      <c r="M62">
        <f ca="1">D58</f>
        <v>3.6073666666666671</v>
      </c>
      <c r="N62">
        <f ca="1">E58+N60</f>
        <v>25298.835464444444</v>
      </c>
    </row>
    <row r="63" spans="1:14" x14ac:dyDescent="0.4">
      <c r="A63">
        <f>'BLE - Peripheral'!I29</f>
        <v>11</v>
      </c>
      <c r="B63" t="str">
        <f ca="1">'BLE - Peripheral'!J29</f>
        <v>Receive (RX) – on secondary channel</v>
      </c>
      <c r="C63">
        <f ca="1">'BLE - Peripheral'!K29</f>
        <v>456.78</v>
      </c>
      <c r="D63">
        <f ca="1">'BLE - Peripheral'!L29</f>
        <v>6.7313444444444439</v>
      </c>
      <c r="E63">
        <f ca="1">'BLE - Peripheral'!M29</f>
        <v>3074.7435153333331</v>
      </c>
      <c r="L63">
        <f ca="1">L62</f>
        <v>5023.2</v>
      </c>
      <c r="M63">
        <f ca="1">M64</f>
        <v>7.0700999999999992</v>
      </c>
      <c r="N63">
        <f ca="1">N62</f>
        <v>25298.835464444444</v>
      </c>
    </row>
    <row r="64" spans="1:14" x14ac:dyDescent="0.4">
      <c r="A64">
        <f>'BLE - Peripheral'!I30</f>
        <v>12</v>
      </c>
      <c r="B64" t="str">
        <f ca="1">'BLE - Peripheral'!J30</f>
        <v>Post-Processing</v>
      </c>
      <c r="C64">
        <f ca="1">'BLE - Peripheral'!K30</f>
        <v>887.44</v>
      </c>
      <c r="D64">
        <f ca="1">'BLE - Peripheral'!L30</f>
        <v>2.8241111111111112</v>
      </c>
      <c r="E64">
        <f ca="1">'BLE - Peripheral'!M30</f>
        <v>2506.2291644444449</v>
      </c>
      <c r="K64" t="str">
        <f ca="1">B59</f>
        <v>Transmit (TX)</v>
      </c>
      <c r="L64">
        <f ca="1">C59+L62</f>
        <v>6141.9</v>
      </c>
      <c r="M64">
        <f ca="1">D59</f>
        <v>7.0700999999999992</v>
      </c>
      <c r="N64">
        <f ca="1">E59+N62</f>
        <v>33208.156334444444</v>
      </c>
    </row>
    <row r="65" spans="1:14" x14ac:dyDescent="0.4">
      <c r="A65">
        <f>'BLE - Peripheral'!I31</f>
        <v>13</v>
      </c>
      <c r="B65" t="str">
        <f ca="1">'BLE - Peripheral'!J31</f>
        <v/>
      </c>
      <c r="C65">
        <f ca="1">'BLE - Peripheral'!K31</f>
        <v>0</v>
      </c>
      <c r="D65">
        <f ca="1">'BLE - Peripheral'!L31</f>
        <v>0</v>
      </c>
      <c r="E65">
        <f ca="1">'BLE - Peripheral'!M31</f>
        <v>0</v>
      </c>
      <c r="L65">
        <f ca="1">L64</f>
        <v>6141.9</v>
      </c>
      <c r="M65">
        <f ca="1">M66</f>
        <v>3.6073666666666671</v>
      </c>
      <c r="N65">
        <f ca="1">N64</f>
        <v>33208.156334444444</v>
      </c>
    </row>
    <row r="66" spans="1:14" x14ac:dyDescent="0.4">
      <c r="A66">
        <f>'BLE - Peripheral'!I32</f>
        <v>14</v>
      </c>
      <c r="B66" t="str">
        <f ca="1">'BLE - Peripheral'!J32</f>
        <v/>
      </c>
      <c r="C66">
        <f ca="1">'BLE - Peripheral'!K32</f>
        <v>0</v>
      </c>
      <c r="D66" s="153">
        <f ca="1">'BLE - Peripheral'!L32</f>
        <v>0</v>
      </c>
      <c r="E66">
        <f ca="1">'BLE - Peripheral'!M32</f>
        <v>0</v>
      </c>
      <c r="K66" t="str">
        <f ca="1">B60</f>
        <v>TX to TX transition</v>
      </c>
      <c r="L66">
        <f ca="1">C60+L64</f>
        <v>6711.9</v>
      </c>
      <c r="M66">
        <f ca="1">D60</f>
        <v>3.6073666666666671</v>
      </c>
      <c r="N66">
        <f ca="1">E60+N64</f>
        <v>35264.355334444444</v>
      </c>
    </row>
    <row r="67" spans="1:14" x14ac:dyDescent="0.4">
      <c r="A67">
        <f>'BLE - Peripheral'!I33</f>
        <v>15</v>
      </c>
      <c r="B67" t="str">
        <f ca="1">'BLE - Peripheral'!J33</f>
        <v/>
      </c>
      <c r="C67">
        <f ca="1">'BLE - Peripheral'!K33</f>
        <v>0</v>
      </c>
      <c r="D67" s="153">
        <f ca="1">'BLE - Peripheral'!L33</f>
        <v>0</v>
      </c>
      <c r="E67">
        <f ca="1">'BLE - Peripheral'!M33</f>
        <v>0</v>
      </c>
      <c r="L67">
        <f ca="1">L66</f>
        <v>6711.9</v>
      </c>
      <c r="M67">
        <f ca="1">M68</f>
        <v>7.0700999999999992</v>
      </c>
      <c r="N67">
        <f ca="1">N66</f>
        <v>35264.355334444444</v>
      </c>
    </row>
    <row r="68" spans="1:14" x14ac:dyDescent="0.4">
      <c r="A68">
        <f>'BLE - Peripheral'!I34</f>
        <v>16</v>
      </c>
      <c r="B68" t="str">
        <f ca="1">'BLE - Peripheral'!J34</f>
        <v/>
      </c>
      <c r="C68">
        <f ca="1">'BLE - Peripheral'!K34</f>
        <v>0</v>
      </c>
      <c r="D68" s="153">
        <f ca="1">'BLE - Peripheral'!L34</f>
        <v>0</v>
      </c>
      <c r="E68">
        <f ca="1">'BLE - Peripheral'!M34</f>
        <v>0</v>
      </c>
      <c r="K68" t="str">
        <f ca="1">B61</f>
        <v>Transmit (TX) – on secondary channel</v>
      </c>
      <c r="L68">
        <f ca="1">C61+L66</f>
        <v>8365.119999999999</v>
      </c>
      <c r="M68">
        <f ca="1">D61</f>
        <v>7.0700999999999992</v>
      </c>
      <c r="N68">
        <f ca="1">E61+N66</f>
        <v>46952.786056444442</v>
      </c>
    </row>
    <row r="69" spans="1:14" x14ac:dyDescent="0.4">
      <c r="A69">
        <v>17</v>
      </c>
      <c r="C69">
        <v>200</v>
      </c>
      <c r="D69">
        <v>0</v>
      </c>
      <c r="E69">
        <v>0</v>
      </c>
      <c r="L69">
        <f ca="1">L68</f>
        <v>8365.119999999999</v>
      </c>
      <c r="M69">
        <f ca="1">M70</f>
        <v>5.8626666666666667</v>
      </c>
      <c r="N69">
        <f ca="1">N68</f>
        <v>46952.786056444442</v>
      </c>
    </row>
    <row r="70" spans="1:14" x14ac:dyDescent="0.4">
      <c r="D70" s="153"/>
      <c r="K70" t="str">
        <f ca="1">B62</f>
        <v>TX to RX transition</v>
      </c>
      <c r="L70">
        <f ca="1">C62+L68</f>
        <v>8510.6799999999985</v>
      </c>
      <c r="M70">
        <f ca="1">D62</f>
        <v>5.8626666666666667</v>
      </c>
      <c r="N70">
        <f ca="1">E62+N68</f>
        <v>47806.155816444443</v>
      </c>
    </row>
    <row r="71" spans="1:14" x14ac:dyDescent="0.4">
      <c r="L71">
        <f ca="1">L70</f>
        <v>8510.6799999999985</v>
      </c>
      <c r="M71">
        <f ca="1">M72</f>
        <v>6.7313444444444439</v>
      </c>
      <c r="N71">
        <f ca="1">N70</f>
        <v>47806.155816444443</v>
      </c>
    </row>
    <row r="72" spans="1:14" x14ac:dyDescent="0.4">
      <c r="K72" t="str">
        <f ca="1">B63</f>
        <v>Receive (RX) – on secondary channel</v>
      </c>
      <c r="L72">
        <f ca="1">C63+L70</f>
        <v>8967.4599999999991</v>
      </c>
      <c r="M72">
        <f ca="1">D63</f>
        <v>6.7313444444444439</v>
      </c>
      <c r="N72">
        <f ca="1">E63+N70</f>
        <v>50880.899331777779</v>
      </c>
    </row>
    <row r="73" spans="1:14" x14ac:dyDescent="0.4">
      <c r="L73">
        <f ca="1">L72</f>
        <v>8967.4599999999991</v>
      </c>
      <c r="M73">
        <f ca="1">M74</f>
        <v>2.8241111111111112</v>
      </c>
      <c r="N73">
        <f ca="1">N72</f>
        <v>50880.899331777779</v>
      </c>
    </row>
    <row r="74" spans="1:14" x14ac:dyDescent="0.4">
      <c r="K74" t="str">
        <f ca="1">B64</f>
        <v>Post-Processing</v>
      </c>
      <c r="L74">
        <f ca="1">C64+L72</f>
        <v>9854.9</v>
      </c>
      <c r="M74">
        <f ca="1">D64</f>
        <v>2.8241111111111112</v>
      </c>
      <c r="N74">
        <f ca="1">E64+N72</f>
        <v>53387.128496222227</v>
      </c>
    </row>
    <row r="75" spans="1:14" x14ac:dyDescent="0.4">
      <c r="L75">
        <f ca="1">L74</f>
        <v>9854.9</v>
      </c>
      <c r="M75">
        <f ca="1">M76</f>
        <v>0</v>
      </c>
      <c r="N75">
        <f ca="1">N74</f>
        <v>53387.128496222227</v>
      </c>
    </row>
    <row r="76" spans="1:14" x14ac:dyDescent="0.4">
      <c r="K76" t="str">
        <f ca="1">B65</f>
        <v/>
      </c>
      <c r="L76">
        <f ca="1">C65+L74</f>
        <v>9854.9</v>
      </c>
      <c r="M76">
        <f ca="1">D65</f>
        <v>0</v>
      </c>
      <c r="N76">
        <f ca="1">E65+N74</f>
        <v>53387.128496222227</v>
      </c>
    </row>
    <row r="77" spans="1:14" x14ac:dyDescent="0.4">
      <c r="L77">
        <f ca="1">L76</f>
        <v>9854.9</v>
      </c>
      <c r="M77">
        <f ca="1">M78</f>
        <v>0</v>
      </c>
      <c r="N77">
        <f ca="1">N76</f>
        <v>53387.128496222227</v>
      </c>
    </row>
    <row r="78" spans="1:14" x14ac:dyDescent="0.4">
      <c r="K78" t="str">
        <f ca="1">B66</f>
        <v/>
      </c>
      <c r="L78">
        <f ca="1">C66+L76</f>
        <v>9854.9</v>
      </c>
      <c r="M78">
        <f ca="1">D66</f>
        <v>0</v>
      </c>
      <c r="N78">
        <f ca="1">E66+N76</f>
        <v>53387.128496222227</v>
      </c>
    </row>
    <row r="79" spans="1:14" x14ac:dyDescent="0.4">
      <c r="L79">
        <f ca="1">L78</f>
        <v>9854.9</v>
      </c>
      <c r="M79">
        <f ca="1">M80</f>
        <v>0</v>
      </c>
      <c r="N79">
        <f ca="1">N78</f>
        <v>53387.128496222227</v>
      </c>
    </row>
    <row r="80" spans="1:14" x14ac:dyDescent="0.4">
      <c r="K80" t="str">
        <f ca="1">B67</f>
        <v/>
      </c>
      <c r="L80">
        <f ca="1">C67+L78</f>
        <v>9854.9</v>
      </c>
      <c r="M80">
        <f ca="1">D67</f>
        <v>0</v>
      </c>
      <c r="N80">
        <f ca="1">E67+N78</f>
        <v>53387.128496222227</v>
      </c>
    </row>
    <row r="81" spans="1:14" x14ac:dyDescent="0.4">
      <c r="L81">
        <f ca="1">L80</f>
        <v>9854.9</v>
      </c>
      <c r="M81">
        <f ca="1">M82</f>
        <v>0</v>
      </c>
      <c r="N81">
        <f ca="1">N80</f>
        <v>53387.128496222227</v>
      </c>
    </row>
    <row r="82" spans="1:14" x14ac:dyDescent="0.4">
      <c r="K82" t="str">
        <f ca="1">B68</f>
        <v/>
      </c>
      <c r="L82">
        <f ca="1">C69+L80</f>
        <v>10054.9</v>
      </c>
      <c r="M82">
        <f ca="1">D68</f>
        <v>0</v>
      </c>
      <c r="N82">
        <f ca="1">E68+N80</f>
        <v>53387.128496222227</v>
      </c>
    </row>
    <row r="83" spans="1:14" x14ac:dyDescent="0.4">
      <c r="L83">
        <f ca="1">L82</f>
        <v>10054.9</v>
      </c>
      <c r="M83">
        <f>M88</f>
        <v>0</v>
      </c>
      <c r="N83">
        <f ca="1">N82</f>
        <v>53387.128496222227</v>
      </c>
    </row>
    <row r="84" spans="1:14" x14ac:dyDescent="0.4">
      <c r="K84" t="str">
        <f>IF(B69="","",B69)</f>
        <v/>
      </c>
      <c r="L84">
        <f ca="1">C69+L82</f>
        <v>10254.9</v>
      </c>
      <c r="M84">
        <f>D69</f>
        <v>0</v>
      </c>
      <c r="N84">
        <f ca="1">E69+N82</f>
        <v>53387.128496222227</v>
      </c>
    </row>
    <row r="85" spans="1:14" x14ac:dyDescent="0.4">
      <c r="L85">
        <f ca="1">L84</f>
        <v>10254.9</v>
      </c>
      <c r="M85">
        <f>M86</f>
        <v>0</v>
      </c>
      <c r="N85">
        <f ca="1">N84+E75</f>
        <v>53387.128496222227</v>
      </c>
    </row>
    <row r="89" spans="1:14" x14ac:dyDescent="0.4">
      <c r="B89" t="s">
        <v>113</v>
      </c>
    </row>
    <row r="90" spans="1:14" x14ac:dyDescent="0.4">
      <c r="M90" t="s">
        <v>75</v>
      </c>
      <c r="N90" t="s">
        <v>76</v>
      </c>
    </row>
    <row r="91" spans="1:14" x14ac:dyDescent="0.4">
      <c r="L91" t="str">
        <f>C95</f>
        <v>Time
[µs]</v>
      </c>
      <c r="M91" t="str">
        <f>D95</f>
        <v>Avg Current [mA]</v>
      </c>
      <c r="N91" t="str">
        <f>E95</f>
        <v>Energy [pAh]</v>
      </c>
    </row>
    <row r="92" spans="1:14" x14ac:dyDescent="0.4">
      <c r="L92">
        <v>-200</v>
      </c>
      <c r="M92">
        <v>0</v>
      </c>
      <c r="N92">
        <v>0</v>
      </c>
    </row>
    <row r="93" spans="1:14" x14ac:dyDescent="0.4">
      <c r="L93">
        <v>0</v>
      </c>
      <c r="M93">
        <v>0</v>
      </c>
      <c r="N93">
        <v>0</v>
      </c>
    </row>
    <row r="94" spans="1:14" x14ac:dyDescent="0.4">
      <c r="L94">
        <v>0</v>
      </c>
      <c r="M94">
        <f ca="1">M95</f>
        <v>3.1012666666666662</v>
      </c>
      <c r="N94">
        <v>0</v>
      </c>
    </row>
    <row r="95" spans="1:14" x14ac:dyDescent="0.4">
      <c r="C95" t="s">
        <v>24</v>
      </c>
      <c r="D95" t="s">
        <v>62</v>
      </c>
      <c r="E95" t="s">
        <v>74</v>
      </c>
      <c r="K95" t="str">
        <f ca="1">B96</f>
        <v>Wake Up &amp; Pre-processing</v>
      </c>
      <c r="L95">
        <f ca="1">C96</f>
        <v>1283.8888888888889</v>
      </c>
      <c r="M95">
        <f ca="1">D96</f>
        <v>3.1012666666666662</v>
      </c>
      <c r="N95">
        <f ca="1">E96</f>
        <v>3981.6818148148141</v>
      </c>
    </row>
    <row r="96" spans="1:14" x14ac:dyDescent="0.4">
      <c r="A96">
        <f>'BLE - Peripheral'!P19</f>
        <v>1</v>
      </c>
      <c r="B96" t="str">
        <f ca="1">'BLE - Peripheral'!Q19</f>
        <v>Wake Up &amp; Pre-processing</v>
      </c>
      <c r="C96">
        <f ca="1">'BLE - Peripheral'!R19</f>
        <v>1283.8888888888889</v>
      </c>
      <c r="D96">
        <f ca="1">'BLE - Peripheral'!S19</f>
        <v>3.1012666666666662</v>
      </c>
      <c r="E96">
        <f ca="1">'BLE - Peripheral'!T19</f>
        <v>3981.6818148148141</v>
      </c>
      <c r="L96">
        <f ca="1">L95</f>
        <v>1283.8888888888889</v>
      </c>
      <c r="M96">
        <f ca="1">M97</f>
        <v>3.5755222222222218</v>
      </c>
      <c r="N96">
        <f ca="1">N95</f>
        <v>3981.6818148148141</v>
      </c>
    </row>
    <row r="97" spans="1:14" x14ac:dyDescent="0.4">
      <c r="A97">
        <f>'BLE - Peripheral'!P20</f>
        <v>2</v>
      </c>
      <c r="B97" t="str">
        <f ca="1">'BLE - Peripheral'!Q20</f>
        <v xml:space="preserve">Preparation for Recieve </v>
      </c>
      <c r="C97">
        <f ca="1">'BLE - Peripheral'!R20</f>
        <v>394.22222222222223</v>
      </c>
      <c r="D97">
        <f ca="1">'BLE - Peripheral'!S20</f>
        <v>3.5755222222222218</v>
      </c>
      <c r="E97">
        <f ca="1">'BLE - Peripheral'!T20</f>
        <v>1409.5503160493827</v>
      </c>
      <c r="K97" t="str">
        <f ca="1">B97</f>
        <v xml:space="preserve">Preparation for Recieve </v>
      </c>
      <c r="L97">
        <f ca="1">C97+L95</f>
        <v>1678.1111111111111</v>
      </c>
      <c r="M97">
        <f ca="1">D97</f>
        <v>3.5755222222222218</v>
      </c>
      <c r="N97">
        <f ca="1">E97+N95</f>
        <v>5391.2321308641967</v>
      </c>
    </row>
    <row r="98" spans="1:14" x14ac:dyDescent="0.4">
      <c r="A98">
        <f>'BLE - Peripheral'!P21</f>
        <v>3</v>
      </c>
      <c r="B98" t="str">
        <f ca="1">'BLE - Peripheral'!Q21</f>
        <v>Recieve (RX)</v>
      </c>
      <c r="C98">
        <f ca="1">'BLE - Peripheral'!R21</f>
        <v>461.33333333333331</v>
      </c>
      <c r="D98">
        <f ca="1">'BLE - Peripheral'!S21</f>
        <v>6.6891000000000007</v>
      </c>
      <c r="E98">
        <f ca="1">'BLE - Peripheral'!T21</f>
        <v>3085.9048000000003</v>
      </c>
      <c r="L98">
        <f ca="1">L97</f>
        <v>1678.1111111111111</v>
      </c>
      <c r="M98">
        <f ca="1">M99</f>
        <v>6.6891000000000007</v>
      </c>
      <c r="N98">
        <f ca="1">N97</f>
        <v>5391.2321308641967</v>
      </c>
    </row>
    <row r="99" spans="1:14" x14ac:dyDescent="0.4">
      <c r="A99">
        <f>'BLE - Peripheral'!P22</f>
        <v>4</v>
      </c>
      <c r="B99" t="str">
        <f ca="1">'BLE - Peripheral'!Q22</f>
        <v>RX to TX transition</v>
      </c>
      <c r="C99">
        <f ca="1">'BLE - Peripheral'!R22</f>
        <v>109.22222222222223</v>
      </c>
      <c r="D99">
        <f ca="1">'BLE - Peripheral'!S22</f>
        <v>5.2093222222222222</v>
      </c>
      <c r="E99">
        <f ca="1">'BLE - Peripheral'!T22</f>
        <v>568.97374938271605</v>
      </c>
      <c r="K99" t="str">
        <f ca="1">B98</f>
        <v>Recieve (RX)</v>
      </c>
      <c r="L99">
        <f ca="1">C98+L97</f>
        <v>2139.4444444444443</v>
      </c>
      <c r="M99">
        <f ca="1">D98</f>
        <v>6.6891000000000007</v>
      </c>
      <c r="N99">
        <f ca="1">E98+N97</f>
        <v>8477.136930864197</v>
      </c>
    </row>
    <row r="100" spans="1:14" x14ac:dyDescent="0.4">
      <c r="A100">
        <f>'BLE - Peripheral'!P23</f>
        <v>5</v>
      </c>
      <c r="B100" t="str">
        <f ca="1">'BLE - Peripheral'!Q23</f>
        <v>Transmit (TX)</v>
      </c>
      <c r="C100">
        <f ca="1">'BLE - Peripheral'!R23</f>
        <v>84.39</v>
      </c>
      <c r="D100">
        <f ca="1">'BLE - Peripheral'!S23</f>
        <v>7.3402000000000003</v>
      </c>
      <c r="E100">
        <f ca="1">'BLE - Peripheral'!T23</f>
        <v>619.43947800000001</v>
      </c>
      <c r="L100">
        <f ca="1">L99</f>
        <v>2139.4444444444443</v>
      </c>
      <c r="M100">
        <f ca="1">M101</f>
        <v>5.2093222222222222</v>
      </c>
      <c r="N100">
        <f ca="1">N99</f>
        <v>8477.136930864197</v>
      </c>
    </row>
    <row r="101" spans="1:14" x14ac:dyDescent="0.4">
      <c r="A101">
        <f>'BLE - Peripheral'!P24</f>
        <v>6</v>
      </c>
      <c r="B101" t="str">
        <f ca="1">'BLE - Peripheral'!Q24</f>
        <v>Post-Processing</v>
      </c>
      <c r="C101">
        <f ca="1">'BLE - Peripheral'!R24</f>
        <v>853.44444444444446</v>
      </c>
      <c r="D101">
        <f ca="1">'BLE - Peripheral'!S24</f>
        <v>2.6242222222222225</v>
      </c>
      <c r="E101">
        <f ca="1">'BLE - Peripheral'!T24</f>
        <v>2239.6278765432103</v>
      </c>
      <c r="K101" t="str">
        <f ca="1">B99</f>
        <v>RX to TX transition</v>
      </c>
      <c r="L101">
        <f ca="1">C99+L99</f>
        <v>2248.6666666666665</v>
      </c>
      <c r="M101">
        <f ca="1">D99</f>
        <v>5.2093222222222222</v>
      </c>
      <c r="N101">
        <f ca="1">E99+N99</f>
        <v>9046.110680246913</v>
      </c>
    </row>
    <row r="102" spans="1:14" x14ac:dyDescent="0.4">
      <c r="A102">
        <f>'BLE - Peripheral'!P25</f>
        <v>7</v>
      </c>
      <c r="B102" t="str">
        <f ca="1">'BLE - Peripheral'!Q25</f>
        <v/>
      </c>
      <c r="C102">
        <f ca="1">'BLE - Peripheral'!R25</f>
        <v>0</v>
      </c>
      <c r="D102">
        <f ca="1">'BLE - Peripheral'!S25</f>
        <v>0</v>
      </c>
      <c r="E102">
        <f ca="1">'BLE - Peripheral'!T25</f>
        <v>0</v>
      </c>
      <c r="L102">
        <f ca="1">L101</f>
        <v>2248.6666666666665</v>
      </c>
      <c r="M102">
        <f ca="1">M103</f>
        <v>7.3402000000000003</v>
      </c>
      <c r="N102">
        <f ca="1">N101</f>
        <v>9046.110680246913</v>
      </c>
    </row>
    <row r="103" spans="1:14" x14ac:dyDescent="0.4">
      <c r="A103">
        <f>'BLE - Peripheral'!P26</f>
        <v>8</v>
      </c>
      <c r="B103" t="str">
        <f ca="1">'BLE - Peripheral'!Q26</f>
        <v/>
      </c>
      <c r="C103">
        <f ca="1">'BLE - Peripheral'!R26</f>
        <v>0</v>
      </c>
      <c r="D103">
        <f ca="1">'BLE - Peripheral'!S26</f>
        <v>0</v>
      </c>
      <c r="E103">
        <f ca="1">'BLE - Peripheral'!T26</f>
        <v>0</v>
      </c>
      <c r="K103" t="str">
        <f ca="1">B100</f>
        <v>Transmit (TX)</v>
      </c>
      <c r="L103">
        <f ca="1">C100+L101</f>
        <v>2333.0566666666664</v>
      </c>
      <c r="M103">
        <f ca="1">D100</f>
        <v>7.3402000000000003</v>
      </c>
      <c r="N103">
        <f ca="1">E100+N101</f>
        <v>9665.5501582469133</v>
      </c>
    </row>
    <row r="104" spans="1:14" x14ac:dyDescent="0.4">
      <c r="A104">
        <f>'BLE - Peripheral'!P27</f>
        <v>9</v>
      </c>
      <c r="B104" t="str">
        <f ca="1">'BLE - Peripheral'!Q27</f>
        <v/>
      </c>
      <c r="C104">
        <f ca="1">'BLE - Peripheral'!R27</f>
        <v>0</v>
      </c>
      <c r="D104">
        <f ca="1">'BLE - Peripheral'!S27</f>
        <v>0</v>
      </c>
      <c r="E104">
        <f ca="1">'BLE - Peripheral'!T27</f>
        <v>0</v>
      </c>
      <c r="L104">
        <f ca="1">L103</f>
        <v>2333.0566666666664</v>
      </c>
      <c r="M104">
        <f ca="1">M105</f>
        <v>2.6242222222222225</v>
      </c>
      <c r="N104">
        <f ca="1">N103</f>
        <v>9665.5501582469133</v>
      </c>
    </row>
    <row r="105" spans="1:14" x14ac:dyDescent="0.4">
      <c r="A105">
        <f>'BLE - Peripheral'!P28</f>
        <v>10</v>
      </c>
      <c r="B105" t="str">
        <f ca="1">'BLE - Peripheral'!Q28</f>
        <v/>
      </c>
      <c r="C105">
        <f ca="1">'BLE - Peripheral'!R28</f>
        <v>0</v>
      </c>
      <c r="D105">
        <f ca="1">'BLE - Peripheral'!S28</f>
        <v>0</v>
      </c>
      <c r="E105">
        <f ca="1">'BLE - Peripheral'!T28</f>
        <v>0</v>
      </c>
      <c r="K105" t="str">
        <f ca="1">B101</f>
        <v>Post-Processing</v>
      </c>
      <c r="L105">
        <f ca="1">C101+L103</f>
        <v>3186.5011111111107</v>
      </c>
      <c r="M105">
        <f ca="1">D101</f>
        <v>2.6242222222222225</v>
      </c>
      <c r="N105">
        <f ca="1">E101+N103</f>
        <v>11905.178034790124</v>
      </c>
    </row>
    <row r="106" spans="1:14" x14ac:dyDescent="0.4">
      <c r="A106">
        <f>'BLE - Peripheral'!P29</f>
        <v>11</v>
      </c>
      <c r="B106" t="str">
        <f ca="1">'BLE - Peripheral'!Q29</f>
        <v/>
      </c>
      <c r="C106">
        <f ca="1">'BLE - Peripheral'!R29</f>
        <v>0</v>
      </c>
      <c r="D106">
        <f ca="1">'BLE - Peripheral'!S29</f>
        <v>0</v>
      </c>
      <c r="E106">
        <f ca="1">'BLE - Peripheral'!T29</f>
        <v>0</v>
      </c>
      <c r="L106">
        <f ca="1">L105</f>
        <v>3186.5011111111107</v>
      </c>
      <c r="M106">
        <f ca="1">M107</f>
        <v>0</v>
      </c>
      <c r="N106">
        <f ca="1">N105</f>
        <v>11905.178034790124</v>
      </c>
    </row>
    <row r="107" spans="1:14" x14ac:dyDescent="0.4">
      <c r="A107">
        <f>'BLE - Peripheral'!P30</f>
        <v>12</v>
      </c>
      <c r="B107" t="str">
        <f ca="1">'BLE - Peripheral'!Q30</f>
        <v/>
      </c>
      <c r="C107">
        <f ca="1">'BLE - Peripheral'!R30</f>
        <v>0</v>
      </c>
      <c r="D107">
        <f ca="1">'BLE - Peripheral'!S30</f>
        <v>0</v>
      </c>
      <c r="E107">
        <f ca="1">'BLE - Peripheral'!T30</f>
        <v>0</v>
      </c>
      <c r="K107" t="str">
        <f ca="1">B102</f>
        <v/>
      </c>
      <c r="L107">
        <f ca="1">C102+L105</f>
        <v>3186.5011111111107</v>
      </c>
      <c r="M107">
        <f ca="1">D102</f>
        <v>0</v>
      </c>
      <c r="N107">
        <f ca="1">E102+N105</f>
        <v>11905.178034790124</v>
      </c>
    </row>
    <row r="108" spans="1:14" x14ac:dyDescent="0.4">
      <c r="A108">
        <f>'BLE - Peripheral'!P31</f>
        <v>13</v>
      </c>
      <c r="B108" t="str">
        <f ca="1">'BLE - Peripheral'!Q31</f>
        <v/>
      </c>
      <c r="C108">
        <f ca="1">'BLE - Peripheral'!R31</f>
        <v>0</v>
      </c>
      <c r="D108">
        <f ca="1">'BLE - Peripheral'!S31</f>
        <v>0</v>
      </c>
      <c r="E108">
        <f ca="1">'BLE - Peripheral'!T31</f>
        <v>0</v>
      </c>
      <c r="L108">
        <f ca="1">L107</f>
        <v>3186.5011111111107</v>
      </c>
      <c r="M108">
        <f ca="1">M109</f>
        <v>0</v>
      </c>
      <c r="N108">
        <f ca="1">N107</f>
        <v>11905.178034790124</v>
      </c>
    </row>
    <row r="109" spans="1:14" x14ac:dyDescent="0.4">
      <c r="A109">
        <f>'BLE - Peripheral'!P32</f>
        <v>14</v>
      </c>
      <c r="B109" t="str">
        <f ca="1">'BLE - Peripheral'!Q32</f>
        <v/>
      </c>
      <c r="C109">
        <f ca="1">'BLE - Peripheral'!R32</f>
        <v>0</v>
      </c>
      <c r="D109">
        <f ca="1">'BLE - Peripheral'!S32</f>
        <v>0</v>
      </c>
      <c r="E109">
        <f ca="1">'BLE - Peripheral'!T32</f>
        <v>0</v>
      </c>
      <c r="K109" t="str">
        <f ca="1">B103</f>
        <v/>
      </c>
      <c r="L109">
        <f ca="1">C103+L107</f>
        <v>3186.5011111111107</v>
      </c>
      <c r="M109">
        <f ca="1">D103</f>
        <v>0</v>
      </c>
      <c r="N109">
        <f ca="1">E103+N107</f>
        <v>11905.178034790124</v>
      </c>
    </row>
    <row r="110" spans="1:14" x14ac:dyDescent="0.4">
      <c r="A110">
        <f>'BLE - Peripheral'!P33</f>
        <v>15</v>
      </c>
      <c r="B110" t="str">
        <f ca="1">'BLE - Peripheral'!Q33</f>
        <v/>
      </c>
      <c r="C110">
        <f ca="1">'BLE - Peripheral'!R33</f>
        <v>0</v>
      </c>
      <c r="D110">
        <f ca="1">'BLE - Peripheral'!S33</f>
        <v>0</v>
      </c>
      <c r="E110">
        <f ca="1">'BLE - Peripheral'!T33</f>
        <v>0</v>
      </c>
      <c r="L110">
        <f ca="1">L109</f>
        <v>3186.5011111111107</v>
      </c>
      <c r="M110">
        <f ca="1">M111</f>
        <v>0</v>
      </c>
      <c r="N110">
        <f ca="1">N109</f>
        <v>11905.178034790124</v>
      </c>
    </row>
    <row r="111" spans="1:14" x14ac:dyDescent="0.4">
      <c r="A111">
        <f>'BLE - Peripheral'!P34</f>
        <v>16</v>
      </c>
      <c r="B111" t="str">
        <f ca="1">'BLE - Peripheral'!Q34</f>
        <v/>
      </c>
      <c r="C111">
        <f ca="1">'BLE - Peripheral'!R34</f>
        <v>0</v>
      </c>
      <c r="D111">
        <f ca="1">'BLE - Peripheral'!S34</f>
        <v>0</v>
      </c>
      <c r="E111">
        <f ca="1">'BLE - Peripheral'!T34</f>
        <v>0</v>
      </c>
      <c r="K111" t="str">
        <f ca="1">B104</f>
        <v/>
      </c>
      <c r="L111">
        <f ca="1">C104+L109</f>
        <v>3186.5011111111107</v>
      </c>
      <c r="M111">
        <f ca="1">D104</f>
        <v>0</v>
      </c>
      <c r="N111">
        <f ca="1">E104+N109</f>
        <v>11905.178034790124</v>
      </c>
    </row>
    <row r="112" spans="1:14" x14ac:dyDescent="0.4">
      <c r="A112">
        <v>17</v>
      </c>
      <c r="B112" t="s">
        <v>114</v>
      </c>
      <c r="C112">
        <v>200</v>
      </c>
      <c r="D112">
        <v>0</v>
      </c>
      <c r="E112">
        <v>0</v>
      </c>
      <c r="L112">
        <f ca="1">L111</f>
        <v>3186.5011111111107</v>
      </c>
      <c r="M112">
        <f ca="1">M113</f>
        <v>0</v>
      </c>
      <c r="N112">
        <f ca="1">N111</f>
        <v>11905.178034790124</v>
      </c>
    </row>
    <row r="113" spans="11:14" x14ac:dyDescent="0.4">
      <c r="K113" t="str">
        <f ca="1">B105</f>
        <v/>
      </c>
      <c r="L113">
        <f ca="1">C105+L111</f>
        <v>3186.5011111111107</v>
      </c>
      <c r="M113">
        <f ca="1">D105</f>
        <v>0</v>
      </c>
      <c r="N113">
        <f ca="1">E105+N111</f>
        <v>11905.178034790124</v>
      </c>
    </row>
    <row r="114" spans="11:14" x14ac:dyDescent="0.4">
      <c r="L114">
        <f ca="1">L113</f>
        <v>3186.5011111111107</v>
      </c>
      <c r="M114">
        <f ca="1">M115</f>
        <v>0</v>
      </c>
      <c r="N114">
        <f ca="1">N113</f>
        <v>11905.178034790124</v>
      </c>
    </row>
    <row r="115" spans="11:14" x14ac:dyDescent="0.4">
      <c r="K115" t="str">
        <f ca="1">B106</f>
        <v/>
      </c>
      <c r="L115">
        <f ca="1">C106+L113</f>
        <v>3186.5011111111107</v>
      </c>
      <c r="M115">
        <f ca="1">D106</f>
        <v>0</v>
      </c>
      <c r="N115">
        <f ca="1">E106+N113</f>
        <v>11905.178034790124</v>
      </c>
    </row>
    <row r="116" spans="11:14" x14ac:dyDescent="0.4">
      <c r="L116">
        <f ca="1">L115</f>
        <v>3186.5011111111107</v>
      </c>
      <c r="M116">
        <f ca="1">M117</f>
        <v>0</v>
      </c>
      <c r="N116">
        <f ca="1">N115</f>
        <v>11905.178034790124</v>
      </c>
    </row>
    <row r="117" spans="11:14" x14ac:dyDescent="0.4">
      <c r="K117" t="str">
        <f ca="1">B107</f>
        <v/>
      </c>
      <c r="L117">
        <f ca="1">C107+L115</f>
        <v>3186.5011111111107</v>
      </c>
      <c r="M117">
        <f ca="1">D107</f>
        <v>0</v>
      </c>
      <c r="N117">
        <f ca="1">E107+N115</f>
        <v>11905.178034790124</v>
      </c>
    </row>
    <row r="118" spans="11:14" x14ac:dyDescent="0.4">
      <c r="L118">
        <f ca="1">L117</f>
        <v>3186.5011111111107</v>
      </c>
      <c r="M118">
        <f ca="1">M119</f>
        <v>0</v>
      </c>
      <c r="N118">
        <f ca="1">N117</f>
        <v>11905.178034790124</v>
      </c>
    </row>
    <row r="119" spans="11:14" x14ac:dyDescent="0.4">
      <c r="K119" t="str">
        <f ca="1">B108</f>
        <v/>
      </c>
      <c r="L119">
        <f ca="1">C108+L117</f>
        <v>3186.5011111111107</v>
      </c>
      <c r="M119">
        <f ca="1">D108</f>
        <v>0</v>
      </c>
      <c r="N119">
        <f ca="1">E108+N117</f>
        <v>11905.178034790124</v>
      </c>
    </row>
    <row r="120" spans="11:14" x14ac:dyDescent="0.4">
      <c r="L120">
        <f ca="1">L119</f>
        <v>3186.5011111111107</v>
      </c>
      <c r="M120">
        <f ca="1">M121</f>
        <v>0</v>
      </c>
      <c r="N120">
        <f ca="1">N119</f>
        <v>11905.178034790124</v>
      </c>
    </row>
    <row r="121" spans="11:14" x14ac:dyDescent="0.4">
      <c r="K121" t="str">
        <f ca="1">B109</f>
        <v/>
      </c>
      <c r="L121">
        <f ca="1">C109+L119</f>
        <v>3186.5011111111107</v>
      </c>
      <c r="M121">
        <f ca="1">D109</f>
        <v>0</v>
      </c>
      <c r="N121">
        <f ca="1">E109+N119</f>
        <v>11905.178034790124</v>
      </c>
    </row>
    <row r="122" spans="11:14" x14ac:dyDescent="0.4">
      <c r="L122">
        <f ca="1">L121</f>
        <v>3186.5011111111107</v>
      </c>
      <c r="M122">
        <f ca="1">M123</f>
        <v>0</v>
      </c>
      <c r="N122">
        <f ca="1">N121</f>
        <v>11905.178034790124</v>
      </c>
    </row>
    <row r="123" spans="11:14" x14ac:dyDescent="0.4">
      <c r="K123" t="str">
        <f ca="1">B110</f>
        <v/>
      </c>
      <c r="L123">
        <f ca="1">C110+L121</f>
        <v>3186.5011111111107</v>
      </c>
      <c r="M123">
        <f ca="1">D110</f>
        <v>0</v>
      </c>
      <c r="N123">
        <f ca="1">E110+N121</f>
        <v>11905.178034790124</v>
      </c>
    </row>
    <row r="124" spans="11:14" x14ac:dyDescent="0.4">
      <c r="L124">
        <f ca="1">L123</f>
        <v>3186.5011111111107</v>
      </c>
      <c r="M124">
        <f ca="1">M125</f>
        <v>0</v>
      </c>
      <c r="N124">
        <f ca="1">N123</f>
        <v>11905.178034790124</v>
      </c>
    </row>
    <row r="125" spans="11:14" x14ac:dyDescent="0.4">
      <c r="K125" t="str">
        <f ca="1">B111</f>
        <v/>
      </c>
      <c r="L125">
        <f ca="1">C112+L123</f>
        <v>3386.5011111111107</v>
      </c>
      <c r="M125">
        <f ca="1">D111</f>
        <v>0</v>
      </c>
      <c r="N125">
        <f ca="1">E111+N123</f>
        <v>11905.178034790124</v>
      </c>
    </row>
    <row r="126" spans="11:14" x14ac:dyDescent="0.4">
      <c r="L126">
        <f ca="1">L125</f>
        <v>3386.5011111111107</v>
      </c>
      <c r="M126">
        <f>M131</f>
        <v>0</v>
      </c>
      <c r="N126">
        <f ca="1">N125</f>
        <v>11905.178034790124</v>
      </c>
    </row>
    <row r="127" spans="11:14" x14ac:dyDescent="0.4">
      <c r="K127" t="str">
        <f>IF(B112="","",B112)</f>
        <v/>
      </c>
      <c r="L127">
        <f ca="1">C112+L125</f>
        <v>3586.5011111111107</v>
      </c>
      <c r="M127">
        <f>D112</f>
        <v>0</v>
      </c>
      <c r="N127">
        <f ca="1">E112+N125</f>
        <v>11905.178034790124</v>
      </c>
    </row>
    <row r="128" spans="11:14" x14ac:dyDescent="0.4">
      <c r="L128">
        <f ca="1">L127</f>
        <v>3586.5011111111107</v>
      </c>
      <c r="M128">
        <f>M129</f>
        <v>0</v>
      </c>
      <c r="N128">
        <f ca="1">N127+E118</f>
        <v>11905.178034790124</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N111"/>
  <sheetViews>
    <sheetView topLeftCell="A4" zoomScale="55" zoomScaleNormal="55" workbookViewId="0">
      <selection activeCell="B56" sqref="B56"/>
    </sheetView>
  </sheetViews>
  <sheetFormatPr defaultRowHeight="12.3" x14ac:dyDescent="0.4"/>
  <cols>
    <col min="1" max="1" width="3.44140625" customWidth="1"/>
    <col min="2" max="2" width="31" customWidth="1"/>
    <col min="3" max="3" width="13.27734375" customWidth="1"/>
    <col min="4" max="4" width="15.27734375" bestFit="1" customWidth="1"/>
    <col min="5" max="5" width="12" bestFit="1" customWidth="1"/>
    <col min="11" max="11" width="15.71875" customWidth="1"/>
    <col min="13" max="13" width="23.1640625" customWidth="1"/>
    <col min="14" max="14" width="20.83203125" customWidth="1"/>
  </cols>
  <sheetData>
    <row r="3" spans="1:14" x14ac:dyDescent="0.4">
      <c r="B3" t="s">
        <v>111</v>
      </c>
    </row>
    <row r="4" spans="1:14" x14ac:dyDescent="0.4">
      <c r="M4" t="s">
        <v>75</v>
      </c>
      <c r="N4" t="s">
        <v>76</v>
      </c>
    </row>
    <row r="5" spans="1:14" x14ac:dyDescent="0.4">
      <c r="L5" t="str">
        <f>C9</f>
        <v>Time
[µs]</v>
      </c>
      <c r="M5" t="str">
        <f>D9</f>
        <v>Avg Current [mA]</v>
      </c>
      <c r="N5" t="str">
        <f>E9</f>
        <v>Energy [pAh]</v>
      </c>
    </row>
    <row r="6" spans="1:14" x14ac:dyDescent="0.4">
      <c r="L6">
        <v>-200</v>
      </c>
      <c r="M6">
        <v>0</v>
      </c>
      <c r="N6">
        <v>0</v>
      </c>
    </row>
    <row r="7" spans="1:14" x14ac:dyDescent="0.4">
      <c r="L7">
        <v>0</v>
      </c>
      <c r="M7">
        <v>0</v>
      </c>
      <c r="N7">
        <v>0</v>
      </c>
    </row>
    <row r="8" spans="1:14" x14ac:dyDescent="0.4">
      <c r="L8">
        <v>0</v>
      </c>
      <c r="M8">
        <f ca="1">M9</f>
        <v>3.1791999999999998</v>
      </c>
      <c r="N8">
        <v>0</v>
      </c>
    </row>
    <row r="9" spans="1:14" x14ac:dyDescent="0.4">
      <c r="C9" t="s">
        <v>24</v>
      </c>
      <c r="D9" t="s">
        <v>62</v>
      </c>
      <c r="E9" t="s">
        <v>74</v>
      </c>
      <c r="K9" t="str">
        <f ca="1">B10</f>
        <v>Wake Up &amp; Pre-processing</v>
      </c>
      <c r="L9">
        <f ca="1">C10</f>
        <v>1755.2</v>
      </c>
      <c r="M9">
        <f ca="1">D10</f>
        <v>3.1791999999999998</v>
      </c>
      <c r="N9">
        <f ca="1">E10</f>
        <v>5580.13184</v>
      </c>
    </row>
    <row r="10" spans="1:14" x14ac:dyDescent="0.4">
      <c r="A10">
        <f>'BLE - Central'!B19</f>
        <v>1</v>
      </c>
      <c r="B10" t="str">
        <f ca="1">'BLE - Central'!C19</f>
        <v>Wake Up &amp; Pre-processing</v>
      </c>
      <c r="C10" s="153">
        <f ca="1">'BLE - Central'!D19</f>
        <v>1755.2</v>
      </c>
      <c r="D10" s="153">
        <f ca="1">'BLE - Central'!E19</f>
        <v>3.1791999999999998</v>
      </c>
      <c r="E10" s="153">
        <f ca="1">'BLE - Central'!F19</f>
        <v>5580.13184</v>
      </c>
      <c r="L10">
        <f ca="1">L9</f>
        <v>1755.2</v>
      </c>
      <c r="M10">
        <f ca="1">M11</f>
        <v>6.4947999999999997</v>
      </c>
      <c r="N10">
        <f ca="1">N9</f>
        <v>5580.13184</v>
      </c>
    </row>
    <row r="11" spans="1:14" x14ac:dyDescent="0.4">
      <c r="A11">
        <f>'BLE - Central'!B20</f>
        <v>2</v>
      </c>
      <c r="B11" t="str">
        <f ca="1">'BLE - Central'!C20</f>
        <v>Receive (RX)</v>
      </c>
      <c r="C11" s="153">
        <f ca="1">'BLE - Central'!D20</f>
        <v>500000</v>
      </c>
      <c r="D11" s="153">
        <f ca="1">'BLE - Central'!E20</f>
        <v>6.4947999999999997</v>
      </c>
      <c r="E11" s="153">
        <f ca="1">'BLE - Central'!F20</f>
        <v>3247400</v>
      </c>
      <c r="K11" t="str">
        <f ca="1">B11</f>
        <v>Receive (RX)</v>
      </c>
      <c r="L11">
        <f ca="1">C11+L9</f>
        <v>501755.2</v>
      </c>
      <c r="M11">
        <f ca="1">D11</f>
        <v>6.4947999999999997</v>
      </c>
      <c r="N11">
        <f ca="1">E11+N9</f>
        <v>3252980.1318399999</v>
      </c>
    </row>
    <row r="12" spans="1:14" x14ac:dyDescent="0.4">
      <c r="A12">
        <f>'BLE - Central'!B21</f>
        <v>3</v>
      </c>
      <c r="B12" t="str">
        <f ca="1">'BLE - Central'!C21</f>
        <v>Post-processing</v>
      </c>
      <c r="C12" s="153">
        <f ca="1">'BLE - Central'!D21</f>
        <v>854</v>
      </c>
      <c r="D12" s="153">
        <f ca="1">'BLE - Central'!E21</f>
        <v>2.8071000000000002</v>
      </c>
      <c r="E12" s="153">
        <f ca="1">'BLE - Central'!F21</f>
        <v>2397.2634000000003</v>
      </c>
      <c r="L12">
        <f ca="1">L11</f>
        <v>501755.2</v>
      </c>
      <c r="M12">
        <f ca="1">M13</f>
        <v>2.8071000000000002</v>
      </c>
      <c r="N12">
        <f ca="1">N11</f>
        <v>3252980.1318399999</v>
      </c>
    </row>
    <row r="13" spans="1:14" x14ac:dyDescent="0.4">
      <c r="A13">
        <f>'BLE - Central'!B22</f>
        <v>4</v>
      </c>
      <c r="B13" t="str">
        <f ca="1">'BLE - Central'!C22</f>
        <v>Standby</v>
      </c>
      <c r="C13" s="153">
        <f ca="1">'BLE - Central'!D22</f>
        <v>777390.8</v>
      </c>
      <c r="D13" s="153">
        <f ca="1">'BLE - Central'!E22</f>
        <v>1.2999999999999999E-3</v>
      </c>
      <c r="E13" s="153">
        <f ca="1">'BLE - Central'!F22</f>
        <v>1010.60804</v>
      </c>
      <c r="K13" t="str">
        <f ca="1">B12</f>
        <v>Post-processing</v>
      </c>
      <c r="L13">
        <f ca="1">C12+L11</f>
        <v>502609.2</v>
      </c>
      <c r="M13">
        <f ca="1">D12</f>
        <v>2.8071000000000002</v>
      </c>
      <c r="N13">
        <f ca="1">E12+N11</f>
        <v>3255377.39524</v>
      </c>
    </row>
    <row r="14" spans="1:14" x14ac:dyDescent="0.4">
      <c r="A14">
        <f>'BLE - Central'!B23</f>
        <v>5</v>
      </c>
      <c r="B14" t="str">
        <f ca="1">'BLE - Central'!C23</f>
        <v/>
      </c>
      <c r="C14" s="153">
        <f ca="1">'BLE - Central'!D23</f>
        <v>0</v>
      </c>
      <c r="D14" s="153">
        <f ca="1">'BLE - Central'!E23</f>
        <v>0</v>
      </c>
      <c r="E14" s="153">
        <f ca="1">'BLE - Central'!F23</f>
        <v>0</v>
      </c>
      <c r="L14">
        <f ca="1">L13</f>
        <v>502609.2</v>
      </c>
      <c r="M14">
        <f ca="1">M15</f>
        <v>1.2999999999999999E-3</v>
      </c>
      <c r="N14">
        <f ca="1">N13</f>
        <v>3255377.39524</v>
      </c>
    </row>
    <row r="15" spans="1:14" x14ac:dyDescent="0.4">
      <c r="A15">
        <f>'BLE - Central'!B24</f>
        <v>6</v>
      </c>
      <c r="B15" t="str">
        <f ca="1">'BLE - Central'!C24</f>
        <v/>
      </c>
      <c r="C15" s="153">
        <f ca="1">'BLE - Central'!D24</f>
        <v>0</v>
      </c>
      <c r="D15" s="153">
        <f ca="1">'BLE - Central'!E24</f>
        <v>0</v>
      </c>
      <c r="E15" s="153">
        <f ca="1">'BLE - Central'!F24</f>
        <v>0</v>
      </c>
      <c r="K15" t="str">
        <f ca="1">B13</f>
        <v>Standby</v>
      </c>
      <c r="L15">
        <f ca="1">C13+L13</f>
        <v>1280000</v>
      </c>
      <c r="M15">
        <f ca="1">D13</f>
        <v>1.2999999999999999E-3</v>
      </c>
      <c r="N15">
        <f ca="1">E13+N13</f>
        <v>3256388.0032799998</v>
      </c>
    </row>
    <row r="16" spans="1:14" x14ac:dyDescent="0.4">
      <c r="A16">
        <f>'BLE - Central'!B25</f>
        <v>7</v>
      </c>
      <c r="B16" t="str">
        <f ca="1">'BLE - Central'!C25</f>
        <v/>
      </c>
      <c r="C16" s="153">
        <f ca="1">'BLE - Central'!D25</f>
        <v>0</v>
      </c>
      <c r="D16" s="153">
        <f ca="1">'BLE - Central'!E25</f>
        <v>0</v>
      </c>
      <c r="E16" s="153">
        <f ca="1">'BLE - Central'!F25</f>
        <v>0</v>
      </c>
      <c r="L16">
        <f ca="1">L15</f>
        <v>1280000</v>
      </c>
      <c r="M16">
        <f ca="1">M17</f>
        <v>0</v>
      </c>
      <c r="N16">
        <f ca="1">N15</f>
        <v>3256388.0032799998</v>
      </c>
    </row>
    <row r="17" spans="1:14" x14ac:dyDescent="0.4">
      <c r="A17">
        <f>'BLE - Central'!B26</f>
        <v>8</v>
      </c>
      <c r="B17" t="str">
        <f ca="1">'BLE - Central'!C26</f>
        <v/>
      </c>
      <c r="C17" s="153">
        <f ca="1">'BLE - Central'!D26</f>
        <v>0</v>
      </c>
      <c r="D17" s="153">
        <f ca="1">'BLE - Central'!E26</f>
        <v>0</v>
      </c>
      <c r="E17" s="153">
        <f ca="1">'BLE - Central'!F26</f>
        <v>0</v>
      </c>
      <c r="K17" t="str">
        <f ca="1">B14</f>
        <v/>
      </c>
      <c r="L17">
        <f ca="1">C14+L15</f>
        <v>1280000</v>
      </c>
      <c r="M17">
        <f ca="1">D14</f>
        <v>0</v>
      </c>
      <c r="N17">
        <f ca="1">E14+N15</f>
        <v>3256388.0032799998</v>
      </c>
    </row>
    <row r="18" spans="1:14" x14ac:dyDescent="0.4">
      <c r="A18">
        <f>'BLE - Central'!B27</f>
        <v>9</v>
      </c>
      <c r="B18" t="str">
        <f ca="1">'BLE - Central'!C27</f>
        <v/>
      </c>
      <c r="C18" s="153">
        <f ca="1">'BLE - Central'!D27</f>
        <v>0</v>
      </c>
      <c r="D18" s="153">
        <f ca="1">'BLE - Central'!E27</f>
        <v>0</v>
      </c>
      <c r="E18" s="153">
        <f ca="1">'BLE - Central'!F27</f>
        <v>0</v>
      </c>
      <c r="L18">
        <f ca="1">L17</f>
        <v>1280000</v>
      </c>
      <c r="M18">
        <f ca="1">M19</f>
        <v>0</v>
      </c>
      <c r="N18">
        <f ca="1">N17</f>
        <v>3256388.0032799998</v>
      </c>
    </row>
    <row r="19" spans="1:14" x14ac:dyDescent="0.4">
      <c r="A19">
        <f>'BLE - Central'!B28</f>
        <v>10</v>
      </c>
      <c r="B19" t="str">
        <f ca="1">'BLE - Central'!C28</f>
        <v/>
      </c>
      <c r="C19" s="153">
        <f ca="1">'BLE - Central'!D28</f>
        <v>0</v>
      </c>
      <c r="D19" s="153">
        <f ca="1">'BLE - Central'!E28</f>
        <v>0</v>
      </c>
      <c r="E19" s="153">
        <f ca="1">'BLE - Central'!F28</f>
        <v>0</v>
      </c>
      <c r="K19" t="str">
        <f ca="1">B15</f>
        <v/>
      </c>
      <c r="L19">
        <f ca="1">C15+L17</f>
        <v>1280000</v>
      </c>
      <c r="M19">
        <f ca="1">D15</f>
        <v>0</v>
      </c>
      <c r="N19">
        <f ca="1">E15+N17</f>
        <v>3256388.0032799998</v>
      </c>
    </row>
    <row r="20" spans="1:14" x14ac:dyDescent="0.4">
      <c r="A20">
        <f>'BLE - Central'!B29</f>
        <v>11</v>
      </c>
      <c r="B20" t="str">
        <f ca="1">'BLE - Central'!C29</f>
        <v/>
      </c>
      <c r="C20" s="153">
        <f ca="1">'BLE - Central'!D29</f>
        <v>0</v>
      </c>
      <c r="D20" s="153">
        <f ca="1">'BLE - Central'!E29</f>
        <v>0</v>
      </c>
      <c r="E20" s="153">
        <f ca="1">'BLE - Central'!F29</f>
        <v>0</v>
      </c>
      <c r="L20">
        <f ca="1">L19</f>
        <v>1280000</v>
      </c>
      <c r="M20">
        <f ca="1">M21</f>
        <v>0</v>
      </c>
      <c r="N20">
        <f ca="1">N19</f>
        <v>3256388.0032799998</v>
      </c>
    </row>
    <row r="21" spans="1:14" x14ac:dyDescent="0.4">
      <c r="A21">
        <f>'BLE - Central'!B30</f>
        <v>12</v>
      </c>
      <c r="B21" t="str">
        <f ca="1">'BLE - Central'!C30</f>
        <v/>
      </c>
      <c r="C21" s="153">
        <f ca="1">'BLE - Central'!D30</f>
        <v>0</v>
      </c>
      <c r="D21" s="153">
        <f ca="1">'BLE - Central'!E30</f>
        <v>0</v>
      </c>
      <c r="E21" s="153">
        <f ca="1">'BLE - Central'!F30</f>
        <v>0</v>
      </c>
      <c r="K21" t="str">
        <f ca="1">B16</f>
        <v/>
      </c>
      <c r="L21">
        <f ca="1">C16+L19</f>
        <v>1280000</v>
      </c>
      <c r="M21">
        <f ca="1">D16</f>
        <v>0</v>
      </c>
      <c r="N21">
        <f ca="1">E16+N19</f>
        <v>3256388.0032799998</v>
      </c>
    </row>
    <row r="22" spans="1:14" x14ac:dyDescent="0.4">
      <c r="A22">
        <f>'BLE - Central'!B31</f>
        <v>13</v>
      </c>
      <c r="B22" t="str">
        <f ca="1">'BLE - Central'!C31</f>
        <v/>
      </c>
      <c r="C22" s="153">
        <f ca="1">'BLE - Central'!D31</f>
        <v>0</v>
      </c>
      <c r="D22" s="153">
        <f ca="1">'BLE - Central'!E31</f>
        <v>0</v>
      </c>
      <c r="E22" s="153">
        <f ca="1">'BLE - Central'!F31</f>
        <v>0</v>
      </c>
      <c r="L22">
        <f ca="1">L21</f>
        <v>1280000</v>
      </c>
      <c r="M22">
        <f ca="1">M23</f>
        <v>0</v>
      </c>
      <c r="N22">
        <f ca="1">N21</f>
        <v>3256388.0032799998</v>
      </c>
    </row>
    <row r="23" spans="1:14" x14ac:dyDescent="0.4">
      <c r="A23">
        <f>'BLE - Central'!B32</f>
        <v>14</v>
      </c>
      <c r="B23" t="str">
        <f ca="1">'BLE - Central'!C32</f>
        <v/>
      </c>
      <c r="C23" s="153">
        <f ca="1">'BLE - Central'!D32</f>
        <v>0</v>
      </c>
      <c r="D23" s="153">
        <f ca="1">'BLE - Central'!E32</f>
        <v>0</v>
      </c>
      <c r="E23" s="153">
        <f ca="1">'BLE - Central'!F32</f>
        <v>0</v>
      </c>
      <c r="K23" t="str">
        <f ca="1">B17</f>
        <v/>
      </c>
      <c r="L23">
        <f ca="1">C17+L21</f>
        <v>1280000</v>
      </c>
      <c r="M23">
        <f ca="1">D17</f>
        <v>0</v>
      </c>
      <c r="N23">
        <f ca="1">E17+N21</f>
        <v>3256388.0032799998</v>
      </c>
    </row>
    <row r="24" spans="1:14" x14ac:dyDescent="0.4">
      <c r="A24">
        <v>15</v>
      </c>
      <c r="B24" t="s">
        <v>114</v>
      </c>
      <c r="C24">
        <v>200</v>
      </c>
      <c r="D24">
        <v>0</v>
      </c>
      <c r="E24">
        <v>0</v>
      </c>
      <c r="L24">
        <f ca="1">L23</f>
        <v>1280000</v>
      </c>
      <c r="M24">
        <f ca="1">M25</f>
        <v>0</v>
      </c>
      <c r="N24">
        <f ca="1">N23</f>
        <v>3256388.0032799998</v>
      </c>
    </row>
    <row r="25" spans="1:14" x14ac:dyDescent="0.4">
      <c r="K25" t="str">
        <f ca="1">B18</f>
        <v/>
      </c>
      <c r="L25">
        <f ca="1">C18+L23</f>
        <v>1280000</v>
      </c>
      <c r="M25">
        <f ca="1">D18</f>
        <v>0</v>
      </c>
      <c r="N25">
        <f ca="1">E18+N23</f>
        <v>3256388.0032799998</v>
      </c>
    </row>
    <row r="26" spans="1:14" x14ac:dyDescent="0.4">
      <c r="L26">
        <f ca="1">L25</f>
        <v>1280000</v>
      </c>
      <c r="M26">
        <f ca="1">M27</f>
        <v>0</v>
      </c>
      <c r="N26">
        <f ca="1">N25</f>
        <v>3256388.0032799998</v>
      </c>
    </row>
    <row r="27" spans="1:14" x14ac:dyDescent="0.4">
      <c r="K27" t="str">
        <f ca="1">B19</f>
        <v/>
      </c>
      <c r="L27">
        <f ca="1">C19+L25</f>
        <v>1280000</v>
      </c>
      <c r="M27">
        <f ca="1">D19</f>
        <v>0</v>
      </c>
      <c r="N27">
        <f ca="1">E19+N25</f>
        <v>3256388.0032799998</v>
      </c>
    </row>
    <row r="28" spans="1:14" x14ac:dyDescent="0.4">
      <c r="L28">
        <f ca="1">L27</f>
        <v>1280000</v>
      </c>
      <c r="M28">
        <f ca="1">M29</f>
        <v>0</v>
      </c>
      <c r="N28">
        <f ca="1">N27</f>
        <v>3256388.0032799998</v>
      </c>
    </row>
    <row r="29" spans="1:14" x14ac:dyDescent="0.4">
      <c r="K29" t="str">
        <f ca="1">B20</f>
        <v/>
      </c>
      <c r="L29">
        <f ca="1">C20+L27</f>
        <v>1280000</v>
      </c>
      <c r="M29">
        <f ca="1">D20</f>
        <v>0</v>
      </c>
      <c r="N29">
        <f ca="1">E20+N27</f>
        <v>3256388.0032799998</v>
      </c>
    </row>
    <row r="30" spans="1:14" x14ac:dyDescent="0.4">
      <c r="L30">
        <f ca="1">L29</f>
        <v>1280000</v>
      </c>
      <c r="M30">
        <f ca="1">M31</f>
        <v>0</v>
      </c>
      <c r="N30">
        <f ca="1">N29</f>
        <v>3256388.0032799998</v>
      </c>
    </row>
    <row r="31" spans="1:14" x14ac:dyDescent="0.4">
      <c r="K31" t="str">
        <f ca="1">B21</f>
        <v/>
      </c>
      <c r="L31">
        <f ca="1">C21+L29</f>
        <v>1280000</v>
      </c>
      <c r="M31">
        <f ca="1">D21</f>
        <v>0</v>
      </c>
      <c r="N31">
        <f ca="1">E21+N29</f>
        <v>3256388.0032799998</v>
      </c>
    </row>
    <row r="32" spans="1:14" x14ac:dyDescent="0.4">
      <c r="L32">
        <f ca="1">L31</f>
        <v>1280000</v>
      </c>
      <c r="M32">
        <f ca="1">M33</f>
        <v>0</v>
      </c>
      <c r="N32">
        <f ca="1">N31</f>
        <v>3256388.0032799998</v>
      </c>
    </row>
    <row r="33" spans="1:14" x14ac:dyDescent="0.4">
      <c r="K33" t="str">
        <f ca="1">B22</f>
        <v/>
      </c>
      <c r="L33">
        <f ca="1">C22+L31</f>
        <v>1280000</v>
      </c>
      <c r="M33">
        <f ca="1">D22</f>
        <v>0</v>
      </c>
      <c r="N33">
        <f ca="1">E22+N31</f>
        <v>3256388.0032799998</v>
      </c>
    </row>
    <row r="34" spans="1:14" x14ac:dyDescent="0.4">
      <c r="L34">
        <f ca="1">L33</f>
        <v>1280000</v>
      </c>
      <c r="M34">
        <f ca="1">M35</f>
        <v>0</v>
      </c>
      <c r="N34">
        <f ca="1">N33</f>
        <v>3256388.0032799998</v>
      </c>
    </row>
    <row r="35" spans="1:14" x14ac:dyDescent="0.4">
      <c r="K35" t="str">
        <f ca="1">B23</f>
        <v/>
      </c>
      <c r="L35">
        <f ca="1">C23+L33</f>
        <v>1280000</v>
      </c>
      <c r="M35">
        <f ca="1">D23</f>
        <v>0</v>
      </c>
      <c r="N35">
        <f ca="1">E23+N33</f>
        <v>3256388.0032799998</v>
      </c>
    </row>
    <row r="36" spans="1:14" x14ac:dyDescent="0.4">
      <c r="L36">
        <f ca="1">L35</f>
        <v>1280000</v>
      </c>
      <c r="M36">
        <f>M37</f>
        <v>0</v>
      </c>
      <c r="N36">
        <f ca="1">N35+E24</f>
        <v>3256388.0032799998</v>
      </c>
    </row>
    <row r="37" spans="1:14" x14ac:dyDescent="0.4">
      <c r="L37">
        <f ca="1">C24+L35</f>
        <v>1280200</v>
      </c>
      <c r="M37">
        <f>D24</f>
        <v>0</v>
      </c>
      <c r="N37">
        <f ca="1">N36</f>
        <v>3256388.0032799998</v>
      </c>
    </row>
    <row r="40" spans="1:14" x14ac:dyDescent="0.4">
      <c r="B40" t="s">
        <v>112</v>
      </c>
    </row>
    <row r="41" spans="1:14" x14ac:dyDescent="0.4">
      <c r="M41" t="s">
        <v>75</v>
      </c>
      <c r="N41" t="s">
        <v>76</v>
      </c>
    </row>
    <row r="42" spans="1:14" x14ac:dyDescent="0.4">
      <c r="L42" t="str">
        <f>C46</f>
        <v>Time
[µs]</v>
      </c>
      <c r="M42" t="str">
        <f>D46</f>
        <v>Avg Current [mA]</v>
      </c>
      <c r="N42" t="str">
        <f>E46</f>
        <v>Energy [pAh]</v>
      </c>
    </row>
    <row r="43" spans="1:14" x14ac:dyDescent="0.4">
      <c r="L43">
        <v>-200</v>
      </c>
      <c r="M43">
        <v>0</v>
      </c>
      <c r="N43">
        <v>0</v>
      </c>
    </row>
    <row r="44" spans="1:14" x14ac:dyDescent="0.4">
      <c r="L44">
        <v>0</v>
      </c>
      <c r="M44">
        <v>0</v>
      </c>
      <c r="N44">
        <v>0</v>
      </c>
    </row>
    <row r="45" spans="1:14" x14ac:dyDescent="0.4">
      <c r="L45">
        <v>0</v>
      </c>
      <c r="M45">
        <f ca="1">M46</f>
        <v>3.1012666666666662</v>
      </c>
      <c r="N45">
        <v>0</v>
      </c>
    </row>
    <row r="46" spans="1:14" x14ac:dyDescent="0.4">
      <c r="C46" t="s">
        <v>24</v>
      </c>
      <c r="D46" t="s">
        <v>62</v>
      </c>
      <c r="E46" t="s">
        <v>74</v>
      </c>
      <c r="K46" t="str">
        <f ca="1">B47</f>
        <v>Wake Up &amp; Pre-processing</v>
      </c>
      <c r="L46">
        <f ca="1">C47</f>
        <v>1283.8888888888889</v>
      </c>
      <c r="M46">
        <f ca="1">D47</f>
        <v>3.1012666666666662</v>
      </c>
      <c r="N46">
        <f ca="1">E47</f>
        <v>3981.6818148148141</v>
      </c>
    </row>
    <row r="47" spans="1:14" x14ac:dyDescent="0.4">
      <c r="A47">
        <f>'BLE - Central'!I19</f>
        <v>1</v>
      </c>
      <c r="B47" t="str">
        <f ca="1">'BLE - Central'!J19</f>
        <v>Wake Up &amp; Pre-processing</v>
      </c>
      <c r="C47" s="153">
        <f ca="1">'BLE - Central'!K19</f>
        <v>1283.8888888888889</v>
      </c>
      <c r="D47" s="153">
        <f ca="1">'BLE - Central'!L19</f>
        <v>3.1012666666666662</v>
      </c>
      <c r="E47" s="153">
        <f ca="1">'BLE - Central'!M19</f>
        <v>3981.6818148148141</v>
      </c>
      <c r="L47">
        <f ca="1">L46</f>
        <v>1283.8888888888889</v>
      </c>
      <c r="M47">
        <f ca="1">M48</f>
        <v>3.5755222222222218</v>
      </c>
      <c r="N47">
        <f ca="1">N46</f>
        <v>3981.6818148148141</v>
      </c>
    </row>
    <row r="48" spans="1:14" x14ac:dyDescent="0.4">
      <c r="A48">
        <f>'BLE - Central'!I20</f>
        <v>2</v>
      </c>
      <c r="B48" t="str">
        <f ca="1">'BLE - Central'!J20</f>
        <v xml:space="preserve">Preparation for Tx </v>
      </c>
      <c r="C48" s="153">
        <f ca="1">'BLE - Central'!K20</f>
        <v>394.22222222222223</v>
      </c>
      <c r="D48" s="153">
        <f ca="1">'BLE - Central'!L20</f>
        <v>3.5755222222222218</v>
      </c>
      <c r="E48" s="153">
        <f ca="1">'BLE - Central'!M20</f>
        <v>1409.5503160493827</v>
      </c>
      <c r="K48" t="str">
        <f ca="1">B48</f>
        <v xml:space="preserve">Preparation for Tx </v>
      </c>
      <c r="L48">
        <f ca="1">C48+L46</f>
        <v>1678.1111111111111</v>
      </c>
      <c r="M48">
        <f ca="1">D48</f>
        <v>3.5755222222222218</v>
      </c>
      <c r="N48">
        <f ca="1">E48+N46</f>
        <v>5391.2321308641967</v>
      </c>
    </row>
    <row r="49" spans="1:14" x14ac:dyDescent="0.4">
      <c r="A49">
        <f>'BLE - Central'!I21</f>
        <v>3</v>
      </c>
      <c r="B49" t="str">
        <f ca="1">'BLE - Central'!J21</f>
        <v>Transmit (TX)</v>
      </c>
      <c r="C49" s="153">
        <f ca="1">'BLE - Central'!K21</f>
        <v>84.39</v>
      </c>
      <c r="D49" s="153">
        <f ca="1">'BLE - Central'!L21</f>
        <v>7.3402000000000003</v>
      </c>
      <c r="E49" s="153">
        <f ca="1">'BLE - Central'!M21</f>
        <v>619.43947800000001</v>
      </c>
      <c r="L49">
        <f ca="1">L48</f>
        <v>1678.1111111111111</v>
      </c>
      <c r="M49">
        <f ca="1">M50</f>
        <v>7.3402000000000003</v>
      </c>
      <c r="N49">
        <f ca="1">N48</f>
        <v>5391.2321308641967</v>
      </c>
    </row>
    <row r="50" spans="1:14" x14ac:dyDescent="0.4">
      <c r="A50">
        <f>'BLE - Central'!I22</f>
        <v>4</v>
      </c>
      <c r="B50" t="str">
        <f ca="1">'BLE - Central'!J22</f>
        <v>TX to RX transition</v>
      </c>
      <c r="C50" s="153">
        <f ca="1">'BLE - Central'!K22</f>
        <v>109.22222222222223</v>
      </c>
      <c r="D50" s="153">
        <f ca="1">'BLE - Central'!L22</f>
        <v>5.2093222222222222</v>
      </c>
      <c r="E50" s="153">
        <f ca="1">'BLE - Central'!M22</f>
        <v>568.97374938271605</v>
      </c>
      <c r="K50" t="str">
        <f ca="1">B49</f>
        <v>Transmit (TX)</v>
      </c>
      <c r="L50">
        <f ca="1">C49+L48</f>
        <v>1762.5011111111112</v>
      </c>
      <c r="M50">
        <f ca="1">D49</f>
        <v>7.3402000000000003</v>
      </c>
      <c r="N50">
        <f ca="1">E49+N48</f>
        <v>6010.671608864197</v>
      </c>
    </row>
    <row r="51" spans="1:14" x14ac:dyDescent="0.4">
      <c r="A51">
        <f>'BLE - Central'!I23</f>
        <v>5</v>
      </c>
      <c r="B51" t="str">
        <f ca="1">'BLE - Central'!J23</f>
        <v>Receive (RX)</v>
      </c>
      <c r="C51" s="153">
        <f ca="1">'BLE - Central'!K23</f>
        <v>461.33333333333331</v>
      </c>
      <c r="D51" s="153">
        <f ca="1">'BLE - Central'!L23</f>
        <v>6.6890999999999998</v>
      </c>
      <c r="E51" s="153">
        <f ca="1">'BLE - Central'!M23</f>
        <v>3085.9047999999998</v>
      </c>
      <c r="L51">
        <f ca="1">L50</f>
        <v>1762.5011111111112</v>
      </c>
      <c r="M51">
        <f ca="1">M52</f>
        <v>5.2093222222222222</v>
      </c>
      <c r="N51">
        <f ca="1">N50</f>
        <v>6010.671608864197</v>
      </c>
    </row>
    <row r="52" spans="1:14" x14ac:dyDescent="0.4">
      <c r="A52">
        <f>'BLE - Central'!I24</f>
        <v>6</v>
      </c>
      <c r="B52" t="str">
        <f ca="1">'BLE - Central'!J24</f>
        <v>Post-Processing</v>
      </c>
      <c r="C52" s="153">
        <f ca="1">'BLE - Central'!K24</f>
        <v>853.44444444444446</v>
      </c>
      <c r="D52" s="153">
        <f ca="1">'BLE - Central'!L24</f>
        <v>2.6242222222222225</v>
      </c>
      <c r="E52" s="153">
        <f ca="1">'BLE - Central'!M24</f>
        <v>2239.6278765432103</v>
      </c>
      <c r="K52" t="str">
        <f ca="1">B50</f>
        <v>TX to RX transition</v>
      </c>
      <c r="L52">
        <f ca="1">C50+L50</f>
        <v>1871.7233333333334</v>
      </c>
      <c r="M52">
        <f ca="1">D50</f>
        <v>5.2093222222222222</v>
      </c>
      <c r="N52">
        <f ca="1">E50+N50</f>
        <v>6579.645358246913</v>
      </c>
    </row>
    <row r="53" spans="1:14" x14ac:dyDescent="0.4">
      <c r="A53">
        <f>'BLE - Central'!I25</f>
        <v>7</v>
      </c>
      <c r="B53" t="str">
        <f ca="1">'BLE - Central'!J25</f>
        <v/>
      </c>
      <c r="C53" s="153">
        <f ca="1">'BLE - Central'!K25</f>
        <v>0</v>
      </c>
      <c r="D53" s="153">
        <f ca="1">'BLE - Central'!L25</f>
        <v>0</v>
      </c>
      <c r="E53" s="153">
        <f ca="1">'BLE - Central'!M25</f>
        <v>0</v>
      </c>
      <c r="L53">
        <f ca="1">L52</f>
        <v>1871.7233333333334</v>
      </c>
      <c r="M53">
        <f ca="1">M54</f>
        <v>6.6890999999999998</v>
      </c>
      <c r="N53">
        <f ca="1">N52</f>
        <v>6579.645358246913</v>
      </c>
    </row>
    <row r="54" spans="1:14" x14ac:dyDescent="0.4">
      <c r="A54">
        <f>'BLE - Central'!I26</f>
        <v>8</v>
      </c>
      <c r="B54" t="str">
        <f ca="1">'BLE - Central'!J26</f>
        <v/>
      </c>
      <c r="C54" s="153">
        <f ca="1">'BLE - Central'!K26</f>
        <v>0</v>
      </c>
      <c r="D54" s="153">
        <f ca="1">'BLE - Central'!L26</f>
        <v>0</v>
      </c>
      <c r="E54" s="153">
        <f ca="1">'BLE - Central'!M26</f>
        <v>0</v>
      </c>
      <c r="K54" t="str">
        <f ca="1">B51</f>
        <v>Receive (RX)</v>
      </c>
      <c r="L54">
        <f ca="1">C51+L52</f>
        <v>2333.0566666666668</v>
      </c>
      <c r="M54">
        <f ca="1">D51</f>
        <v>6.6890999999999998</v>
      </c>
      <c r="N54">
        <f ca="1">E51+N52</f>
        <v>9665.5501582469133</v>
      </c>
    </row>
    <row r="55" spans="1:14" x14ac:dyDescent="0.4">
      <c r="A55">
        <f>'BLE - Central'!I27</f>
        <v>9</v>
      </c>
      <c r="B55" t="str">
        <f ca="1">'BLE - Central'!J27</f>
        <v/>
      </c>
      <c r="C55" s="153">
        <f ca="1">'BLE - Central'!K27</f>
        <v>0</v>
      </c>
      <c r="D55" s="153">
        <f ca="1">'BLE - Central'!L27</f>
        <v>0</v>
      </c>
      <c r="E55" s="153">
        <f ca="1">'BLE - Central'!M27</f>
        <v>0</v>
      </c>
      <c r="L55">
        <f ca="1">L54</f>
        <v>2333.0566666666668</v>
      </c>
      <c r="M55">
        <f ca="1">M56</f>
        <v>2.6242222222222225</v>
      </c>
      <c r="N55">
        <f ca="1">N54</f>
        <v>9665.5501582469133</v>
      </c>
    </row>
    <row r="56" spans="1:14" x14ac:dyDescent="0.4">
      <c r="A56">
        <f>'BLE - Central'!I28</f>
        <v>10</v>
      </c>
      <c r="B56" t="str">
        <f ca="1">'BLE - Central'!J28</f>
        <v/>
      </c>
      <c r="C56" s="153">
        <f ca="1">'BLE - Central'!K28</f>
        <v>0</v>
      </c>
      <c r="D56" s="153">
        <f ca="1">'BLE - Central'!L28</f>
        <v>0</v>
      </c>
      <c r="E56" s="153">
        <f ca="1">'BLE - Central'!M28</f>
        <v>0</v>
      </c>
      <c r="K56" t="str">
        <f ca="1">B52</f>
        <v>Post-Processing</v>
      </c>
      <c r="L56">
        <f ca="1">C52+L54</f>
        <v>3186.5011111111112</v>
      </c>
      <c r="M56">
        <f ca="1">D52</f>
        <v>2.6242222222222225</v>
      </c>
      <c r="N56">
        <f ca="1">E52+N54</f>
        <v>11905.178034790124</v>
      </c>
    </row>
    <row r="57" spans="1:14" x14ac:dyDescent="0.4">
      <c r="A57">
        <f>'BLE - Central'!I29</f>
        <v>11</v>
      </c>
      <c r="B57" t="str">
        <f ca="1">'BLE - Central'!J29</f>
        <v/>
      </c>
      <c r="C57" s="153">
        <f ca="1">'BLE - Central'!K29</f>
        <v>0</v>
      </c>
      <c r="D57" s="153">
        <f ca="1">'BLE - Central'!L29</f>
        <v>0</v>
      </c>
      <c r="E57" s="153">
        <f ca="1">'BLE - Central'!M29</f>
        <v>0</v>
      </c>
      <c r="L57">
        <f ca="1">L56</f>
        <v>3186.5011111111112</v>
      </c>
      <c r="M57">
        <f ca="1">M58</f>
        <v>0</v>
      </c>
      <c r="N57">
        <f ca="1">N56</f>
        <v>11905.178034790124</v>
      </c>
    </row>
    <row r="58" spans="1:14" x14ac:dyDescent="0.4">
      <c r="A58">
        <f>'BLE - Central'!I30</f>
        <v>12</v>
      </c>
      <c r="B58" t="str">
        <f ca="1">'BLE - Central'!J30</f>
        <v/>
      </c>
      <c r="C58" s="153">
        <f ca="1">'BLE - Central'!K30</f>
        <v>0</v>
      </c>
      <c r="D58" s="153">
        <f ca="1">'BLE - Central'!L30</f>
        <v>0</v>
      </c>
      <c r="E58" s="153">
        <f ca="1">'BLE - Central'!M30</f>
        <v>0</v>
      </c>
      <c r="K58" t="str">
        <f ca="1">B53</f>
        <v/>
      </c>
      <c r="L58">
        <f ca="1">C53+L56</f>
        <v>3186.5011111111112</v>
      </c>
      <c r="M58">
        <f ca="1">D53</f>
        <v>0</v>
      </c>
      <c r="N58">
        <f ca="1">E53+N56</f>
        <v>11905.178034790124</v>
      </c>
    </row>
    <row r="59" spans="1:14" x14ac:dyDescent="0.4">
      <c r="A59">
        <f>'BLE - Central'!I31</f>
        <v>13</v>
      </c>
      <c r="B59" t="str">
        <f ca="1">'BLE - Central'!J31</f>
        <v/>
      </c>
      <c r="C59" s="153">
        <f ca="1">'BLE - Central'!K31</f>
        <v>0</v>
      </c>
      <c r="D59" s="153">
        <f ca="1">'BLE - Central'!L31</f>
        <v>0</v>
      </c>
      <c r="E59" s="153">
        <f ca="1">'BLE - Central'!M31</f>
        <v>0</v>
      </c>
      <c r="L59">
        <f ca="1">L58</f>
        <v>3186.5011111111112</v>
      </c>
      <c r="M59">
        <f ca="1">M60</f>
        <v>0</v>
      </c>
      <c r="N59">
        <f ca="1">N58</f>
        <v>11905.178034790124</v>
      </c>
    </row>
    <row r="60" spans="1:14" x14ac:dyDescent="0.4">
      <c r="A60">
        <f>'BLE - Central'!I32</f>
        <v>14</v>
      </c>
      <c r="B60" t="str">
        <f ca="1">'BLE - Central'!J32</f>
        <v/>
      </c>
      <c r="C60" s="153">
        <f ca="1">'BLE - Central'!K32</f>
        <v>0</v>
      </c>
      <c r="D60" s="153">
        <f ca="1">'BLE - Central'!L32</f>
        <v>0</v>
      </c>
      <c r="E60" s="153">
        <f ca="1">'BLE - Central'!M32</f>
        <v>0</v>
      </c>
      <c r="K60" t="str">
        <f ca="1">B54</f>
        <v/>
      </c>
      <c r="L60">
        <f ca="1">C54+L58</f>
        <v>3186.5011111111112</v>
      </c>
      <c r="M60">
        <f ca="1">D54</f>
        <v>0</v>
      </c>
      <c r="N60">
        <f ca="1">E54+N58</f>
        <v>11905.178034790124</v>
      </c>
    </row>
    <row r="61" spans="1:14" x14ac:dyDescent="0.4">
      <c r="A61">
        <v>15</v>
      </c>
      <c r="B61" t="s">
        <v>114</v>
      </c>
      <c r="C61">
        <v>200</v>
      </c>
      <c r="D61">
        <v>0</v>
      </c>
      <c r="E61">
        <v>0</v>
      </c>
      <c r="L61">
        <f ca="1">L60</f>
        <v>3186.5011111111112</v>
      </c>
      <c r="M61">
        <f ca="1">M62</f>
        <v>0</v>
      </c>
      <c r="N61">
        <f ca="1">N60</f>
        <v>11905.178034790124</v>
      </c>
    </row>
    <row r="62" spans="1:14" x14ac:dyDescent="0.4">
      <c r="K62" t="str">
        <f ca="1">B55</f>
        <v/>
      </c>
      <c r="L62">
        <f ca="1">C55+L60</f>
        <v>3186.5011111111112</v>
      </c>
      <c r="M62">
        <f ca="1">D55</f>
        <v>0</v>
      </c>
      <c r="N62">
        <f ca="1">E55+N60</f>
        <v>11905.178034790124</v>
      </c>
    </row>
    <row r="63" spans="1:14" x14ac:dyDescent="0.4">
      <c r="L63">
        <f ca="1">L62</f>
        <v>3186.5011111111112</v>
      </c>
      <c r="M63">
        <f ca="1">M64</f>
        <v>0</v>
      </c>
      <c r="N63">
        <f ca="1">N62</f>
        <v>11905.178034790124</v>
      </c>
    </row>
    <row r="64" spans="1:14" x14ac:dyDescent="0.4">
      <c r="K64" t="str">
        <f ca="1">B56</f>
        <v/>
      </c>
      <c r="L64">
        <f ca="1">C56+L62</f>
        <v>3186.5011111111112</v>
      </c>
      <c r="M64">
        <f ca="1">D56</f>
        <v>0</v>
      </c>
      <c r="N64">
        <f ca="1">E56+N62</f>
        <v>11905.178034790124</v>
      </c>
    </row>
    <row r="65" spans="2:14" x14ac:dyDescent="0.4">
      <c r="L65">
        <f ca="1">L64</f>
        <v>3186.5011111111112</v>
      </c>
      <c r="M65">
        <f ca="1">M66</f>
        <v>0</v>
      </c>
      <c r="N65">
        <f ca="1">N64</f>
        <v>11905.178034790124</v>
      </c>
    </row>
    <row r="66" spans="2:14" x14ac:dyDescent="0.4">
      <c r="K66" t="str">
        <f ca="1">B57</f>
        <v/>
      </c>
      <c r="L66">
        <f ca="1">C57+L64</f>
        <v>3186.5011111111112</v>
      </c>
      <c r="M66">
        <f ca="1">D57</f>
        <v>0</v>
      </c>
      <c r="N66">
        <f ca="1">E57+N64</f>
        <v>11905.178034790124</v>
      </c>
    </row>
    <row r="67" spans="2:14" x14ac:dyDescent="0.4">
      <c r="L67">
        <f ca="1">L66</f>
        <v>3186.5011111111112</v>
      </c>
      <c r="M67">
        <f ca="1">M68</f>
        <v>0</v>
      </c>
      <c r="N67">
        <f ca="1">N66</f>
        <v>11905.178034790124</v>
      </c>
    </row>
    <row r="68" spans="2:14" x14ac:dyDescent="0.4">
      <c r="K68" t="str">
        <f ca="1">B58</f>
        <v/>
      </c>
      <c r="L68">
        <f ca="1">C58+L66</f>
        <v>3186.5011111111112</v>
      </c>
      <c r="M68">
        <f ca="1">D58</f>
        <v>0</v>
      </c>
      <c r="N68">
        <f ca="1">E58+N66</f>
        <v>11905.178034790124</v>
      </c>
    </row>
    <row r="69" spans="2:14" x14ac:dyDescent="0.4">
      <c r="L69">
        <f ca="1">L68</f>
        <v>3186.5011111111112</v>
      </c>
      <c r="M69">
        <f ca="1">M70</f>
        <v>0</v>
      </c>
      <c r="N69">
        <f ca="1">N68</f>
        <v>11905.178034790124</v>
      </c>
    </row>
    <row r="70" spans="2:14" x14ac:dyDescent="0.4">
      <c r="K70" t="str">
        <f ca="1">B59</f>
        <v/>
      </c>
      <c r="L70">
        <f ca="1">C59+L68</f>
        <v>3186.5011111111112</v>
      </c>
      <c r="M70">
        <f ca="1">D59</f>
        <v>0</v>
      </c>
      <c r="N70">
        <f ca="1">E59+N68</f>
        <v>11905.178034790124</v>
      </c>
    </row>
    <row r="71" spans="2:14" x14ac:dyDescent="0.4">
      <c r="L71">
        <f ca="1">L70</f>
        <v>3186.5011111111112</v>
      </c>
      <c r="M71">
        <f ca="1">M72</f>
        <v>0</v>
      </c>
      <c r="N71">
        <f ca="1">N70</f>
        <v>11905.178034790124</v>
      </c>
    </row>
    <row r="72" spans="2:14" x14ac:dyDescent="0.4">
      <c r="K72" t="str">
        <f ca="1">B60</f>
        <v/>
      </c>
      <c r="L72">
        <f ca="1">C60+L70</f>
        <v>3186.5011111111112</v>
      </c>
      <c r="M72">
        <f ca="1">D60</f>
        <v>0</v>
      </c>
      <c r="N72">
        <f ca="1">E60+N70</f>
        <v>11905.178034790124</v>
      </c>
    </row>
    <row r="73" spans="2:14" x14ac:dyDescent="0.4">
      <c r="L73">
        <f ca="1">L72</f>
        <v>3186.5011111111112</v>
      </c>
      <c r="M73">
        <f>M74</f>
        <v>0</v>
      </c>
      <c r="N73">
        <f ca="1">N72+E61</f>
        <v>11905.178034790124</v>
      </c>
    </row>
    <row r="74" spans="2:14" x14ac:dyDescent="0.4">
      <c r="L74">
        <f ca="1">C61+L72</f>
        <v>3386.5011111111112</v>
      </c>
      <c r="M74">
        <f>D61</f>
        <v>0</v>
      </c>
      <c r="N74">
        <f ca="1">N73</f>
        <v>11905.178034790124</v>
      </c>
    </row>
    <row r="77" spans="2:14" x14ac:dyDescent="0.4">
      <c r="B77" t="s">
        <v>113</v>
      </c>
    </row>
    <row r="78" spans="2:14" x14ac:dyDescent="0.4">
      <c r="M78" t="s">
        <v>75</v>
      </c>
      <c r="N78" t="s">
        <v>76</v>
      </c>
    </row>
    <row r="79" spans="2:14" x14ac:dyDescent="0.4">
      <c r="L79" t="str">
        <f>C83</f>
        <v>Time
[µs]</v>
      </c>
      <c r="M79" t="str">
        <f>D83</f>
        <v>Avg Current [mA]</v>
      </c>
      <c r="N79" t="str">
        <f>E83</f>
        <v>Energy [pAh]</v>
      </c>
    </row>
    <row r="80" spans="2:14" x14ac:dyDescent="0.4">
      <c r="L80">
        <v>-200</v>
      </c>
      <c r="M80">
        <v>0</v>
      </c>
      <c r="N80">
        <v>0</v>
      </c>
    </row>
    <row r="81" spans="1:14" x14ac:dyDescent="0.4">
      <c r="L81">
        <v>0</v>
      </c>
      <c r="M81">
        <v>0</v>
      </c>
      <c r="N81">
        <v>0</v>
      </c>
    </row>
    <row r="82" spans="1:14" x14ac:dyDescent="0.4">
      <c r="L82">
        <v>0</v>
      </c>
      <c r="M82">
        <f ca="1">M83</f>
        <v>0</v>
      </c>
      <c r="N82">
        <v>0</v>
      </c>
    </row>
    <row r="83" spans="1:14" x14ac:dyDescent="0.4">
      <c r="C83" t="s">
        <v>24</v>
      </c>
      <c r="D83" t="s">
        <v>62</v>
      </c>
      <c r="E83" t="s">
        <v>74</v>
      </c>
      <c r="K83" t="str">
        <f ca="1">B84</f>
        <v/>
      </c>
      <c r="L83">
        <f ca="1">C84</f>
        <v>0</v>
      </c>
      <c r="M83">
        <f ca="1">D84</f>
        <v>0</v>
      </c>
      <c r="N83">
        <f ca="1">E84</f>
        <v>0</v>
      </c>
    </row>
    <row r="84" spans="1:14" x14ac:dyDescent="0.4">
      <c r="A84">
        <f>'BLE - Central'!P19</f>
        <v>1</v>
      </c>
      <c r="B84" t="str">
        <f ca="1">'BLE - Central'!Q19</f>
        <v/>
      </c>
      <c r="C84" s="153">
        <f ca="1">'BLE - Central'!R19</f>
        <v>0</v>
      </c>
      <c r="D84" s="153">
        <f ca="1">'BLE - Central'!S19</f>
        <v>0</v>
      </c>
      <c r="E84" s="153">
        <f ca="1">'BLE - Central'!T19</f>
        <v>0</v>
      </c>
      <c r="L84">
        <f ca="1">L83</f>
        <v>0</v>
      </c>
      <c r="M84">
        <f ca="1">M85</f>
        <v>0</v>
      </c>
      <c r="N84">
        <f ca="1">N83</f>
        <v>0</v>
      </c>
    </row>
    <row r="85" spans="1:14" x14ac:dyDescent="0.4">
      <c r="A85">
        <f>'BLE - Central'!P20</f>
        <v>2</v>
      </c>
      <c r="B85" t="str">
        <f ca="1">'BLE - Central'!Q20</f>
        <v/>
      </c>
      <c r="C85" s="153">
        <f ca="1">'BLE - Central'!R20</f>
        <v>0</v>
      </c>
      <c r="D85" s="153">
        <f ca="1">'BLE - Central'!S20</f>
        <v>0</v>
      </c>
      <c r="E85" s="153">
        <f ca="1">'BLE - Central'!T20</f>
        <v>0</v>
      </c>
      <c r="K85" t="str">
        <f ca="1">B85</f>
        <v/>
      </c>
      <c r="L85">
        <f ca="1">C85+L83</f>
        <v>0</v>
      </c>
      <c r="M85">
        <f ca="1">D85</f>
        <v>0</v>
      </c>
      <c r="N85">
        <f ca="1">E85+N83</f>
        <v>0</v>
      </c>
    </row>
    <row r="86" spans="1:14" x14ac:dyDescent="0.4">
      <c r="A86">
        <f>'BLE - Central'!P21</f>
        <v>3</v>
      </c>
      <c r="B86" t="str">
        <f ca="1">'BLE - Central'!Q21</f>
        <v/>
      </c>
      <c r="C86" s="153">
        <f ca="1">'BLE - Central'!R21</f>
        <v>0</v>
      </c>
      <c r="D86" s="153">
        <f ca="1">'BLE - Central'!S21</f>
        <v>0</v>
      </c>
      <c r="E86" s="153">
        <f ca="1">'BLE - Central'!T21</f>
        <v>0</v>
      </c>
      <c r="L86">
        <f ca="1">L85</f>
        <v>0</v>
      </c>
      <c r="M86">
        <f ca="1">M87</f>
        <v>0</v>
      </c>
      <c r="N86">
        <f ca="1">N85</f>
        <v>0</v>
      </c>
    </row>
    <row r="87" spans="1:14" x14ac:dyDescent="0.4">
      <c r="A87">
        <f>'BLE - Central'!P22</f>
        <v>4</v>
      </c>
      <c r="B87" t="str">
        <f ca="1">'BLE - Central'!Q22</f>
        <v/>
      </c>
      <c r="C87" s="153">
        <f ca="1">'BLE - Central'!R22</f>
        <v>0</v>
      </c>
      <c r="D87" s="153">
        <f ca="1">'BLE - Central'!S22</f>
        <v>0</v>
      </c>
      <c r="E87" s="153">
        <f ca="1">'BLE - Central'!T22</f>
        <v>0</v>
      </c>
      <c r="K87" t="str">
        <f ca="1">B86</f>
        <v/>
      </c>
      <c r="L87">
        <f ca="1">C86+L85</f>
        <v>0</v>
      </c>
      <c r="M87">
        <f ca="1">D86</f>
        <v>0</v>
      </c>
      <c r="N87">
        <f ca="1">E86+N85</f>
        <v>0</v>
      </c>
    </row>
    <row r="88" spans="1:14" x14ac:dyDescent="0.4">
      <c r="A88">
        <f>'BLE - Central'!P23</f>
        <v>5</v>
      </c>
      <c r="B88" t="str">
        <f ca="1">'BLE - Central'!Q23</f>
        <v/>
      </c>
      <c r="C88" s="153">
        <f ca="1">'BLE - Central'!R23</f>
        <v>0</v>
      </c>
      <c r="D88" s="153">
        <f ca="1">'BLE - Central'!S23</f>
        <v>0</v>
      </c>
      <c r="E88" s="153">
        <f ca="1">'BLE - Central'!T23</f>
        <v>0</v>
      </c>
      <c r="L88">
        <f ca="1">L87</f>
        <v>0</v>
      </c>
      <c r="M88">
        <f ca="1">M89</f>
        <v>0</v>
      </c>
      <c r="N88">
        <f ca="1">N87</f>
        <v>0</v>
      </c>
    </row>
    <row r="89" spans="1:14" x14ac:dyDescent="0.4">
      <c r="A89">
        <f>'BLE - Central'!P24</f>
        <v>6</v>
      </c>
      <c r="B89" t="str">
        <f ca="1">'BLE - Central'!Q24</f>
        <v/>
      </c>
      <c r="C89" s="153">
        <f ca="1">'BLE - Central'!R24</f>
        <v>0</v>
      </c>
      <c r="D89" s="153">
        <f ca="1">'BLE - Central'!S24</f>
        <v>0</v>
      </c>
      <c r="E89" s="153">
        <f ca="1">'BLE - Central'!T24</f>
        <v>0</v>
      </c>
      <c r="K89" t="str">
        <f ca="1">B87</f>
        <v/>
      </c>
      <c r="L89">
        <f ca="1">C87+L87</f>
        <v>0</v>
      </c>
      <c r="M89">
        <f ca="1">D87</f>
        <v>0</v>
      </c>
      <c r="N89">
        <f ca="1">E87+N87</f>
        <v>0</v>
      </c>
    </row>
    <row r="90" spans="1:14" x14ac:dyDescent="0.4">
      <c r="A90">
        <f>'BLE - Central'!P25</f>
        <v>7</v>
      </c>
      <c r="B90" t="str">
        <f ca="1">'BLE - Central'!Q25</f>
        <v/>
      </c>
      <c r="C90" s="153">
        <f ca="1">'BLE - Central'!R25</f>
        <v>0</v>
      </c>
      <c r="D90" s="153">
        <f ca="1">'BLE - Central'!S25</f>
        <v>0</v>
      </c>
      <c r="E90" s="153">
        <f ca="1">'BLE - Central'!T25</f>
        <v>0</v>
      </c>
      <c r="L90">
        <f ca="1">L89</f>
        <v>0</v>
      </c>
      <c r="M90">
        <f ca="1">M91</f>
        <v>0</v>
      </c>
      <c r="N90">
        <f ca="1">N89</f>
        <v>0</v>
      </c>
    </row>
    <row r="91" spans="1:14" x14ac:dyDescent="0.4">
      <c r="A91">
        <f>'BLE - Central'!P26</f>
        <v>8</v>
      </c>
      <c r="B91" t="str">
        <f ca="1">'BLE - Central'!Q26</f>
        <v/>
      </c>
      <c r="C91" s="153">
        <f ca="1">'BLE - Central'!R26</f>
        <v>0</v>
      </c>
      <c r="D91" s="153">
        <f ca="1">'BLE - Central'!S26</f>
        <v>0</v>
      </c>
      <c r="E91" s="153">
        <f ca="1">'BLE - Central'!T26</f>
        <v>0</v>
      </c>
      <c r="K91" t="str">
        <f ca="1">B88</f>
        <v/>
      </c>
      <c r="L91">
        <f ca="1">C88+L89</f>
        <v>0</v>
      </c>
      <c r="M91">
        <f ca="1">D88</f>
        <v>0</v>
      </c>
      <c r="N91">
        <f ca="1">E88+N89</f>
        <v>0</v>
      </c>
    </row>
    <row r="92" spans="1:14" x14ac:dyDescent="0.4">
      <c r="A92">
        <f>'BLE - Central'!P27</f>
        <v>9</v>
      </c>
      <c r="B92" t="str">
        <f ca="1">'BLE - Central'!Q27</f>
        <v/>
      </c>
      <c r="C92" s="153">
        <f ca="1">'BLE - Central'!R27</f>
        <v>0</v>
      </c>
      <c r="D92" s="153">
        <f ca="1">'BLE - Central'!S27</f>
        <v>0</v>
      </c>
      <c r="E92" s="153">
        <f ca="1">'BLE - Central'!T27</f>
        <v>0</v>
      </c>
      <c r="L92">
        <f ca="1">L91</f>
        <v>0</v>
      </c>
      <c r="M92">
        <f ca="1">M93</f>
        <v>0</v>
      </c>
      <c r="N92">
        <f ca="1">N91</f>
        <v>0</v>
      </c>
    </row>
    <row r="93" spans="1:14" x14ac:dyDescent="0.4">
      <c r="A93">
        <f>'BLE - Central'!P28</f>
        <v>10</v>
      </c>
      <c r="B93" t="str">
        <f ca="1">'BLE - Central'!Q28</f>
        <v/>
      </c>
      <c r="C93" s="153">
        <f ca="1">'BLE - Central'!R28</f>
        <v>0</v>
      </c>
      <c r="D93" s="153">
        <f ca="1">'BLE - Central'!S28</f>
        <v>0</v>
      </c>
      <c r="E93" s="153">
        <f ca="1">'BLE - Central'!T28</f>
        <v>0</v>
      </c>
      <c r="K93" t="str">
        <f ca="1">B89</f>
        <v/>
      </c>
      <c r="L93">
        <f ca="1">C89+L91</f>
        <v>0</v>
      </c>
      <c r="M93">
        <f ca="1">D89</f>
        <v>0</v>
      </c>
      <c r="N93">
        <f ca="1">E89+N91</f>
        <v>0</v>
      </c>
    </row>
    <row r="94" spans="1:14" x14ac:dyDescent="0.4">
      <c r="A94">
        <f>'BLE - Central'!P29</f>
        <v>11</v>
      </c>
      <c r="B94" t="str">
        <f ca="1">'BLE - Central'!Q29</f>
        <v/>
      </c>
      <c r="C94" s="153">
        <f ca="1">'BLE - Central'!R29</f>
        <v>0</v>
      </c>
      <c r="D94" s="153">
        <f ca="1">'BLE - Central'!S29</f>
        <v>0</v>
      </c>
      <c r="E94" s="153">
        <f ca="1">'BLE - Central'!T29</f>
        <v>0</v>
      </c>
      <c r="L94">
        <f ca="1">L93</f>
        <v>0</v>
      </c>
      <c r="M94">
        <f ca="1">M95</f>
        <v>0</v>
      </c>
      <c r="N94">
        <f ca="1">N93</f>
        <v>0</v>
      </c>
    </row>
    <row r="95" spans="1:14" x14ac:dyDescent="0.4">
      <c r="A95">
        <f>'BLE - Central'!P30</f>
        <v>12</v>
      </c>
      <c r="B95" t="str">
        <f ca="1">'BLE - Central'!Q30</f>
        <v/>
      </c>
      <c r="C95" s="153">
        <f ca="1">'BLE - Central'!R30</f>
        <v>0</v>
      </c>
      <c r="D95" s="153">
        <f ca="1">'BLE - Central'!S30</f>
        <v>0</v>
      </c>
      <c r="E95" s="153">
        <f ca="1">'BLE - Central'!T30</f>
        <v>0</v>
      </c>
      <c r="K95" t="str">
        <f ca="1">B90</f>
        <v/>
      </c>
      <c r="L95">
        <f ca="1">C90+L93</f>
        <v>0</v>
      </c>
      <c r="M95">
        <f ca="1">D90</f>
        <v>0</v>
      </c>
      <c r="N95">
        <f ca="1">E90+N93</f>
        <v>0</v>
      </c>
    </row>
    <row r="96" spans="1:14" x14ac:dyDescent="0.4">
      <c r="A96">
        <f>'BLE - Central'!P31</f>
        <v>13</v>
      </c>
      <c r="B96" t="str">
        <f ca="1">'BLE - Central'!Q31</f>
        <v/>
      </c>
      <c r="C96" s="153">
        <f ca="1">'BLE - Central'!R31</f>
        <v>0</v>
      </c>
      <c r="D96" s="153">
        <f ca="1">'BLE - Central'!S31</f>
        <v>0</v>
      </c>
      <c r="E96" s="153">
        <f ca="1">'BLE - Central'!T31</f>
        <v>0</v>
      </c>
      <c r="L96">
        <f ca="1">L95</f>
        <v>0</v>
      </c>
      <c r="M96">
        <f ca="1">M97</f>
        <v>0</v>
      </c>
      <c r="N96">
        <f ca="1">N95</f>
        <v>0</v>
      </c>
    </row>
    <row r="97" spans="1:14" x14ac:dyDescent="0.4">
      <c r="A97">
        <f>'BLE - Central'!P32</f>
        <v>14</v>
      </c>
      <c r="B97" t="str">
        <f ca="1">'BLE - Central'!Q32</f>
        <v/>
      </c>
      <c r="C97" s="153">
        <f ca="1">'BLE - Central'!R32</f>
        <v>0</v>
      </c>
      <c r="D97" s="153">
        <f ca="1">'BLE - Central'!S32</f>
        <v>0</v>
      </c>
      <c r="E97" s="153">
        <f ca="1">'BLE - Central'!T32</f>
        <v>0</v>
      </c>
      <c r="K97" t="str">
        <f ca="1">B91</f>
        <v/>
      </c>
      <c r="L97">
        <f ca="1">C91+L95</f>
        <v>0</v>
      </c>
      <c r="M97">
        <f ca="1">D91</f>
        <v>0</v>
      </c>
      <c r="N97">
        <f ca="1">E91+N95</f>
        <v>0</v>
      </c>
    </row>
    <row r="98" spans="1:14" x14ac:dyDescent="0.4">
      <c r="A98">
        <v>15</v>
      </c>
      <c r="B98" t="s">
        <v>114</v>
      </c>
      <c r="C98">
        <v>200</v>
      </c>
      <c r="D98">
        <v>0</v>
      </c>
      <c r="E98">
        <v>0</v>
      </c>
      <c r="L98">
        <f ca="1">L97</f>
        <v>0</v>
      </c>
      <c r="M98">
        <f ca="1">M99</f>
        <v>0</v>
      </c>
      <c r="N98">
        <f ca="1">N97</f>
        <v>0</v>
      </c>
    </row>
    <row r="99" spans="1:14" x14ac:dyDescent="0.4">
      <c r="K99" t="str">
        <f ca="1">B92</f>
        <v/>
      </c>
      <c r="L99">
        <f ca="1">C92+L97</f>
        <v>0</v>
      </c>
      <c r="M99">
        <f ca="1">D92</f>
        <v>0</v>
      </c>
      <c r="N99">
        <f ca="1">E92+N97</f>
        <v>0</v>
      </c>
    </row>
    <row r="100" spans="1:14" x14ac:dyDescent="0.4">
      <c r="L100">
        <f ca="1">L99</f>
        <v>0</v>
      </c>
      <c r="M100">
        <f ca="1">M101</f>
        <v>0</v>
      </c>
      <c r="N100">
        <f ca="1">N99</f>
        <v>0</v>
      </c>
    </row>
    <row r="101" spans="1:14" x14ac:dyDescent="0.4">
      <c r="K101" t="str">
        <f ca="1">B93</f>
        <v/>
      </c>
      <c r="L101">
        <f ca="1">C93+L99</f>
        <v>0</v>
      </c>
      <c r="M101">
        <f ca="1">D93</f>
        <v>0</v>
      </c>
      <c r="N101">
        <f ca="1">E93+N99</f>
        <v>0</v>
      </c>
    </row>
    <row r="102" spans="1:14" x14ac:dyDescent="0.4">
      <c r="L102">
        <f ca="1">L101</f>
        <v>0</v>
      </c>
      <c r="M102">
        <f ca="1">M103</f>
        <v>0</v>
      </c>
      <c r="N102">
        <f ca="1">N101</f>
        <v>0</v>
      </c>
    </row>
    <row r="103" spans="1:14" x14ac:dyDescent="0.4">
      <c r="K103" t="str">
        <f ca="1">B94</f>
        <v/>
      </c>
      <c r="L103">
        <f ca="1">C94+L101</f>
        <v>0</v>
      </c>
      <c r="M103">
        <f ca="1">D94</f>
        <v>0</v>
      </c>
      <c r="N103">
        <f ca="1">E94+N101</f>
        <v>0</v>
      </c>
    </row>
    <row r="104" spans="1:14" x14ac:dyDescent="0.4">
      <c r="L104">
        <f ca="1">L103</f>
        <v>0</v>
      </c>
      <c r="M104">
        <f ca="1">M105</f>
        <v>0</v>
      </c>
      <c r="N104">
        <f ca="1">N103</f>
        <v>0</v>
      </c>
    </row>
    <row r="105" spans="1:14" x14ac:dyDescent="0.4">
      <c r="K105" t="str">
        <f ca="1">B95</f>
        <v/>
      </c>
      <c r="L105">
        <f ca="1">C95+L103</f>
        <v>0</v>
      </c>
      <c r="M105">
        <f ca="1">D95</f>
        <v>0</v>
      </c>
      <c r="N105">
        <f ca="1">E95+N103</f>
        <v>0</v>
      </c>
    </row>
    <row r="106" spans="1:14" x14ac:dyDescent="0.4">
      <c r="L106">
        <f ca="1">L105</f>
        <v>0</v>
      </c>
      <c r="M106">
        <f ca="1">M107</f>
        <v>0</v>
      </c>
      <c r="N106">
        <f ca="1">N105</f>
        <v>0</v>
      </c>
    </row>
    <row r="107" spans="1:14" x14ac:dyDescent="0.4">
      <c r="K107" t="str">
        <f ca="1">B96</f>
        <v/>
      </c>
      <c r="L107">
        <f ca="1">C96+L105</f>
        <v>0</v>
      </c>
      <c r="M107">
        <f ca="1">D96</f>
        <v>0</v>
      </c>
      <c r="N107">
        <f ca="1">E96+N105</f>
        <v>0</v>
      </c>
    </row>
    <row r="108" spans="1:14" x14ac:dyDescent="0.4">
      <c r="L108">
        <f ca="1">L107</f>
        <v>0</v>
      </c>
      <c r="M108">
        <f ca="1">M109</f>
        <v>0</v>
      </c>
      <c r="N108">
        <f ca="1">N107</f>
        <v>0</v>
      </c>
    </row>
    <row r="109" spans="1:14" x14ac:dyDescent="0.4">
      <c r="K109" t="str">
        <f ca="1">B97</f>
        <v/>
      </c>
      <c r="L109">
        <f ca="1">C97+L107</f>
        <v>0</v>
      </c>
      <c r="M109">
        <f ca="1">D97</f>
        <v>0</v>
      </c>
      <c r="N109">
        <f ca="1">E97+N107</f>
        <v>0</v>
      </c>
    </row>
    <row r="110" spans="1:14" x14ac:dyDescent="0.4">
      <c r="L110">
        <f ca="1">L109</f>
        <v>0</v>
      </c>
      <c r="M110">
        <f>M111</f>
        <v>0</v>
      </c>
      <c r="N110">
        <f ca="1">N109+E98</f>
        <v>0</v>
      </c>
    </row>
    <row r="111" spans="1:14" x14ac:dyDescent="0.4">
      <c r="L111">
        <f ca="1">C98+L109</f>
        <v>200</v>
      </c>
      <c r="M111">
        <f>D98</f>
        <v>0</v>
      </c>
      <c r="N111">
        <f ca="1">N110</f>
        <v>0</v>
      </c>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9"/>
  <sheetViews>
    <sheetView workbookViewId="0">
      <selection activeCell="G15" sqref="G15"/>
    </sheetView>
  </sheetViews>
  <sheetFormatPr defaultRowHeight="12.3" x14ac:dyDescent="0.4"/>
  <cols>
    <col min="1" max="1" width="19.71875" customWidth="1"/>
    <col min="2" max="2" width="24.83203125" customWidth="1"/>
    <col min="3" max="3" width="31.71875" customWidth="1"/>
    <col min="4" max="4" width="30.71875" customWidth="1"/>
    <col min="5" max="5" width="30.5546875" customWidth="1"/>
    <col min="6" max="6" width="21.44140625" bestFit="1" customWidth="1"/>
  </cols>
  <sheetData>
    <row r="1" spans="1:6" x14ac:dyDescent="0.4">
      <c r="A1" t="s">
        <v>89</v>
      </c>
    </row>
    <row r="3" spans="1:6" x14ac:dyDescent="0.4">
      <c r="C3" s="224" t="s">
        <v>0</v>
      </c>
      <c r="D3" s="224"/>
      <c r="E3" s="224"/>
    </row>
    <row r="4" spans="1:6" x14ac:dyDescent="0.4">
      <c r="C4" s="151">
        <v>0</v>
      </c>
      <c r="D4" s="151">
        <f>'Input arguments'!$A$2</f>
        <v>3.6</v>
      </c>
      <c r="E4" s="151">
        <f>'Input arguments'!$A$3</f>
        <v>3</v>
      </c>
      <c r="F4" s="151">
        <f>'Input arguments'!$A$4</f>
        <v>1.8</v>
      </c>
    </row>
    <row r="5" spans="1:6" x14ac:dyDescent="0.4">
      <c r="A5" s="225" t="s">
        <v>88</v>
      </c>
      <c r="B5" t="str">
        <f>'Input arguments'!I2</f>
        <v>None</v>
      </c>
      <c r="C5" t="s">
        <v>90</v>
      </c>
      <c r="D5" t="s">
        <v>90</v>
      </c>
      <c r="E5" t="s">
        <v>90</v>
      </c>
      <c r="F5" t="s">
        <v>90</v>
      </c>
    </row>
    <row r="6" spans="1:6" x14ac:dyDescent="0.4">
      <c r="A6" s="225"/>
      <c r="B6" t="str">
        <f>'Input arguments'!I3</f>
        <v>Scanning</v>
      </c>
      <c r="C6" t="s">
        <v>90</v>
      </c>
      <c r="D6" s="1" t="s">
        <v>157</v>
      </c>
      <c r="E6" t="s">
        <v>150</v>
      </c>
      <c r="F6" s="1" t="s">
        <v>158</v>
      </c>
    </row>
    <row r="7" spans="1:6" x14ac:dyDescent="0.4">
      <c r="A7" s="225"/>
      <c r="B7" t="str">
        <f>'Input arguments'!I4</f>
        <v>Connected as Central</v>
      </c>
      <c r="C7" t="s">
        <v>90</v>
      </c>
      <c r="D7" s="1" t="s">
        <v>162</v>
      </c>
      <c r="E7" s="1" t="s">
        <v>161</v>
      </c>
      <c r="F7" s="1" t="s">
        <v>163</v>
      </c>
    </row>
    <row r="8" spans="1:6" x14ac:dyDescent="0.4">
      <c r="A8" s="225"/>
      <c r="B8">
        <f>'Input arguments'!I5</f>
        <v>0</v>
      </c>
      <c r="C8" t="s">
        <v>90</v>
      </c>
    </row>
    <row r="9" spans="1:6" x14ac:dyDescent="0.4">
      <c r="A9" s="225"/>
      <c r="B9">
        <f>'Input arguments'!I6</f>
        <v>0</v>
      </c>
      <c r="C9" t="s">
        <v>90</v>
      </c>
    </row>
    <row r="10" spans="1:6" x14ac:dyDescent="0.4">
      <c r="A10" s="225"/>
      <c r="B10">
        <f>'Input arguments'!I7</f>
        <v>0</v>
      </c>
      <c r="C10" t="s">
        <v>90</v>
      </c>
    </row>
    <row r="11" spans="1:6" x14ac:dyDescent="0.4">
      <c r="A11" s="225"/>
      <c r="B11">
        <f>'Input arguments'!I8</f>
        <v>0</v>
      </c>
      <c r="C11" t="s">
        <v>90</v>
      </c>
    </row>
    <row r="16" spans="1:6" ht="14.4" x14ac:dyDescent="0.55000000000000004">
      <c r="B16" s="118" t="s">
        <v>111</v>
      </c>
      <c r="C16" s="118" t="str">
        <f>'BLE - Central'!C16</f>
        <v>Scanning</v>
      </c>
    </row>
    <row r="17" spans="2:3" ht="14.4" x14ac:dyDescent="0.55000000000000004">
      <c r="B17" s="118" t="s">
        <v>105</v>
      </c>
      <c r="C17" s="118">
        <f>IF('BLE - Central'!$D$3=$D$4,COLUMN($D$4), IF('BLE - Central'!$D$3=$E$4, COLUMN($E$4), IF('BLE - Central'!$D$3=$F$4, COLUMN($F$4), COLUMN($C$4))))</f>
        <v>5</v>
      </c>
    </row>
    <row r="18" spans="2:3" ht="14.4" x14ac:dyDescent="0.55000000000000004">
      <c r="B18" s="118" t="s">
        <v>106</v>
      </c>
      <c r="C18" s="118">
        <f>IF(C16=$B$6,ROW($B$6),IF(C16=$B$7,ROW($B$7),IF(C16=$B$8,ROW($B$8),IF(C16=$B$9,ROW($B$9),IF(C16=$B$10,ROW($B$10),IF(C16=$B$11,ROW($B$11),ROW($B$5)))))))</f>
        <v>6</v>
      </c>
    </row>
    <row r="19" spans="2:3" ht="14.4" x14ac:dyDescent="0.55000000000000004">
      <c r="B19" t="s">
        <v>102</v>
      </c>
      <c r="C19" s="117" t="str">
        <f ca="1">INDIRECT(ADDRESS(C18,C17))</f>
        <v>3V_Scanning</v>
      </c>
    </row>
    <row r="21" spans="2:3" ht="14.4" x14ac:dyDescent="0.55000000000000004">
      <c r="B21" s="118" t="s">
        <v>112</v>
      </c>
      <c r="C21" s="118" t="str">
        <f>'BLE - Central'!J16</f>
        <v>Connected as Central</v>
      </c>
    </row>
    <row r="22" spans="2:3" ht="14.4" x14ac:dyDescent="0.55000000000000004">
      <c r="B22" s="118" t="s">
        <v>107</v>
      </c>
      <c r="C22" s="118">
        <f>IF('BLE - Central'!$D$3=$D$4,COLUMN($D$4), IF('BLE - Central'!$D$3=$E$4, COLUMN($E$4), IF('BLE - Central'!$D$3=$F$4, COLUMN($F$4), COLUMN($C$4))))</f>
        <v>5</v>
      </c>
    </row>
    <row r="23" spans="2:3" ht="14.4" x14ac:dyDescent="0.55000000000000004">
      <c r="B23" s="118" t="s">
        <v>108</v>
      </c>
      <c r="C23" s="118">
        <f>IF(C21=$B$6,ROW($B$6),IF(C21=$B$7,ROW($B$7),IF(C21=$B$8,ROW($B$8),IF(C21=$B$9,ROW($B$9),IF(C21=$B$10,ROW($B$10),IF(C21=$B$11,ROW($B$11),ROW($B$5)))))))</f>
        <v>7</v>
      </c>
    </row>
    <row r="24" spans="2:3" ht="14.4" x14ac:dyDescent="0.55000000000000004">
      <c r="B24" t="s">
        <v>103</v>
      </c>
      <c r="C24" s="117" t="str">
        <f ca="1">INDIRECT(ADDRESS(C23,C22))</f>
        <v>3V_ConnectedCentral</v>
      </c>
    </row>
    <row r="26" spans="2:3" ht="14.4" x14ac:dyDescent="0.55000000000000004">
      <c r="B26" s="118" t="s">
        <v>113</v>
      </c>
      <c r="C26" s="118" t="str">
        <f>'BLE - Central'!Q16</f>
        <v>None</v>
      </c>
    </row>
    <row r="27" spans="2:3" ht="14.4" x14ac:dyDescent="0.55000000000000004">
      <c r="B27" s="118" t="s">
        <v>109</v>
      </c>
      <c r="C27" s="118">
        <f>IF('BLE - Central'!$D$3=$D$4,COLUMN($D$4), IF('BLE - Central'!$D$3=$E$4, COLUMN($E$4), IF('BLE - Central'!$D$3=$F$4, COLUMN($F$4), COLUMN($C$4))))</f>
        <v>5</v>
      </c>
    </row>
    <row r="28" spans="2:3" ht="14.4" x14ac:dyDescent="0.55000000000000004">
      <c r="B28" s="118" t="s">
        <v>110</v>
      </c>
      <c r="C28" s="118">
        <f>IF(C26=$B$6,ROW($B$6),IF(C26=$B$7,ROW($B$7),IF(C26=$B$8,ROW($B$8),IF(C26=$B$9,ROW($B$9),IF(C26=$B$10,ROW($B$10),IF(C26=$B$11,ROW($B$11),ROW($B$5)))))))</f>
        <v>5</v>
      </c>
    </row>
    <row r="29" spans="2:3" ht="14.4" x14ac:dyDescent="0.55000000000000004">
      <c r="B29" t="s">
        <v>104</v>
      </c>
      <c r="C29" s="117" t="str">
        <f ca="1">INDIRECT(ADDRESS(C28,C27))</f>
        <v>0V_None</v>
      </c>
    </row>
  </sheetData>
  <mergeCells count="2">
    <mergeCell ref="C3:E3"/>
    <mergeCell ref="A5:A11"/>
  </mergeCells>
  <pageMargins left="0.7" right="0.7" top="0.75" bottom="0.75" header="0.3" footer="0.3"/>
  <pageSetup orientation="portrait"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
  <sheetViews>
    <sheetView showGridLines="0" showRowColHeaders="0" zoomScale="115" zoomScaleNormal="115" workbookViewId="0"/>
  </sheetViews>
  <sheetFormatPr defaultRowHeight="12.3" x14ac:dyDescent="0.4"/>
  <cols>
    <col min="1" max="1" width="5.44140625" style="163" customWidth="1"/>
    <col min="2" max="2" width="7.1640625" customWidth="1"/>
    <col min="3" max="3" width="19" customWidth="1"/>
  </cols>
  <sheetData>
    <row r="1" spans="1:16" s="163" customFormat="1" x14ac:dyDescent="0.4"/>
    <row r="2" spans="1:16" ht="15.75" customHeight="1" x14ac:dyDescent="0.4">
      <c r="A2" s="226" t="s">
        <v>199</v>
      </c>
      <c r="B2" s="226"/>
      <c r="C2" s="226"/>
      <c r="D2" s="226"/>
      <c r="E2" s="226"/>
      <c r="F2" s="226"/>
      <c r="G2" s="226"/>
      <c r="H2" s="226"/>
      <c r="I2" s="226"/>
      <c r="J2" s="226"/>
      <c r="K2" s="226"/>
      <c r="L2" s="226"/>
      <c r="M2" s="226"/>
      <c r="N2" s="226"/>
      <c r="O2" s="226"/>
      <c r="P2" s="226"/>
    </row>
    <row r="3" spans="1:16" ht="174.75" customHeight="1" x14ac:dyDescent="0.4">
      <c r="B3" s="220" t="s">
        <v>200</v>
      </c>
      <c r="C3" s="220"/>
      <c r="D3" s="220"/>
      <c r="E3" s="220"/>
      <c r="F3" s="220"/>
      <c r="G3" s="220"/>
      <c r="H3" s="220"/>
      <c r="I3" s="220"/>
      <c r="J3" s="220"/>
      <c r="K3" s="220"/>
      <c r="L3" s="220"/>
      <c r="M3" s="220"/>
      <c r="N3" s="220"/>
      <c r="O3" s="220"/>
      <c r="P3" s="220"/>
    </row>
    <row r="4" spans="1:16" s="163" customFormat="1" ht="18.75" customHeight="1" x14ac:dyDescent="0.4">
      <c r="A4" s="226" t="s">
        <v>201</v>
      </c>
      <c r="B4" s="226"/>
      <c r="C4" s="226"/>
      <c r="D4" s="226"/>
      <c r="E4" s="226"/>
      <c r="F4" s="226"/>
      <c r="G4" s="226"/>
      <c r="H4" s="226"/>
      <c r="I4" s="226"/>
      <c r="J4" s="226"/>
      <c r="K4" s="226"/>
      <c r="L4" s="226"/>
      <c r="M4" s="226"/>
      <c r="N4" s="226"/>
      <c r="O4" s="226"/>
      <c r="P4" s="226"/>
    </row>
    <row r="5" spans="1:16" ht="272.25" customHeight="1" x14ac:dyDescent="0.4">
      <c r="B5" s="220" t="s">
        <v>202</v>
      </c>
      <c r="C5" s="220"/>
      <c r="D5" s="220"/>
      <c r="E5" s="220"/>
      <c r="F5" s="220"/>
      <c r="G5" s="220"/>
      <c r="H5" s="220"/>
      <c r="I5" s="220"/>
      <c r="J5" s="220"/>
      <c r="K5" s="220"/>
      <c r="L5" s="220"/>
      <c r="M5" s="220"/>
      <c r="N5" s="220"/>
      <c r="O5" s="220"/>
      <c r="P5" s="220"/>
    </row>
  </sheetData>
  <mergeCells count="4">
    <mergeCell ref="B5:P5"/>
    <mergeCell ref="B3:P3"/>
    <mergeCell ref="A2:P2"/>
    <mergeCell ref="A4:P4"/>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workbookViewId="0">
      <selection activeCell="B9" sqref="B9"/>
    </sheetView>
  </sheetViews>
  <sheetFormatPr defaultColWidth="8.83203125" defaultRowHeight="12.3" x14ac:dyDescent="0.4"/>
  <cols>
    <col min="2" max="2" width="43.71875" customWidth="1"/>
    <col min="6" max="8" width="15.1640625" customWidth="1"/>
    <col min="9" max="9" width="21.5546875" bestFit="1" customWidth="1"/>
  </cols>
  <sheetData>
    <row r="1" spans="1:15" x14ac:dyDescent="0.4">
      <c r="A1" s="1" t="s">
        <v>48</v>
      </c>
      <c r="B1" s="1" t="s">
        <v>140</v>
      </c>
      <c r="C1" s="1" t="s">
        <v>49</v>
      </c>
      <c r="D1" s="1" t="s">
        <v>50</v>
      </c>
      <c r="E1" s="1" t="s">
        <v>51</v>
      </c>
      <c r="F1" s="1" t="s">
        <v>60</v>
      </c>
      <c r="G1" s="1" t="s">
        <v>63</v>
      </c>
      <c r="H1" s="1" t="s">
        <v>137</v>
      </c>
      <c r="I1" s="1" t="s">
        <v>141</v>
      </c>
      <c r="O1" t="s">
        <v>68</v>
      </c>
    </row>
    <row r="2" spans="1:15" ht="14.4" x14ac:dyDescent="0.55000000000000004">
      <c r="A2">
        <v>3.6</v>
      </c>
      <c r="B2" s="1" t="s">
        <v>86</v>
      </c>
      <c r="C2" s="1" t="s">
        <v>52</v>
      </c>
      <c r="D2">
        <v>5</v>
      </c>
      <c r="E2">
        <v>5</v>
      </c>
      <c r="F2" s="107">
        <v>-21</v>
      </c>
      <c r="G2" s="111" t="s">
        <v>65</v>
      </c>
      <c r="H2" s="152" t="s">
        <v>138</v>
      </c>
      <c r="I2" t="s">
        <v>86</v>
      </c>
      <c r="O2" s="1" t="s">
        <v>70</v>
      </c>
    </row>
    <row r="3" spans="1:15" ht="14.4" x14ac:dyDescent="0.55000000000000004">
      <c r="A3">
        <v>3</v>
      </c>
      <c r="B3" t="s">
        <v>82</v>
      </c>
      <c r="C3" s="1" t="s">
        <v>53</v>
      </c>
      <c r="D3">
        <v>2</v>
      </c>
      <c r="E3">
        <v>2</v>
      </c>
      <c r="F3" s="107">
        <v>-15</v>
      </c>
      <c r="G3" s="111" t="s">
        <v>64</v>
      </c>
      <c r="H3" s="152" t="s">
        <v>139</v>
      </c>
      <c r="I3" s="152" t="s">
        <v>142</v>
      </c>
      <c r="J3" s="218" t="s">
        <v>17</v>
      </c>
      <c r="K3" s="219"/>
      <c r="L3" s="81">
        <v>1.3</v>
      </c>
      <c r="M3" s="82"/>
    </row>
    <row r="4" spans="1:15" ht="14.4" x14ac:dyDescent="0.55000000000000004">
      <c r="A4">
        <v>1.8</v>
      </c>
      <c r="B4" t="s">
        <v>83</v>
      </c>
      <c r="C4" s="1"/>
      <c r="D4">
        <v>0</v>
      </c>
      <c r="E4">
        <v>0</v>
      </c>
      <c r="F4" s="107">
        <v>-9</v>
      </c>
      <c r="G4" s="109"/>
      <c r="H4" s="109"/>
      <c r="I4" s="159" t="s">
        <v>160</v>
      </c>
      <c r="J4" s="218" t="s">
        <v>17</v>
      </c>
      <c r="K4" s="219"/>
      <c r="L4" s="81">
        <v>1.3</v>
      </c>
    </row>
    <row r="5" spans="1:15" ht="14.4" x14ac:dyDescent="0.55000000000000004">
      <c r="B5" t="s">
        <v>84</v>
      </c>
      <c r="F5" s="107">
        <v>0</v>
      </c>
      <c r="G5" s="109"/>
      <c r="H5" s="109"/>
      <c r="I5" s="109"/>
    </row>
    <row r="6" spans="1:15" ht="14.4" x14ac:dyDescent="0.55000000000000004">
      <c r="B6" t="s">
        <v>125</v>
      </c>
      <c r="F6" s="107">
        <v>3</v>
      </c>
      <c r="G6" s="109"/>
      <c r="H6" s="109"/>
      <c r="I6" s="109"/>
      <c r="J6" s="79"/>
    </row>
    <row r="7" spans="1:15" ht="14.4" x14ac:dyDescent="0.55000000000000004">
      <c r="B7" t="s">
        <v>126</v>
      </c>
      <c r="F7" s="107">
        <v>5</v>
      </c>
      <c r="G7" s="109"/>
      <c r="H7" s="109"/>
      <c r="I7" s="109"/>
      <c r="J7" s="79"/>
    </row>
    <row r="8" spans="1:15" x14ac:dyDescent="0.4">
      <c r="B8" t="s">
        <v>165</v>
      </c>
      <c r="J8" s="80"/>
    </row>
    <row r="9" spans="1:15" x14ac:dyDescent="0.4">
      <c r="B9" t="s">
        <v>85</v>
      </c>
      <c r="J9" s="79"/>
    </row>
  </sheetData>
  <mergeCells count="2">
    <mergeCell ref="J3:K3"/>
    <mergeCell ref="J4:K4"/>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H38"/>
  <sheetViews>
    <sheetView workbookViewId="0">
      <selection activeCell="K45" sqref="K45"/>
    </sheetView>
  </sheetViews>
  <sheetFormatPr defaultColWidth="8.83203125" defaultRowHeight="12.3" x14ac:dyDescent="0.4"/>
  <cols>
    <col min="2" max="2" width="24.27734375" bestFit="1" customWidth="1"/>
  </cols>
  <sheetData>
    <row r="4" spans="2:8" x14ac:dyDescent="0.4">
      <c r="G4" s="2"/>
      <c r="H4" s="2"/>
    </row>
    <row r="5" spans="2:8" ht="24.6" x14ac:dyDescent="0.4">
      <c r="B5" s="35" t="s">
        <v>3</v>
      </c>
      <c r="C5" s="36" t="s">
        <v>24</v>
      </c>
      <c r="D5" s="37" t="s">
        <v>25</v>
      </c>
      <c r="E5" s="85" t="s">
        <v>36</v>
      </c>
      <c r="G5" s="84"/>
      <c r="H5" s="84"/>
    </row>
    <row r="6" spans="2:8" ht="15" customHeight="1" x14ac:dyDescent="0.4">
      <c r="B6" s="119"/>
      <c r="C6" s="62"/>
      <c r="D6" s="104"/>
      <c r="E6" s="62"/>
      <c r="G6" s="84"/>
      <c r="H6" s="84"/>
    </row>
    <row r="7" spans="2:8" x14ac:dyDescent="0.4">
      <c r="B7" s="119"/>
      <c r="C7" s="62"/>
      <c r="D7" s="104"/>
      <c r="E7" s="62"/>
      <c r="G7" s="84"/>
      <c r="H7" s="84"/>
    </row>
    <row r="8" spans="2:8" x14ac:dyDescent="0.4">
      <c r="B8" s="119"/>
      <c r="C8" s="62"/>
      <c r="D8" s="104"/>
      <c r="E8" s="62"/>
      <c r="G8" s="84"/>
      <c r="H8" s="84"/>
    </row>
    <row r="9" spans="2:8" x14ac:dyDescent="0.4">
      <c r="B9" s="119"/>
      <c r="C9" s="62"/>
      <c r="D9" s="104"/>
      <c r="E9" s="62"/>
      <c r="G9" s="84"/>
      <c r="H9" s="84"/>
    </row>
    <row r="10" spans="2:8" x14ac:dyDescent="0.4">
      <c r="B10" s="119"/>
      <c r="C10" s="62"/>
      <c r="D10" s="104"/>
      <c r="E10" s="62"/>
      <c r="G10" s="84"/>
      <c r="H10" s="84"/>
    </row>
    <row r="11" spans="2:8" x14ac:dyDescent="0.4">
      <c r="B11" s="119"/>
      <c r="C11" s="62"/>
      <c r="D11" s="104"/>
      <c r="E11" s="62"/>
      <c r="G11" s="84"/>
      <c r="H11" s="84"/>
    </row>
    <row r="12" spans="2:8" x14ac:dyDescent="0.4">
      <c r="B12" s="119"/>
      <c r="C12" s="62"/>
      <c r="D12" s="104"/>
      <c r="E12" s="62"/>
      <c r="G12" s="84"/>
      <c r="H12" s="84"/>
    </row>
    <row r="13" spans="2:8" x14ac:dyDescent="0.4">
      <c r="B13" s="119"/>
      <c r="C13" s="62"/>
      <c r="D13" s="104"/>
      <c r="E13" s="62"/>
      <c r="G13" s="84"/>
      <c r="H13" s="84"/>
    </row>
    <row r="14" spans="2:8" x14ac:dyDescent="0.4">
      <c r="B14" s="119"/>
      <c r="C14" s="62"/>
      <c r="D14" s="104"/>
      <c r="E14" s="62"/>
      <c r="G14" s="84"/>
      <c r="H14" s="84"/>
    </row>
    <row r="15" spans="2:8" x14ac:dyDescent="0.4">
      <c r="B15" s="119"/>
      <c r="C15" s="62"/>
      <c r="D15" s="104"/>
      <c r="E15" s="62"/>
      <c r="G15" s="84"/>
      <c r="H15" s="84"/>
    </row>
    <row r="16" spans="2:8" x14ac:dyDescent="0.4">
      <c r="B16" s="119"/>
      <c r="C16" s="62"/>
      <c r="D16" s="104"/>
      <c r="E16" s="62"/>
      <c r="G16" s="84"/>
      <c r="H16" s="84"/>
    </row>
    <row r="17" spans="2:8" x14ac:dyDescent="0.4">
      <c r="B17" s="119"/>
      <c r="C17" s="62"/>
      <c r="D17" s="104"/>
      <c r="E17" s="62"/>
      <c r="G17" s="84"/>
      <c r="H17" s="84"/>
    </row>
    <row r="18" spans="2:8" x14ac:dyDescent="0.4">
      <c r="B18" s="119"/>
      <c r="C18" s="62"/>
      <c r="D18" s="104"/>
      <c r="E18" s="62"/>
      <c r="G18" s="84"/>
      <c r="H18" s="84"/>
    </row>
    <row r="19" spans="2:8" x14ac:dyDescent="0.4">
      <c r="B19" s="119"/>
      <c r="C19" s="62"/>
      <c r="D19" s="104"/>
      <c r="E19" s="62"/>
      <c r="G19" s="84"/>
      <c r="H19" s="84"/>
    </row>
    <row r="20" spans="2:8" x14ac:dyDescent="0.4">
      <c r="B20" s="17" t="s">
        <v>123</v>
      </c>
      <c r="C20" s="65">
        <f>SUM(C6:C19)</f>
        <v>0</v>
      </c>
      <c r="D20" s="6"/>
      <c r="E20" s="3"/>
      <c r="G20" s="84"/>
      <c r="H20" s="84"/>
    </row>
    <row r="21" spans="2:8" x14ac:dyDescent="0.4">
      <c r="B21" s="17" t="s">
        <v>43</v>
      </c>
      <c r="C21" s="64"/>
      <c r="D21" s="7"/>
      <c r="E21" s="66">
        <f>SUM(E6:E19)</f>
        <v>0</v>
      </c>
      <c r="G21" s="2"/>
      <c r="H21" s="2"/>
    </row>
    <row r="22" spans="2:8" x14ac:dyDescent="0.4">
      <c r="B22" s="32" t="s">
        <v>124</v>
      </c>
      <c r="C22" s="83"/>
      <c r="D22" s="9"/>
      <c r="E22" s="63">
        <f>1000*IF(E21=0,0,E21/C20)</f>
        <v>0</v>
      </c>
      <c r="G22" s="2"/>
      <c r="H22" s="2"/>
    </row>
    <row r="32" spans="2:8" ht="14.4" x14ac:dyDescent="0.55000000000000004">
      <c r="B32" s="109"/>
      <c r="C32" s="1"/>
    </row>
    <row r="33" spans="2:3" ht="14.4" x14ac:dyDescent="0.55000000000000004">
      <c r="B33" s="109"/>
      <c r="C33" s="109"/>
    </row>
    <row r="34" spans="2:3" ht="14.4" x14ac:dyDescent="0.55000000000000004">
      <c r="B34" s="109"/>
      <c r="C34" s="109"/>
    </row>
    <row r="35" spans="2:3" ht="14.4" x14ac:dyDescent="0.55000000000000004">
      <c r="B35" s="109"/>
      <c r="C35" s="109"/>
    </row>
    <row r="36" spans="2:3" ht="14.4" x14ac:dyDescent="0.55000000000000004">
      <c r="B36" s="109"/>
      <c r="C36" s="109"/>
    </row>
    <row r="37" spans="2:3" ht="14.4" x14ac:dyDescent="0.55000000000000004">
      <c r="B37" s="109"/>
      <c r="C37" s="109"/>
    </row>
    <row r="38" spans="2:3" ht="14.4" x14ac:dyDescent="0.55000000000000004">
      <c r="B38" s="109"/>
      <c r="C38" s="109"/>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H38"/>
  <sheetViews>
    <sheetView workbookViewId="0"/>
  </sheetViews>
  <sheetFormatPr defaultColWidth="8.83203125" defaultRowHeight="12.3" x14ac:dyDescent="0.4"/>
  <cols>
    <col min="2" max="2" width="32.71875" customWidth="1"/>
    <col min="3" max="3" width="19.71875" customWidth="1"/>
    <col min="4" max="4" width="11.27734375" customWidth="1"/>
    <col min="5" max="5" width="11.71875" customWidth="1"/>
  </cols>
  <sheetData>
    <row r="4" spans="2:8" x14ac:dyDescent="0.4">
      <c r="G4" s="2"/>
      <c r="H4" s="2"/>
    </row>
    <row r="5" spans="2:8" ht="24.6" x14ac:dyDescent="0.4">
      <c r="B5" s="35" t="s">
        <v>3</v>
      </c>
      <c r="C5" s="36" t="s">
        <v>24</v>
      </c>
      <c r="D5" s="37" t="s">
        <v>25</v>
      </c>
      <c r="E5" s="85" t="s">
        <v>36</v>
      </c>
      <c r="G5" s="84"/>
      <c r="H5" s="84"/>
    </row>
    <row r="6" spans="2:8" ht="15" customHeight="1" x14ac:dyDescent="0.4">
      <c r="B6" s="55" t="s">
        <v>15</v>
      </c>
      <c r="C6" s="62">
        <v>1294.6666666666667</v>
      </c>
      <c r="D6" s="104">
        <v>3.17794</v>
      </c>
      <c r="E6" s="62">
        <f t="shared" ref="E6:E19" si="0">C6*D6</f>
        <v>4114.3729866666672</v>
      </c>
      <c r="G6" s="84"/>
      <c r="H6" s="84"/>
    </row>
    <row r="7" spans="2:8" x14ac:dyDescent="0.4">
      <c r="B7" s="55" t="s">
        <v>14</v>
      </c>
      <c r="C7" s="62">
        <v>329.11111111111109</v>
      </c>
      <c r="D7" s="104">
        <v>3.7641813333333332</v>
      </c>
      <c r="E7" s="62">
        <f t="shared" si="0"/>
        <v>1238.8339010370369</v>
      </c>
      <c r="G7" s="84"/>
      <c r="H7" s="84"/>
    </row>
    <row r="8" spans="2:8" x14ac:dyDescent="0.4">
      <c r="B8" s="55" t="s">
        <v>7</v>
      </c>
      <c r="C8" s="62">
        <f>137.24+7.8515*('BLE - Peripheral'!$D$8-2)</f>
        <v>176.4975</v>
      </c>
      <c r="D8" s="104">
        <f>VLOOKUP('BLE - Peripheral'!$D$6,B33:C38,2)</f>
        <v>7.4746973333333324</v>
      </c>
      <c r="E8" s="62">
        <f t="shared" si="0"/>
        <v>1319.2653925899999</v>
      </c>
      <c r="G8" s="84"/>
      <c r="H8" s="84"/>
    </row>
    <row r="9" spans="2:8" x14ac:dyDescent="0.4">
      <c r="B9" s="55" t="s">
        <v>9</v>
      </c>
      <c r="C9" s="62">
        <v>131</v>
      </c>
      <c r="D9" s="104">
        <v>4.6730444444444457</v>
      </c>
      <c r="E9" s="62">
        <f t="shared" si="0"/>
        <v>612.16882222222239</v>
      </c>
      <c r="G9" s="84"/>
      <c r="H9" s="84"/>
    </row>
    <row r="10" spans="2:8" x14ac:dyDescent="0.4">
      <c r="B10" s="55" t="s">
        <v>5</v>
      </c>
      <c r="C10" s="62">
        <v>104.11111111111111</v>
      </c>
      <c r="D10" s="104">
        <v>6.636966666666666</v>
      </c>
      <c r="E10" s="62">
        <f t="shared" si="0"/>
        <v>690.98197407407406</v>
      </c>
      <c r="G10" s="84"/>
      <c r="H10" s="84"/>
    </row>
    <row r="11" spans="2:8" x14ac:dyDescent="0.4">
      <c r="B11" s="55" t="s">
        <v>6</v>
      </c>
      <c r="C11" s="62">
        <v>286.88888888888891</v>
      </c>
      <c r="D11" s="104">
        <v>3.4826444444444444</v>
      </c>
      <c r="E11" s="62">
        <f t="shared" si="0"/>
        <v>999.1319950617285</v>
      </c>
      <c r="G11" s="84"/>
      <c r="H11" s="84"/>
    </row>
    <row r="12" spans="2:8" x14ac:dyDescent="0.4">
      <c r="B12" s="55" t="s">
        <v>7</v>
      </c>
      <c r="C12" s="62">
        <f>C8</f>
        <v>176.4975</v>
      </c>
      <c r="D12" s="104">
        <f>D8</f>
        <v>7.4746973333333324</v>
      </c>
      <c r="E12" s="62">
        <f t="shared" si="0"/>
        <v>1319.2653925899999</v>
      </c>
      <c r="G12" s="84"/>
      <c r="H12" s="84"/>
    </row>
    <row r="13" spans="2:8" x14ac:dyDescent="0.4">
      <c r="B13" s="55" t="s">
        <v>9</v>
      </c>
      <c r="C13" s="62">
        <v>130.77777777777777</v>
      </c>
      <c r="D13" s="104">
        <v>4.7019555555555561</v>
      </c>
      <c r="E13" s="62">
        <f t="shared" si="0"/>
        <v>614.91129876543209</v>
      </c>
      <c r="G13" s="84"/>
      <c r="H13" s="84"/>
    </row>
    <row r="14" spans="2:8" x14ac:dyDescent="0.4">
      <c r="B14" s="55" t="s">
        <v>5</v>
      </c>
      <c r="C14" s="62">
        <v>108.11111111111111</v>
      </c>
      <c r="D14" s="104">
        <v>6.6446999999999994</v>
      </c>
      <c r="E14" s="62">
        <f t="shared" si="0"/>
        <v>718.36590000000001</v>
      </c>
      <c r="G14" s="84"/>
      <c r="H14" s="84"/>
    </row>
    <row r="15" spans="2:8" x14ac:dyDescent="0.4">
      <c r="B15" s="55" t="s">
        <v>6</v>
      </c>
      <c r="C15" s="62">
        <v>286.88888888888891</v>
      </c>
      <c r="D15" s="104">
        <v>3.5186333333333328</v>
      </c>
      <c r="E15" s="62">
        <f t="shared" si="0"/>
        <v>1009.4568074074074</v>
      </c>
      <c r="G15" s="84"/>
      <c r="H15" s="84"/>
    </row>
    <row r="16" spans="2:8" x14ac:dyDescent="0.4">
      <c r="B16" s="55" t="s">
        <v>7</v>
      </c>
      <c r="C16" s="62">
        <f>C8</f>
        <v>176.4975</v>
      </c>
      <c r="D16" s="104">
        <f>D8</f>
        <v>7.4746973333333324</v>
      </c>
      <c r="E16" s="62">
        <f t="shared" si="0"/>
        <v>1319.2653925899999</v>
      </c>
      <c r="G16" s="84"/>
      <c r="H16" s="84"/>
    </row>
    <row r="17" spans="2:8" x14ac:dyDescent="0.4">
      <c r="B17" s="55" t="s">
        <v>9</v>
      </c>
      <c r="C17" s="62">
        <v>131.22222222222223</v>
      </c>
      <c r="D17" s="104">
        <v>4.7165777777777764</v>
      </c>
      <c r="E17" s="62">
        <f t="shared" si="0"/>
        <v>618.91981728395047</v>
      </c>
      <c r="G17" s="84"/>
      <c r="H17" s="84"/>
    </row>
    <row r="18" spans="2:8" x14ac:dyDescent="0.4">
      <c r="B18" s="55" t="s">
        <v>5</v>
      </c>
      <c r="C18" s="62">
        <v>107.55555555555556</v>
      </c>
      <c r="D18" s="104">
        <v>6.6835222222222228</v>
      </c>
      <c r="E18" s="62">
        <f t="shared" si="0"/>
        <v>718.84994567901242</v>
      </c>
      <c r="G18" s="84"/>
      <c r="H18" s="84"/>
    </row>
    <row r="19" spans="2:8" x14ac:dyDescent="0.4">
      <c r="B19" s="55" t="s">
        <v>16</v>
      </c>
      <c r="C19" s="62">
        <v>846.44444444444446</v>
      </c>
      <c r="D19" s="104">
        <v>2.5783222222222224</v>
      </c>
      <c r="E19" s="62">
        <f t="shared" si="0"/>
        <v>2182.4065209876544</v>
      </c>
      <c r="G19" s="84"/>
      <c r="H19" s="84"/>
    </row>
    <row r="20" spans="2:8" x14ac:dyDescent="0.4">
      <c r="B20" s="55"/>
      <c r="C20" s="62"/>
      <c r="D20" s="62"/>
      <c r="E20" s="62"/>
      <c r="G20" s="84"/>
      <c r="H20" s="84"/>
    </row>
    <row r="21" spans="2:8" x14ac:dyDescent="0.4">
      <c r="B21" s="55"/>
      <c r="C21" s="62"/>
      <c r="D21" s="62"/>
      <c r="E21" s="62"/>
      <c r="G21" s="84"/>
      <c r="H21" s="84"/>
    </row>
    <row r="22" spans="2:8" x14ac:dyDescent="0.4">
      <c r="B22" s="55"/>
      <c r="C22" s="125"/>
      <c r="D22" s="129"/>
      <c r="E22" s="124"/>
      <c r="G22" s="84"/>
      <c r="H22" s="84"/>
    </row>
    <row r="23" spans="2:8" x14ac:dyDescent="0.4">
      <c r="B23" s="87" t="s">
        <v>56</v>
      </c>
      <c r="C23" s="120">
        <f>SUM(C6:C20)</f>
        <v>4286.2702777777777</v>
      </c>
      <c r="D23" s="6"/>
      <c r="E23" s="3"/>
    </row>
    <row r="24" spans="2:8" x14ac:dyDescent="0.4">
      <c r="B24" s="17" t="s">
        <v>43</v>
      </c>
      <c r="C24" s="64"/>
      <c r="D24" s="7"/>
      <c r="E24" s="66">
        <f>SUM(E6:E20)</f>
        <v>17476.196146955182</v>
      </c>
    </row>
    <row r="25" spans="2:8" ht="24.6" x14ac:dyDescent="0.4">
      <c r="B25" s="32" t="s">
        <v>37</v>
      </c>
      <c r="C25" s="83"/>
      <c r="D25" s="9"/>
      <c r="E25" s="63">
        <f>1000*IF(E24=0,0,E24/C23)</f>
        <v>4077.2501532534575</v>
      </c>
    </row>
    <row r="26" spans="2:8" x14ac:dyDescent="0.4">
      <c r="B26" s="5"/>
      <c r="C26" s="2"/>
      <c r="D26" s="2"/>
      <c r="E26" s="2"/>
    </row>
    <row r="27" spans="2:8" ht="15" x14ac:dyDescent="0.4">
      <c r="B27" s="18" t="s">
        <v>54</v>
      </c>
      <c r="C27" s="86">
        <f>((E25*C23)+((('BLE - Peripheral'!D7*1000)-C23)*'Input arguments'!L4))/('BLE - Peripheral'!D7*1000)</f>
        <v>176.00623995594074</v>
      </c>
      <c r="D27" s="102" t="s">
        <v>38</v>
      </c>
    </row>
    <row r="28" spans="2:8" ht="15" x14ac:dyDescent="0.4">
      <c r="B28" s="18" t="s">
        <v>33</v>
      </c>
      <c r="C28" s="101">
        <f>'BLE - Peripheral'!D4/(C27/1000)</f>
        <v>1278.3637674228128</v>
      </c>
      <c r="D28" s="103" t="s">
        <v>18</v>
      </c>
    </row>
    <row r="29" spans="2:8" ht="15" x14ac:dyDescent="0.4">
      <c r="B29" s="99" t="s">
        <v>33</v>
      </c>
      <c r="C29" s="93">
        <f>C28/24</f>
        <v>53.265156975950532</v>
      </c>
      <c r="D29" s="102" t="s">
        <v>21</v>
      </c>
    </row>
    <row r="32" spans="2:8" ht="14.4" x14ac:dyDescent="0.55000000000000004">
      <c r="B32" s="108" t="s">
        <v>61</v>
      </c>
      <c r="C32" s="1" t="s">
        <v>62</v>
      </c>
    </row>
    <row r="33" spans="2:3" ht="14.4" x14ac:dyDescent="0.55000000000000004">
      <c r="B33" s="108">
        <v>-21</v>
      </c>
      <c r="C33" s="109">
        <v>4.7909666666666659</v>
      </c>
    </row>
    <row r="34" spans="2:3" ht="14.4" x14ac:dyDescent="0.55000000000000004">
      <c r="B34" s="108">
        <v>-15</v>
      </c>
      <c r="C34" s="109">
        <v>5.0602111111111112</v>
      </c>
    </row>
    <row r="35" spans="2:3" ht="14.4" x14ac:dyDescent="0.55000000000000004">
      <c r="B35" s="108">
        <v>-9</v>
      </c>
      <c r="C35" s="109">
        <v>5.5397444444444455</v>
      </c>
    </row>
    <row r="36" spans="2:3" ht="14.4" x14ac:dyDescent="0.55000000000000004">
      <c r="B36" s="108">
        <v>0</v>
      </c>
      <c r="C36" s="109">
        <v>7.4746973333333324</v>
      </c>
    </row>
    <row r="37" spans="2:3" ht="14.4" x14ac:dyDescent="0.55000000000000004">
      <c r="B37" s="108">
        <v>3</v>
      </c>
      <c r="C37" s="109">
        <v>8.6067999999999998</v>
      </c>
    </row>
    <row r="38" spans="2:3" ht="14.4" x14ac:dyDescent="0.55000000000000004">
      <c r="B38" s="108">
        <v>5</v>
      </c>
      <c r="C38" s="109">
        <v>10.073333333333332</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H29"/>
  <sheetViews>
    <sheetView workbookViewId="0">
      <selection activeCell="J16" sqref="J16"/>
    </sheetView>
  </sheetViews>
  <sheetFormatPr defaultColWidth="8.83203125" defaultRowHeight="12.3" x14ac:dyDescent="0.4"/>
  <cols>
    <col min="2" max="2" width="27.44140625" customWidth="1"/>
  </cols>
  <sheetData>
    <row r="4" spans="2:7" x14ac:dyDescent="0.4">
      <c r="G4" s="2"/>
    </row>
    <row r="5" spans="2:7" ht="24.6" x14ac:dyDescent="0.4">
      <c r="B5" s="35" t="s">
        <v>3</v>
      </c>
      <c r="C5" s="134" t="s">
        <v>24</v>
      </c>
      <c r="D5" s="37" t="s">
        <v>25</v>
      </c>
      <c r="E5" s="16" t="s">
        <v>36</v>
      </c>
      <c r="G5" s="84"/>
    </row>
    <row r="6" spans="2:7" x14ac:dyDescent="0.4">
      <c r="B6" s="55" t="str">
        <f>'3V_LegacyAdvertisement'!B6</f>
        <v>Wake Up &amp; Pre-Processing</v>
      </c>
      <c r="C6" s="132">
        <f>'3V_LegacyAdvertisement'!C6</f>
        <v>1294.6666666666667</v>
      </c>
      <c r="D6" s="105">
        <f>('3V_LegacyAdvertisement'!D6)*3/1.8</f>
        <v>5.2965666666666671</v>
      </c>
      <c r="E6" s="62">
        <f t="shared" ref="E6:E19" si="0">C6*D6</f>
        <v>6857.2883111111123</v>
      </c>
      <c r="G6" s="84"/>
    </row>
    <row r="7" spans="2:7" x14ac:dyDescent="0.4">
      <c r="B7" s="55" t="str">
        <f>'3V_LegacyAdvertisement'!B7</f>
        <v>Radio Preparation</v>
      </c>
      <c r="C7" s="133">
        <f>'3V_LegacyAdvertisement'!C7</f>
        <v>329.11111111111109</v>
      </c>
      <c r="D7" s="105">
        <f>('3V_LegacyAdvertisement'!D7)*3/1.8</f>
        <v>6.273635555555555</v>
      </c>
      <c r="E7" s="62">
        <f t="shared" si="0"/>
        <v>2064.7231683950613</v>
      </c>
      <c r="G7" s="84"/>
    </row>
    <row r="8" spans="2:7" x14ac:dyDescent="0.4">
      <c r="B8" s="55" t="str">
        <f>'3V_LegacyAdvertisement'!B8</f>
        <v>Transmit (TX)</v>
      </c>
      <c r="C8" s="133">
        <f>'3V_LegacyAdvertisement'!C8</f>
        <v>176.4975</v>
      </c>
      <c r="D8" s="105">
        <f>('3V_LegacyAdvertisement'!D8)*3/1.8</f>
        <v>12.457828888888887</v>
      </c>
      <c r="E8" s="62">
        <f t="shared" si="0"/>
        <v>2198.7756543166665</v>
      </c>
      <c r="G8" s="84"/>
    </row>
    <row r="9" spans="2:7" x14ac:dyDescent="0.4">
      <c r="B9" s="55" t="str">
        <f>'3V_LegacyAdvertisement'!B9</f>
        <v>TX to RX transition</v>
      </c>
      <c r="C9" s="133">
        <f>'3V_LegacyAdvertisement'!C9</f>
        <v>131</v>
      </c>
      <c r="D9" s="105">
        <f>('3V_LegacyAdvertisement'!D9)*3/1.8</f>
        <v>7.7884074074074086</v>
      </c>
      <c r="E9" s="62">
        <f t="shared" si="0"/>
        <v>1020.2813703703705</v>
      </c>
      <c r="G9" s="84"/>
    </row>
    <row r="10" spans="2:7" x14ac:dyDescent="0.4">
      <c r="B10" s="55" t="str">
        <f>'3V_LegacyAdvertisement'!B10</f>
        <v>Recieve (RX)</v>
      </c>
      <c r="C10" s="133">
        <f>'3V_LegacyAdvertisement'!C10</f>
        <v>104.11111111111111</v>
      </c>
      <c r="D10" s="105">
        <f>('3V_LegacyAdvertisement'!D10)*3/1.8</f>
        <v>11.061611111111111</v>
      </c>
      <c r="E10" s="62">
        <f t="shared" si="0"/>
        <v>1151.6366234567902</v>
      </c>
      <c r="G10" s="84"/>
    </row>
    <row r="11" spans="2:7" x14ac:dyDescent="0.4">
      <c r="B11" s="55" t="str">
        <f>'3V_LegacyAdvertisement'!B11</f>
        <v>RX to TX transition</v>
      </c>
      <c r="C11" s="133">
        <f>'3V_LegacyAdvertisement'!C11</f>
        <v>286.88888888888891</v>
      </c>
      <c r="D11" s="105">
        <f>('3V_LegacyAdvertisement'!D11)*3/1.8</f>
        <v>5.8044074074074077</v>
      </c>
      <c r="E11" s="62">
        <f t="shared" si="0"/>
        <v>1665.2199917695475</v>
      </c>
      <c r="G11" s="84"/>
    </row>
    <row r="12" spans="2:7" x14ac:dyDescent="0.4">
      <c r="B12" s="55" t="str">
        <f>'3V_LegacyAdvertisement'!B12</f>
        <v>Transmit (TX)</v>
      </c>
      <c r="C12" s="133">
        <f>'3V_LegacyAdvertisement'!C12</f>
        <v>176.4975</v>
      </c>
      <c r="D12" s="105">
        <f>('3V_LegacyAdvertisement'!D12)*3/1.8</f>
        <v>12.457828888888887</v>
      </c>
      <c r="E12" s="62">
        <f t="shared" si="0"/>
        <v>2198.7756543166665</v>
      </c>
      <c r="G12" s="84"/>
    </row>
    <row r="13" spans="2:7" x14ac:dyDescent="0.4">
      <c r="B13" s="55" t="str">
        <f>'3V_LegacyAdvertisement'!B13</f>
        <v>TX to RX transition</v>
      </c>
      <c r="C13" s="133">
        <f>'3V_LegacyAdvertisement'!C13</f>
        <v>130.77777777777777</v>
      </c>
      <c r="D13" s="105">
        <f>('3V_LegacyAdvertisement'!D13)*3/1.8</f>
        <v>7.8365925925925932</v>
      </c>
      <c r="E13" s="62">
        <f t="shared" si="0"/>
        <v>1024.8521646090535</v>
      </c>
      <c r="G13" s="84"/>
    </row>
    <row r="14" spans="2:7" x14ac:dyDescent="0.4">
      <c r="B14" s="55" t="str">
        <f>'3V_LegacyAdvertisement'!B14</f>
        <v>Recieve (RX)</v>
      </c>
      <c r="C14" s="133">
        <f>'3V_LegacyAdvertisement'!C14</f>
        <v>108.11111111111111</v>
      </c>
      <c r="D14" s="105">
        <f>('3V_LegacyAdvertisement'!D14)*3/1.8</f>
        <v>11.074499999999999</v>
      </c>
      <c r="E14" s="62">
        <f t="shared" si="0"/>
        <v>1197.2764999999999</v>
      </c>
      <c r="G14" s="84"/>
    </row>
    <row r="15" spans="2:7" x14ac:dyDescent="0.4">
      <c r="B15" s="55" t="str">
        <f>'3V_LegacyAdvertisement'!B15</f>
        <v>RX to TX transition</v>
      </c>
      <c r="C15" s="133">
        <f>'3V_LegacyAdvertisement'!C15</f>
        <v>286.88888888888891</v>
      </c>
      <c r="D15" s="105">
        <f>('3V_LegacyAdvertisement'!D15)*3/1.8</f>
        <v>5.8643888888888878</v>
      </c>
      <c r="E15" s="62">
        <f t="shared" si="0"/>
        <v>1682.4280123456788</v>
      </c>
      <c r="G15" s="84"/>
    </row>
    <row r="16" spans="2:7" x14ac:dyDescent="0.4">
      <c r="B16" s="55" t="str">
        <f>'3V_LegacyAdvertisement'!B16</f>
        <v>Transmit (TX)</v>
      </c>
      <c r="C16" s="133">
        <f>'3V_LegacyAdvertisement'!C16</f>
        <v>176.4975</v>
      </c>
      <c r="D16" s="105">
        <f>('3V_LegacyAdvertisement'!D16)*3/1.8</f>
        <v>12.457828888888887</v>
      </c>
      <c r="E16" s="62">
        <f t="shared" si="0"/>
        <v>2198.7756543166665</v>
      </c>
      <c r="G16" s="84"/>
    </row>
    <row r="17" spans="2:8" x14ac:dyDescent="0.4">
      <c r="B17" s="55" t="str">
        <f>'3V_LegacyAdvertisement'!B17</f>
        <v>TX to RX transition</v>
      </c>
      <c r="C17" s="133">
        <f>'3V_LegacyAdvertisement'!C17</f>
        <v>131.22222222222223</v>
      </c>
      <c r="D17" s="105">
        <f>('3V_LegacyAdvertisement'!D17)*3/1.8</f>
        <v>7.8609629629629607</v>
      </c>
      <c r="E17" s="62">
        <f t="shared" si="0"/>
        <v>1031.5330288065841</v>
      </c>
      <c r="G17" s="84"/>
    </row>
    <row r="18" spans="2:8" x14ac:dyDescent="0.4">
      <c r="B18" s="55" t="str">
        <f>'3V_LegacyAdvertisement'!B18</f>
        <v>Recieve (RX)</v>
      </c>
      <c r="C18" s="133">
        <f>'3V_LegacyAdvertisement'!C18</f>
        <v>107.55555555555556</v>
      </c>
      <c r="D18" s="105">
        <f>('3V_LegacyAdvertisement'!D18)*3/1.8</f>
        <v>11.139203703703705</v>
      </c>
      <c r="E18" s="62">
        <f t="shared" si="0"/>
        <v>1198.0832427983541</v>
      </c>
      <c r="G18" s="84"/>
    </row>
    <row r="19" spans="2:8" x14ac:dyDescent="0.4">
      <c r="B19" s="55" t="str">
        <f>'3V_LegacyAdvertisement'!B19</f>
        <v>Post-Processing</v>
      </c>
      <c r="C19" s="133">
        <f>'3V_LegacyAdvertisement'!C19</f>
        <v>846.44444444444446</v>
      </c>
      <c r="D19" s="105">
        <f>('3V_LegacyAdvertisement'!D19)*3/1.8</f>
        <v>4.2972037037037039</v>
      </c>
      <c r="E19" s="62">
        <f t="shared" si="0"/>
        <v>3637.3442016460908</v>
      </c>
      <c r="G19" s="84"/>
    </row>
    <row r="20" spans="2:8" x14ac:dyDescent="0.4">
      <c r="B20" s="55"/>
      <c r="C20" s="62"/>
      <c r="D20" s="62"/>
      <c r="E20" s="62"/>
      <c r="G20" s="84"/>
      <c r="H20" s="84"/>
    </row>
    <row r="21" spans="2:8" x14ac:dyDescent="0.4">
      <c r="B21" s="55"/>
      <c r="C21" s="62"/>
      <c r="D21" s="62"/>
      <c r="E21" s="62"/>
      <c r="G21" s="84"/>
      <c r="H21" s="84"/>
    </row>
    <row r="22" spans="2:8" x14ac:dyDescent="0.4">
      <c r="B22" s="55"/>
      <c r="C22" s="125"/>
      <c r="D22" s="129"/>
      <c r="E22" s="124"/>
      <c r="G22" s="84"/>
      <c r="H22" s="84"/>
    </row>
    <row r="23" spans="2:8" ht="24.6" x14ac:dyDescent="0.4">
      <c r="B23" s="87" t="s">
        <v>56</v>
      </c>
      <c r="C23" s="120">
        <f>SUM(C6:C20)</f>
        <v>4286.2702777777777</v>
      </c>
      <c r="D23" s="6"/>
      <c r="E23" s="3"/>
    </row>
    <row r="24" spans="2:8" x14ac:dyDescent="0.4">
      <c r="B24" s="17" t="s">
        <v>43</v>
      </c>
      <c r="C24" s="64"/>
      <c r="D24" s="7"/>
      <c r="E24" s="66">
        <f>SUM(E6:E20)</f>
        <v>29126.99357825864</v>
      </c>
    </row>
    <row r="25" spans="2:8" ht="24.6" x14ac:dyDescent="0.4">
      <c r="B25" s="32" t="s">
        <v>37</v>
      </c>
      <c r="C25" s="83"/>
      <c r="D25" s="9"/>
      <c r="E25" s="63">
        <f>1000*IF(E24=0,0,E24/C23)</f>
        <v>6795.4169220890963</v>
      </c>
    </row>
    <row r="26" spans="2:8" x14ac:dyDescent="0.4">
      <c r="B26" s="5"/>
      <c r="C26" s="2"/>
      <c r="D26" s="2"/>
      <c r="E26" s="2"/>
    </row>
    <row r="27" spans="2:8" ht="24.6" x14ac:dyDescent="0.4">
      <c r="B27" s="18" t="s">
        <v>54</v>
      </c>
      <c r="C27" s="86">
        <f>((E25*C23)+((('BLE - Peripheral'!D7*1000)-C23)*'Input arguments'!L4))/('BLE - Peripheral'!D7*1000)</f>
        <v>292.51421426897531</v>
      </c>
      <c r="D27" s="102" t="s">
        <v>38</v>
      </c>
    </row>
    <row r="28" spans="2:8" ht="15" x14ac:dyDescent="0.4">
      <c r="B28" s="18" t="s">
        <v>33</v>
      </c>
      <c r="C28" s="101">
        <f>'BLE - Peripheral'!D4/(C27/1000)</f>
        <v>769.19338966928285</v>
      </c>
      <c r="D28" s="103" t="s">
        <v>18</v>
      </c>
    </row>
    <row r="29" spans="2:8" ht="15" x14ac:dyDescent="0.4">
      <c r="B29" s="99" t="s">
        <v>33</v>
      </c>
      <c r="C29" s="93">
        <f>C28/24</f>
        <v>32.049724569553455</v>
      </c>
      <c r="D29" s="102" t="s">
        <v>21</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H29"/>
  <sheetViews>
    <sheetView workbookViewId="0">
      <selection activeCell="D6" sqref="D6"/>
    </sheetView>
  </sheetViews>
  <sheetFormatPr defaultColWidth="8.83203125" defaultRowHeight="12.3" x14ac:dyDescent="0.4"/>
  <cols>
    <col min="2" max="2" width="28.5546875" customWidth="1"/>
  </cols>
  <sheetData>
    <row r="4" spans="2:7" x14ac:dyDescent="0.4">
      <c r="G4" s="84"/>
    </row>
    <row r="5" spans="2:7" ht="24.6" x14ac:dyDescent="0.4">
      <c r="B5" s="35" t="s">
        <v>3</v>
      </c>
      <c r="C5" s="134" t="s">
        <v>24</v>
      </c>
      <c r="D5" s="37" t="s">
        <v>25</v>
      </c>
      <c r="E5" s="16" t="s">
        <v>36</v>
      </c>
      <c r="G5" s="84"/>
    </row>
    <row r="6" spans="2:7" ht="14.25" customHeight="1" x14ac:dyDescent="0.4">
      <c r="B6" s="55" t="str">
        <f>'3V_LegacyAdvertisement'!B6</f>
        <v>Wake Up &amp; Pre-Processing</v>
      </c>
      <c r="C6" s="133">
        <f>'3V_LegacyAdvertisement'!C6</f>
        <v>1294.6666666666667</v>
      </c>
      <c r="D6" s="105">
        <f>('3V_LegacyAdvertisement'!D6)*3/3.6</f>
        <v>2.6482833333333335</v>
      </c>
      <c r="E6" s="62">
        <f t="shared" ref="E6:E19" si="0">C6*D6</f>
        <v>3428.6441555555562</v>
      </c>
      <c r="G6" s="84"/>
    </row>
    <row r="7" spans="2:7" x14ac:dyDescent="0.4">
      <c r="B7" s="55" t="str">
        <f>'3V_LegacyAdvertisement'!B7</f>
        <v>Radio Preparation</v>
      </c>
      <c r="C7" s="133">
        <f>'3V_LegacyAdvertisement'!C7</f>
        <v>329.11111111111109</v>
      </c>
      <c r="D7" s="105">
        <f>('3V_LegacyAdvertisement'!D7)*3/3.6</f>
        <v>3.1368177777777775</v>
      </c>
      <c r="E7" s="62">
        <f t="shared" si="0"/>
        <v>1032.3615841975306</v>
      </c>
      <c r="G7" s="84"/>
    </row>
    <row r="8" spans="2:7" x14ac:dyDescent="0.4">
      <c r="B8" s="55" t="str">
        <f>'3V_LegacyAdvertisement'!B8</f>
        <v>Transmit (TX)</v>
      </c>
      <c r="C8" s="133">
        <f>'3V_LegacyAdvertisement'!C8</f>
        <v>176.4975</v>
      </c>
      <c r="D8" s="105">
        <f>('3V_LegacyAdvertisement'!D8)*3/3.6</f>
        <v>6.2289144444444435</v>
      </c>
      <c r="E8" s="62">
        <f t="shared" si="0"/>
        <v>1099.3878271583333</v>
      </c>
      <c r="G8" s="84"/>
    </row>
    <row r="9" spans="2:7" x14ac:dyDescent="0.4">
      <c r="B9" s="55" t="str">
        <f>'3V_LegacyAdvertisement'!B9</f>
        <v>TX to RX transition</v>
      </c>
      <c r="C9" s="133">
        <f>'3V_LegacyAdvertisement'!C9</f>
        <v>131</v>
      </c>
      <c r="D9" s="105">
        <f>('3V_LegacyAdvertisement'!D9)*3/3.6</f>
        <v>3.8942037037037043</v>
      </c>
      <c r="E9" s="62">
        <f t="shared" si="0"/>
        <v>510.14068518518525</v>
      </c>
      <c r="G9" s="84"/>
    </row>
    <row r="10" spans="2:7" x14ac:dyDescent="0.4">
      <c r="B10" s="55" t="str">
        <f>'3V_LegacyAdvertisement'!B10</f>
        <v>Recieve (RX)</v>
      </c>
      <c r="C10" s="133">
        <f>'3V_LegacyAdvertisement'!C10</f>
        <v>104.11111111111111</v>
      </c>
      <c r="D10" s="105">
        <f>('3V_LegacyAdvertisement'!D10)*3/3.6</f>
        <v>5.5308055555555553</v>
      </c>
      <c r="E10" s="62">
        <f t="shared" si="0"/>
        <v>575.81831172839509</v>
      </c>
      <c r="G10" s="84"/>
    </row>
    <row r="11" spans="2:7" x14ac:dyDescent="0.4">
      <c r="B11" s="55" t="str">
        <f>'3V_LegacyAdvertisement'!B11</f>
        <v>RX to TX transition</v>
      </c>
      <c r="C11" s="133">
        <f>'3V_LegacyAdvertisement'!C11</f>
        <v>286.88888888888891</v>
      </c>
      <c r="D11" s="105">
        <f>('3V_LegacyAdvertisement'!D11)*3/3.6</f>
        <v>2.9022037037037038</v>
      </c>
      <c r="E11" s="62">
        <f t="shared" si="0"/>
        <v>832.60999588477375</v>
      </c>
      <c r="G11" s="84"/>
    </row>
    <row r="12" spans="2:7" x14ac:dyDescent="0.4">
      <c r="B12" s="55" t="str">
        <f>'3V_LegacyAdvertisement'!B12</f>
        <v>Transmit (TX)</v>
      </c>
      <c r="C12" s="133">
        <f>'3V_LegacyAdvertisement'!C12</f>
        <v>176.4975</v>
      </c>
      <c r="D12" s="105">
        <f>('3V_LegacyAdvertisement'!D12)*3/3.6</f>
        <v>6.2289144444444435</v>
      </c>
      <c r="E12" s="62">
        <f t="shared" si="0"/>
        <v>1099.3878271583333</v>
      </c>
      <c r="G12" s="84"/>
    </row>
    <row r="13" spans="2:7" x14ac:dyDescent="0.4">
      <c r="B13" s="55" t="str">
        <f>'3V_LegacyAdvertisement'!B13</f>
        <v>TX to RX transition</v>
      </c>
      <c r="C13" s="133">
        <f>'3V_LegacyAdvertisement'!C13</f>
        <v>130.77777777777777</v>
      </c>
      <c r="D13" s="105">
        <f>('3V_LegacyAdvertisement'!D13)*3/3.6</f>
        <v>3.9182962962962966</v>
      </c>
      <c r="E13" s="62">
        <f t="shared" si="0"/>
        <v>512.42608230452674</v>
      </c>
      <c r="G13" s="84"/>
    </row>
    <row r="14" spans="2:7" x14ac:dyDescent="0.4">
      <c r="B14" s="55" t="str">
        <f>'3V_LegacyAdvertisement'!B14</f>
        <v>Recieve (RX)</v>
      </c>
      <c r="C14" s="133">
        <f>'3V_LegacyAdvertisement'!C14</f>
        <v>108.11111111111111</v>
      </c>
      <c r="D14" s="105">
        <f>('3V_LegacyAdvertisement'!D14)*3/3.6</f>
        <v>5.5372499999999993</v>
      </c>
      <c r="E14" s="62">
        <f t="shared" si="0"/>
        <v>598.63824999999997</v>
      </c>
      <c r="G14" s="84"/>
    </row>
    <row r="15" spans="2:7" x14ac:dyDescent="0.4">
      <c r="B15" s="55" t="str">
        <f>'3V_LegacyAdvertisement'!B15</f>
        <v>RX to TX transition</v>
      </c>
      <c r="C15" s="133">
        <f>'3V_LegacyAdvertisement'!C15</f>
        <v>286.88888888888891</v>
      </c>
      <c r="D15" s="105">
        <f>('3V_LegacyAdvertisement'!D15)*3/3.6</f>
        <v>2.9321944444444439</v>
      </c>
      <c r="E15" s="62">
        <f t="shared" si="0"/>
        <v>841.21400617283939</v>
      </c>
      <c r="G15" s="84"/>
    </row>
    <row r="16" spans="2:7" x14ac:dyDescent="0.4">
      <c r="B16" s="55" t="str">
        <f>'3V_LegacyAdvertisement'!B16</f>
        <v>Transmit (TX)</v>
      </c>
      <c r="C16" s="133">
        <f>'3V_LegacyAdvertisement'!C16</f>
        <v>176.4975</v>
      </c>
      <c r="D16" s="105">
        <f>('3V_LegacyAdvertisement'!D16)*3/3.6</f>
        <v>6.2289144444444435</v>
      </c>
      <c r="E16" s="62">
        <f t="shared" si="0"/>
        <v>1099.3878271583333</v>
      </c>
      <c r="G16" s="84"/>
    </row>
    <row r="17" spans="2:8" x14ac:dyDescent="0.4">
      <c r="B17" s="55" t="str">
        <f>'3V_LegacyAdvertisement'!B17</f>
        <v>TX to RX transition</v>
      </c>
      <c r="C17" s="133">
        <f>'3V_LegacyAdvertisement'!C17</f>
        <v>131.22222222222223</v>
      </c>
      <c r="D17" s="105">
        <f>('3V_LegacyAdvertisement'!D17)*3/3.6</f>
        <v>3.9304814814814804</v>
      </c>
      <c r="E17" s="62">
        <f t="shared" si="0"/>
        <v>515.76651440329204</v>
      </c>
      <c r="G17" s="84"/>
    </row>
    <row r="18" spans="2:8" x14ac:dyDescent="0.4">
      <c r="B18" s="55" t="str">
        <f>'3V_LegacyAdvertisement'!B18</f>
        <v>Recieve (RX)</v>
      </c>
      <c r="C18" s="133">
        <f>'3V_LegacyAdvertisement'!C18</f>
        <v>107.55555555555556</v>
      </c>
      <c r="D18" s="105">
        <f>('3V_LegacyAdvertisement'!D18)*3/3.6</f>
        <v>5.5696018518518526</v>
      </c>
      <c r="E18" s="62">
        <f t="shared" si="0"/>
        <v>599.04162139917707</v>
      </c>
      <c r="G18" s="84"/>
    </row>
    <row r="19" spans="2:8" x14ac:dyDescent="0.4">
      <c r="B19" s="55" t="str">
        <f>'3V_LegacyAdvertisement'!B19</f>
        <v>Post-Processing</v>
      </c>
      <c r="C19" s="133">
        <f>'3V_LegacyAdvertisement'!C19</f>
        <v>846.44444444444446</v>
      </c>
      <c r="D19" s="105">
        <f>('3V_LegacyAdvertisement'!D19)*3/3.6</f>
        <v>2.1486018518518519</v>
      </c>
      <c r="E19" s="62">
        <f t="shared" si="0"/>
        <v>1818.6721008230454</v>
      </c>
      <c r="G19" s="84"/>
    </row>
    <row r="20" spans="2:8" x14ac:dyDescent="0.4">
      <c r="B20" s="55"/>
      <c r="C20" s="62"/>
      <c r="D20" s="124"/>
      <c r="E20" s="62"/>
      <c r="G20" s="84"/>
      <c r="H20" s="84"/>
    </row>
    <row r="21" spans="2:8" x14ac:dyDescent="0.4">
      <c r="B21" s="55"/>
      <c r="C21" s="62"/>
      <c r="D21" s="62"/>
      <c r="E21" s="62"/>
      <c r="G21" s="84"/>
      <c r="H21" s="84"/>
    </row>
    <row r="22" spans="2:8" x14ac:dyDescent="0.4">
      <c r="B22" s="55"/>
      <c r="C22" s="125"/>
      <c r="D22" s="129"/>
      <c r="E22" s="124"/>
      <c r="G22" s="84"/>
      <c r="H22" s="84"/>
    </row>
    <row r="23" spans="2:8" x14ac:dyDescent="0.4">
      <c r="B23" s="87" t="s">
        <v>56</v>
      </c>
      <c r="C23" s="120">
        <f>SUM(C6:C20)</f>
        <v>4286.2702777777777</v>
      </c>
      <c r="D23" s="6"/>
      <c r="E23" s="3"/>
    </row>
    <row r="24" spans="2:8" x14ac:dyDescent="0.4">
      <c r="B24" s="17" t="s">
        <v>43</v>
      </c>
      <c r="C24" s="64"/>
      <c r="D24" s="7"/>
      <c r="E24" s="66">
        <f>SUM(E6:E20)</f>
        <v>14563.49678912932</v>
      </c>
    </row>
    <row r="25" spans="2:8" ht="24.6" x14ac:dyDescent="0.4">
      <c r="B25" s="32" t="s">
        <v>37</v>
      </c>
      <c r="C25" s="83"/>
      <c r="D25" s="9"/>
      <c r="E25" s="63">
        <f>1000*IF(E24=0,0,E24/C23)</f>
        <v>3397.7084610445481</v>
      </c>
    </row>
    <row r="26" spans="2:8" x14ac:dyDescent="0.4">
      <c r="B26" s="5"/>
      <c r="C26" s="2"/>
      <c r="D26" s="2"/>
      <c r="E26" s="2"/>
    </row>
    <row r="27" spans="2:8" ht="24.6" x14ac:dyDescent="0.4">
      <c r="B27" s="18" t="s">
        <v>54</v>
      </c>
      <c r="C27" s="86">
        <f>((E25*C23)+((('BLE - Peripheral'!D7*1000)-C23)*'Input arguments'!L4))/('BLE - Peripheral'!D7*1000)</f>
        <v>146.87924637768208</v>
      </c>
      <c r="D27" s="102" t="s">
        <v>38</v>
      </c>
    </row>
    <row r="28" spans="2:8" ht="15" x14ac:dyDescent="0.4">
      <c r="B28" s="18" t="s">
        <v>33</v>
      </c>
      <c r="C28" s="101">
        <f>'BLE - Peripheral'!D4/(C27/1000)</f>
        <v>1531.8706049283501</v>
      </c>
      <c r="D28" s="103" t="s">
        <v>18</v>
      </c>
    </row>
    <row r="29" spans="2:8" ht="15" x14ac:dyDescent="0.4">
      <c r="B29" s="99" t="s">
        <v>33</v>
      </c>
      <c r="C29" s="93">
        <f>C28/24</f>
        <v>63.827941872014584</v>
      </c>
      <c r="D29" s="102" t="s">
        <v>21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J29"/>
  <sheetViews>
    <sheetView workbookViewId="0"/>
  </sheetViews>
  <sheetFormatPr defaultColWidth="8.83203125" defaultRowHeight="12.3" x14ac:dyDescent="0.4"/>
  <cols>
    <col min="2" max="2" width="27.44140625" customWidth="1"/>
    <col min="8" max="8" width="24.27734375" customWidth="1"/>
  </cols>
  <sheetData>
    <row r="4" spans="2:10" x14ac:dyDescent="0.4">
      <c r="G4" s="2"/>
      <c r="H4" s="2"/>
      <c r="I4" s="2"/>
      <c r="J4" s="2"/>
    </row>
    <row r="5" spans="2:10" ht="24.6" x14ac:dyDescent="0.4">
      <c r="B5" s="35" t="s">
        <v>3</v>
      </c>
      <c r="C5" s="36" t="s">
        <v>24</v>
      </c>
      <c r="D5" s="37" t="s">
        <v>25</v>
      </c>
      <c r="E5" s="85" t="s">
        <v>36</v>
      </c>
      <c r="G5" s="84"/>
    </row>
    <row r="6" spans="2:10" x14ac:dyDescent="0.4">
      <c r="B6" s="55" t="str">
        <f>'3V_Connected'!B6</f>
        <v>Wake Up &amp; Pre-processing</v>
      </c>
      <c r="C6" s="106">
        <f>'3V_Connected'!C6</f>
        <v>1283.8888888888889</v>
      </c>
      <c r="D6" s="105">
        <f>('3V_Connected'!D6)*3/1.8</f>
        <v>5.1687777777777768</v>
      </c>
      <c r="E6" s="62">
        <f t="shared" ref="E6:E11" si="0">C6*D6</f>
        <v>6636.1363580246898</v>
      </c>
      <c r="G6" s="84"/>
    </row>
    <row r="7" spans="2:10" x14ac:dyDescent="0.4">
      <c r="B7" s="55" t="str">
        <f>'3V_Connected'!B7</f>
        <v xml:space="preserve">Preparation for Recieve </v>
      </c>
      <c r="C7" s="106">
        <f>'3V_Connected'!C7</f>
        <v>394.22222222222223</v>
      </c>
      <c r="D7" s="105">
        <f>('3V_Connected'!D7)*3/1.8</f>
        <v>5.9592037037037029</v>
      </c>
      <c r="E7" s="62">
        <f t="shared" si="0"/>
        <v>2349.250526748971</v>
      </c>
      <c r="G7" s="84"/>
    </row>
    <row r="8" spans="2:10" x14ac:dyDescent="0.4">
      <c r="B8" s="55" t="str">
        <f>'3V_Connected'!B8</f>
        <v>Recieve (RX)</v>
      </c>
      <c r="C8" s="106">
        <f>'3V_Connected'!C8</f>
        <v>461.33333333333331</v>
      </c>
      <c r="D8" s="105">
        <f>('3V_Connected'!D8)*3/1.8</f>
        <v>11.148500000000002</v>
      </c>
      <c r="E8" s="62">
        <f t="shared" si="0"/>
        <v>5143.1746666666677</v>
      </c>
      <c r="G8" s="84"/>
    </row>
    <row r="9" spans="2:10" x14ac:dyDescent="0.4">
      <c r="B9" s="55" t="str">
        <f>'3V_Connected'!B9</f>
        <v>RX to TX transition</v>
      </c>
      <c r="C9" s="106">
        <f>'3V_Connected'!C9</f>
        <v>109.22222222222223</v>
      </c>
      <c r="D9" s="105">
        <f>('3V_Connected'!D9)*3/1.8</f>
        <v>8.6822037037037028</v>
      </c>
      <c r="E9" s="62">
        <f t="shared" si="0"/>
        <v>948.28958230452668</v>
      </c>
      <c r="G9" s="84"/>
    </row>
    <row r="10" spans="2:10" x14ac:dyDescent="0.4">
      <c r="B10" s="55" t="str">
        <f>'3V_Connected'!B10</f>
        <v>Transmit (TX)</v>
      </c>
      <c r="C10" s="106">
        <f>'3V_Connected'!C10</f>
        <v>84.39</v>
      </c>
      <c r="D10" s="105">
        <f>('3V_Connected'!D10)*3/1.8</f>
        <v>12.233666666666668</v>
      </c>
      <c r="E10" s="62">
        <f t="shared" si="0"/>
        <v>1032.39913</v>
      </c>
      <c r="G10" s="84"/>
    </row>
    <row r="11" spans="2:10" x14ac:dyDescent="0.4">
      <c r="B11" s="55" t="str">
        <f>'3V_Connected'!B11</f>
        <v>Post-Processing</v>
      </c>
      <c r="C11" s="106">
        <f>'3V_Connected'!C11</f>
        <v>853.44444444444446</v>
      </c>
      <c r="D11" s="105">
        <f>('3V_Connected'!D11)*3/1.8</f>
        <v>4.3737037037037041</v>
      </c>
      <c r="E11" s="62">
        <f t="shared" si="0"/>
        <v>3732.7131275720167</v>
      </c>
      <c r="G11" s="84"/>
    </row>
    <row r="12" spans="2:10" x14ac:dyDescent="0.4">
      <c r="B12" s="55"/>
      <c r="C12" s="126"/>
      <c r="D12" s="126"/>
      <c r="E12" s="128"/>
      <c r="G12" s="84"/>
    </row>
    <row r="13" spans="2:10" x14ac:dyDescent="0.4">
      <c r="B13" s="55"/>
      <c r="C13" s="126"/>
      <c r="D13" s="126"/>
      <c r="E13" s="128"/>
      <c r="G13" s="84"/>
    </row>
    <row r="14" spans="2:10" x14ac:dyDescent="0.4">
      <c r="B14" s="55"/>
      <c r="C14" s="126"/>
      <c r="D14" s="126"/>
      <c r="E14" s="128"/>
      <c r="G14" s="84"/>
    </row>
    <row r="15" spans="2:10" x14ac:dyDescent="0.4">
      <c r="B15" s="55"/>
      <c r="C15" s="126"/>
      <c r="D15" s="126"/>
      <c r="E15" s="128"/>
      <c r="G15" s="84"/>
    </row>
    <row r="16" spans="2:10" x14ac:dyDescent="0.4">
      <c r="B16" s="55"/>
      <c r="C16" s="126"/>
      <c r="D16" s="126"/>
      <c r="E16" s="128"/>
      <c r="G16" s="84"/>
    </row>
    <row r="17" spans="2:7" x14ac:dyDescent="0.4">
      <c r="B17" s="55"/>
      <c r="C17" s="126"/>
      <c r="D17" s="126"/>
      <c r="E17" s="128"/>
      <c r="G17" s="84"/>
    </row>
    <row r="18" spans="2:7" x14ac:dyDescent="0.4">
      <c r="B18" s="55"/>
      <c r="C18" s="126"/>
      <c r="D18" s="126"/>
      <c r="E18" s="128"/>
      <c r="G18" s="84"/>
    </row>
    <row r="19" spans="2:7" x14ac:dyDescent="0.4">
      <c r="B19" s="55"/>
      <c r="C19" s="128"/>
      <c r="D19" s="138"/>
      <c r="E19" s="128"/>
      <c r="G19" s="84"/>
    </row>
    <row r="20" spans="2:7" x14ac:dyDescent="0.4">
      <c r="B20" s="137"/>
      <c r="C20" s="128"/>
      <c r="D20" s="138"/>
      <c r="E20" s="128"/>
      <c r="G20" s="84"/>
    </row>
    <row r="21" spans="2:7" x14ac:dyDescent="0.4">
      <c r="B21" s="59"/>
      <c r="C21" s="53"/>
      <c r="D21" s="49"/>
      <c r="E21" s="53"/>
      <c r="G21" s="2"/>
    </row>
    <row r="22" spans="2:7" x14ac:dyDescent="0.4">
      <c r="B22" s="52"/>
      <c r="C22" s="54"/>
      <c r="D22" s="50"/>
      <c r="E22" s="54"/>
      <c r="G22" s="2"/>
    </row>
    <row r="23" spans="2:7" ht="24.6" x14ac:dyDescent="0.4">
      <c r="B23" s="17" t="s">
        <v>42</v>
      </c>
      <c r="C23" s="115">
        <f>SUM(C6:C19)</f>
        <v>3186.5011111111107</v>
      </c>
      <c r="D23" s="6"/>
      <c r="E23" s="3"/>
    </row>
    <row r="24" spans="2:7" x14ac:dyDescent="0.4">
      <c r="B24" s="17" t="s">
        <v>43</v>
      </c>
      <c r="C24" s="25"/>
      <c r="D24" s="7"/>
      <c r="E24" s="66">
        <f>SUM(E6:E19)</f>
        <v>19841.963391316873</v>
      </c>
    </row>
    <row r="25" spans="2:7" ht="24.6" x14ac:dyDescent="0.4">
      <c r="B25" s="32" t="s">
        <v>55</v>
      </c>
      <c r="C25" s="83"/>
      <c r="D25" s="9"/>
      <c r="E25" s="63">
        <f>IF(E24=0,0,1000*E24/C23)</f>
        <v>6226.8810521136511</v>
      </c>
    </row>
    <row r="26" spans="2:7" x14ac:dyDescent="0.4">
      <c r="B26" s="5"/>
      <c r="C26" s="2"/>
      <c r="D26" s="2"/>
      <c r="E26" s="2"/>
    </row>
    <row r="27" spans="2:7" ht="24.6" x14ac:dyDescent="0.4">
      <c r="B27" s="99" t="s">
        <v>32</v>
      </c>
      <c r="C27" s="86">
        <f>((E25*C23)+((('BLE - Peripheral'!D10*1000)-C23)*'Input arguments'!L4))/('BLE - Peripheral'!D10*1000)</f>
        <v>199.67820939872428</v>
      </c>
      <c r="D27" s="102" t="s">
        <v>38</v>
      </c>
    </row>
    <row r="28" spans="2:7" ht="15" x14ac:dyDescent="0.4">
      <c r="B28" s="18" t="s">
        <v>33</v>
      </c>
      <c r="C28" s="100">
        <f>'BLE - Peripheral'!D4/(C27/1000)</f>
        <v>1126.8129891465137</v>
      </c>
      <c r="D28" s="103" t="s">
        <v>18</v>
      </c>
    </row>
    <row r="29" spans="2:7" ht="15" x14ac:dyDescent="0.4">
      <c r="B29" s="18" t="s">
        <v>33</v>
      </c>
      <c r="C29" s="93">
        <f>C28/24</f>
        <v>46.950541214438068</v>
      </c>
      <c r="D29" s="102" t="s">
        <v>21</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Unknown Document Type" ma:contentTypeID="0x010104" ma:contentTypeVersion="0" ma:contentTypeDescription="" ma:contentTypeScope="" ma:versionID="279c20c3caf3300dae6b438536eb8c56">
  <xsd:schema xmlns:xsd="http://www.w3.org/2001/XMLSchema" xmlns:p="http://schemas.microsoft.com/office/2006/metadata/properties" targetNamespace="http://schemas.microsoft.com/office/2006/metadata/properties" ma:root="true" ma:fieldsID="0d2e1ca116041f9e11471c52c4c9d602">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87848DF3-7BC9-4969-83A3-F10F3650AC92}">
  <ds:schemaRefs>
    <ds:schemaRef ds:uri="http://schemas.microsoft.com/sharepoint/v3/contenttype/forms"/>
  </ds:schemaRefs>
</ds:datastoreItem>
</file>

<file path=customXml/itemProps2.xml><?xml version="1.0" encoding="utf-8"?>
<ds:datastoreItem xmlns:ds="http://schemas.openxmlformats.org/officeDocument/2006/customXml" ds:itemID="{47DC16A9-8B2D-4DC6-A7D6-A1183001601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3.xml><?xml version="1.0" encoding="utf-8"?>
<ds:datastoreItem xmlns:ds="http://schemas.openxmlformats.org/officeDocument/2006/customXml" ds:itemID="{57FA8F31-FA9D-4CEF-9B9C-B24607AD2334}">
  <ds:schemaRefs>
    <ds:schemaRef ds:uri="http://schemas.microsoft.com/office/2006/documentManagement/types"/>
    <ds:schemaRef ds:uri="http://purl.org/dc/terms/"/>
    <ds:schemaRef ds:uri="http://schemas.openxmlformats.org/package/2006/metadata/core-properties"/>
    <ds:schemaRef ds:uri="http://purl.org/dc/dcmitype/"/>
    <ds:schemaRef ds:uri="http://purl.org/dc/elements/1.1/"/>
    <ds:schemaRef ds:uri="http://schemas.microsoft.com/office/2006/metadata/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38</vt:i4>
      </vt:variant>
    </vt:vector>
  </HeadingPairs>
  <TitlesOfParts>
    <vt:vector size="38" baseType="lpstr">
      <vt:lpstr>README</vt:lpstr>
      <vt:lpstr>BLE - Peripheral</vt:lpstr>
      <vt:lpstr>BLE - Central</vt:lpstr>
      <vt:lpstr>Input arguments</vt:lpstr>
      <vt:lpstr>0V_None</vt:lpstr>
      <vt:lpstr>3V_LegacyAdvertisement</vt:lpstr>
      <vt:lpstr>1p8V_LegacyAdvertisement</vt:lpstr>
      <vt:lpstr>3p6V_LegacyAdvertisement</vt:lpstr>
      <vt:lpstr>1p8V_Connected</vt:lpstr>
      <vt:lpstr>3p6V_Connected</vt:lpstr>
      <vt:lpstr>3V_LongRangeS8Advertisement</vt:lpstr>
      <vt:lpstr>1p8V_LongRangeS8Advertisement</vt:lpstr>
      <vt:lpstr>3p6V_LongRangeS8Advertisement</vt:lpstr>
      <vt:lpstr>3V_LongRangeS2Advertisement</vt:lpstr>
      <vt:lpstr>1p8V_LongRangeS2Advertisement</vt:lpstr>
      <vt:lpstr>3p6V_LongRangeS2Advertisement</vt:lpstr>
      <vt:lpstr>3V_1M_ExtendedAdvertisement</vt:lpstr>
      <vt:lpstr>1p8V_1M_ExtendedAdvertisement</vt:lpstr>
      <vt:lpstr>3p6V_1M_ExtendedAdvertisement</vt:lpstr>
      <vt:lpstr>3V_2M_ExtendedAdvertisement</vt:lpstr>
      <vt:lpstr>1p8V_2M_ExtendedAdvertisement</vt:lpstr>
      <vt:lpstr>3p6V_2M_ExtendedAdvertisement</vt:lpstr>
      <vt:lpstr>3V_Connected</vt:lpstr>
      <vt:lpstr>3V_Scanning</vt:lpstr>
      <vt:lpstr>3p6V_Scanning</vt:lpstr>
      <vt:lpstr>1p8V_Scanning</vt:lpstr>
      <vt:lpstr>3V_ConnectedCentral</vt:lpstr>
      <vt:lpstr>1p8V_ConnectedCentral</vt:lpstr>
      <vt:lpstr>3p6V_ConnectedCentral</vt:lpstr>
      <vt:lpstr>3p6V_ScanResponse</vt:lpstr>
      <vt:lpstr>3V_ScanResponse</vt:lpstr>
      <vt:lpstr>1p8V_ScanResponse</vt:lpstr>
      <vt:lpstr>Notes</vt:lpstr>
      <vt:lpstr>DataSourceSelection - Periph</vt:lpstr>
      <vt:lpstr>DataForDisplay - Peripheral</vt:lpstr>
      <vt:lpstr>DataForDisplay - Central</vt:lpstr>
      <vt:lpstr>DataSourceSelection - Central</vt:lpstr>
      <vt:lpstr>Guide lines to update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Kamath, Sandeep</dc:creator>
  <cp:lastModifiedBy>Windows User</cp:lastModifiedBy>
  <cp:lastPrinted>2019-04-16T07:54:21Z</cp:lastPrinted>
  <dcterms:created xsi:type="dcterms:W3CDTF">1996-10-14T23:33:28Z</dcterms:created>
  <dcterms:modified xsi:type="dcterms:W3CDTF">2020-05-07T05:30:33Z</dcterms:modified>
</cp:coreProperties>
</file>